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ФІНПЛАНИ 2018 2019 2020\"/>
    </mc:Choice>
  </mc:AlternateContent>
  <workbookProtection workbookPassword="CF66" lockStructure="1" lockWindows="1"/>
  <bookViews>
    <workbookView xWindow="0" yWindow="0" windowWidth="19200" windowHeight="11505" tabRatio="837" firstSheet="1" activeTab="7"/>
  </bookViews>
  <sheets>
    <sheet name="Лист1" sheetId="20" state="hidden" r:id="rId1"/>
    <sheet name="Осн. фін. пок." sheetId="14" r:id="rId2"/>
    <sheet name="I. Фін результат" sheetId="2" r:id="rId3"/>
    <sheet name="ІІ. Розр. з бюджетом" sheetId="19" r:id="rId4"/>
    <sheet name="ІІІ. Рух грош. коштів" sheetId="18" r:id="rId5"/>
    <sheet name="IV. Кап. інвестиції" sheetId="3" r:id="rId6"/>
    <sheet name=" V. Коефіцієнти" sheetId="11" r:id="rId7"/>
    <sheet name="6.1. Інша інфо_1" sheetId="10" r:id="rId8"/>
    <sheet name="штатка" sheetId="21" state="hidden" r:id="rId9"/>
    <sheet name="6.2. Інша інфо_2" sheetId="9" state="hidden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>#REF!</definedName>
    <definedName name="Cе511">#REF!</definedName>
    <definedName name="d">'[9]МТР Газ України'!$B$4</definedName>
    <definedName name="dCPIb">[10]попер_роз!#REF!</definedName>
    <definedName name="dPPIb">[10]попер_роз!#REF!</definedName>
    <definedName name="ds">'[11]7  Інші витрати'!#REF!</definedName>
    <definedName name="Fact_Type_ID">#REF!</definedName>
    <definedName name="G">'[12]МТР Газ України'!$B$1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>[14]!ShowFil</definedName>
    <definedName name="SU_ID">#REF!</definedName>
    <definedName name="Time_ID">'[16]МТР Газ України'!$B$1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>#REF!</definedName>
    <definedName name="zx">'[4]МТР Газ України'!$F$1</definedName>
    <definedName name="zxc">[5]Inform!$E$38</definedName>
    <definedName name="а">'[13]7  Інші витрати'!#REF!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>'[27]БАЗА  '!#REF!</definedName>
    <definedName name="Д">'[15]МТР Газ України'!$B$4</definedName>
    <definedName name="е">#REF!</definedName>
    <definedName name="є">#REF!</definedName>
    <definedName name="_xlnm.Print_Titles" localSheetId="6">' V. Коефіцієнти'!$5:$5</definedName>
    <definedName name="_xlnm.Print_Titles" localSheetId="2">'I. Фін результат'!$5:$5</definedName>
    <definedName name="_xlnm.Print_Titles" localSheetId="3">'ІІ. Розр. з бюджетом'!$5:$5</definedName>
    <definedName name="_xlnm.Print_Titles" localSheetId="4">'ІІІ. Рух грош. коштів'!$5:$5</definedName>
    <definedName name="_xlnm.Print_Titles" localSheetId="1">'Осн. фін. пок.'!$36:$36</definedName>
    <definedName name="Заголовки_для_печати_МИ">'[28]1993'!$A$1:$IV$3,'[28]1993'!$A$1:$A$65536</definedName>
    <definedName name="йуц">#REF!</definedName>
    <definedName name="йцу">#REF!</definedName>
    <definedName name="йцуйй">#REF!</definedName>
    <definedName name="йцукц">'[30]7  Інші витрати'!#REF!</definedName>
    <definedName name="і">[29]Inform!$F$2</definedName>
    <definedName name="ів">#REF!</definedName>
    <definedName name="ів___0">#REF!</definedName>
    <definedName name="ів_22">#REF!</definedName>
    <definedName name="ів_26">#REF!</definedName>
    <definedName name="іваіа">'[30]7  Інші витрати'!#REF!</definedName>
    <definedName name="іваф">#REF!</definedName>
    <definedName name="івів">'[12]МТР Газ України'!$B$1</definedName>
    <definedName name="іцу">[23]Inform!$G$2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_xlnm.Print_Area" localSheetId="6">' V. Коефіцієнти'!$A$1:$H$26</definedName>
    <definedName name="_xlnm.Print_Area" localSheetId="7">'6.1. Інша інфо_1'!$A$1:$O$84</definedName>
    <definedName name="_xlnm.Print_Area" localSheetId="9">'6.2. Інша інфо_2'!$A$1:$AE$59</definedName>
    <definedName name="_xlnm.Print_Area" localSheetId="2">'I. Фін результат'!$A$1:$J$119</definedName>
    <definedName name="_xlnm.Print_Area" localSheetId="5">'IV. Кап. інвестиції'!$A$1:$I$16</definedName>
    <definedName name="_xlnm.Print_Area" localSheetId="3">'ІІ. Розр. з бюджетом'!$A$1:$I$41</definedName>
    <definedName name="_xlnm.Print_Area" localSheetId="4">'ІІІ. Рух грош. коштів'!$A$1:$I$82</definedName>
    <definedName name="_xlnm.Print_Area" localSheetId="1">'Осн. фін. пок.'!$A$1:$J$87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>#REF!</definedName>
    <definedName name="т">[32]Inform!$E$6</definedName>
    <definedName name="тариф">[33]Inform!$G$2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>'[30]7  Інші витрати'!#REF!</definedName>
    <definedName name="фф">'[26]МТР Газ України'!$F$1</definedName>
    <definedName name="ц">'[13]7  Інші витрати'!#REF!</definedName>
    <definedName name="ччч">'[35]БАЗА  '!#REF!</definedName>
    <definedName name="ш">#REF!</definedName>
  </definedNames>
  <calcPr calcId="162913"/>
</workbook>
</file>

<file path=xl/calcChain.xml><?xml version="1.0" encoding="utf-8"?>
<calcChain xmlns="http://schemas.openxmlformats.org/spreadsheetml/2006/main">
  <c r="I80" i="2" l="1"/>
  <c r="G38" i="18" l="1"/>
  <c r="H38" i="18"/>
  <c r="I38" i="18"/>
  <c r="G8" i="3" l="1"/>
  <c r="H8" i="3"/>
  <c r="I8" i="3"/>
  <c r="F8" i="3"/>
  <c r="F38" i="18"/>
  <c r="G14" i="2" l="1"/>
  <c r="G8" i="2"/>
  <c r="F67" i="2"/>
  <c r="M59" i="10" l="1"/>
  <c r="M58" i="10"/>
  <c r="M57" i="10"/>
  <c r="M56" i="10"/>
  <c r="I67" i="2" l="1"/>
  <c r="H67" i="2"/>
  <c r="G67" i="2"/>
  <c r="E67" i="2"/>
  <c r="G49" i="2"/>
  <c r="H49" i="2"/>
  <c r="I49" i="2"/>
  <c r="F49" i="2"/>
  <c r="E49" i="2"/>
  <c r="I20" i="2"/>
  <c r="H20" i="2"/>
  <c r="G20" i="2"/>
  <c r="F20" i="2"/>
  <c r="E20" i="2"/>
  <c r="F57" i="18" l="1"/>
  <c r="I19" i="2" l="1"/>
  <c r="H19" i="2"/>
  <c r="G19" i="2"/>
  <c r="I14" i="2"/>
  <c r="H14" i="2"/>
  <c r="H80" i="2"/>
  <c r="G80" i="2"/>
  <c r="G42" i="2"/>
  <c r="F47" i="2"/>
  <c r="F13" i="2"/>
  <c r="F108" i="2" s="1"/>
  <c r="F37" i="2"/>
  <c r="I37" i="2" s="1"/>
  <c r="F36" i="2"/>
  <c r="F35" i="2"/>
  <c r="E47" i="2"/>
  <c r="E18" i="2"/>
  <c r="E17" i="2"/>
  <c r="E19" i="2"/>
  <c r="E35" i="2"/>
  <c r="E110" i="2" s="1"/>
  <c r="E13" i="2"/>
  <c r="H37" i="2" l="1"/>
  <c r="G37" i="2"/>
  <c r="I77" i="2"/>
  <c r="H77" i="2"/>
  <c r="G77" i="2"/>
  <c r="C127" i="2" l="1"/>
  <c r="C128" i="2"/>
  <c r="H58" i="18"/>
  <c r="I58" i="18" s="1"/>
  <c r="F111" i="2"/>
  <c r="F36" i="19" s="1"/>
  <c r="E112" i="2" l="1"/>
  <c r="E9" i="18" s="1"/>
  <c r="E13" i="18" s="1"/>
  <c r="E12" i="18" s="1"/>
  <c r="M8" i="21"/>
  <c r="O8" i="21" s="1"/>
  <c r="F110" i="2"/>
  <c r="C11" i="20" s="1"/>
  <c r="F70" i="18"/>
  <c r="F18" i="18"/>
  <c r="E12" i="2"/>
  <c r="E27" i="2"/>
  <c r="F41" i="14" s="1"/>
  <c r="E60" i="2"/>
  <c r="E94" i="2" s="1"/>
  <c r="F43" i="14" s="1"/>
  <c r="E108" i="2"/>
  <c r="E111" i="2"/>
  <c r="E109" i="2"/>
  <c r="F112" i="2"/>
  <c r="F101" i="2" s="1"/>
  <c r="F109" i="2"/>
  <c r="N87" i="21"/>
  <c r="M87" i="21"/>
  <c r="N16" i="21"/>
  <c r="I112" i="2"/>
  <c r="I101" i="2" s="1"/>
  <c r="I111" i="2"/>
  <c r="I110" i="2"/>
  <c r="F11" i="20" s="1"/>
  <c r="I109" i="2"/>
  <c r="I108" i="2"/>
  <c r="G108" i="2"/>
  <c r="H108" i="2"/>
  <c r="G112" i="2"/>
  <c r="G9" i="18" s="1"/>
  <c r="H112" i="2"/>
  <c r="H101" i="2" s="1"/>
  <c r="G111" i="2"/>
  <c r="H111" i="2"/>
  <c r="G110" i="2"/>
  <c r="D11" i="20" s="1"/>
  <c r="H110" i="2"/>
  <c r="E11" i="20" s="1"/>
  <c r="E18" i="20" s="1"/>
  <c r="H29" i="19" s="1"/>
  <c r="G109" i="2"/>
  <c r="H109" i="2"/>
  <c r="E70" i="18"/>
  <c r="D18" i="18"/>
  <c r="E18" i="18"/>
  <c r="D110" i="2"/>
  <c r="H32" i="10"/>
  <c r="H33" i="10"/>
  <c r="H31" i="10"/>
  <c r="F28" i="10"/>
  <c r="F29" i="10"/>
  <c r="F27" i="10"/>
  <c r="H24" i="10"/>
  <c r="H25" i="10"/>
  <c r="H23" i="10"/>
  <c r="F24" i="10"/>
  <c r="F25" i="10"/>
  <c r="F23" i="10"/>
  <c r="C209" i="21"/>
  <c r="J208" i="21"/>
  <c r="K208" i="21" s="1"/>
  <c r="E207" i="21"/>
  <c r="I207" i="21" s="1"/>
  <c r="E206" i="21"/>
  <c r="E205" i="21"/>
  <c r="I205" i="21" s="1"/>
  <c r="J205" i="21" s="1"/>
  <c r="K205" i="21" s="1"/>
  <c r="E204" i="21"/>
  <c r="G204" i="21" s="1"/>
  <c r="E203" i="21"/>
  <c r="I203" i="21" s="1"/>
  <c r="E202" i="21"/>
  <c r="I202" i="21" s="1"/>
  <c r="E201" i="21"/>
  <c r="I201" i="21" s="1"/>
  <c r="C195" i="21"/>
  <c r="M88" i="21"/>
  <c r="N88" i="21"/>
  <c r="O88" i="21"/>
  <c r="P88" i="21"/>
  <c r="Q88" i="21"/>
  <c r="R88" i="21"/>
  <c r="S88" i="21"/>
  <c r="T88" i="21"/>
  <c r="M89" i="21"/>
  <c r="N89" i="21"/>
  <c r="O89" i="21"/>
  <c r="P89" i="21"/>
  <c r="Q89" i="21"/>
  <c r="R89" i="21"/>
  <c r="S89" i="21"/>
  <c r="T89" i="21"/>
  <c r="U89" i="21" s="1"/>
  <c r="M90" i="21"/>
  <c r="N90" i="21"/>
  <c r="O90" i="21"/>
  <c r="P90" i="21"/>
  <c r="Q90" i="21"/>
  <c r="R90" i="21"/>
  <c r="S90" i="21"/>
  <c r="T90" i="21"/>
  <c r="M91" i="21"/>
  <c r="N91" i="21"/>
  <c r="O91" i="21"/>
  <c r="P91" i="21"/>
  <c r="Q91" i="21"/>
  <c r="R91" i="21"/>
  <c r="S91" i="21"/>
  <c r="T91" i="21"/>
  <c r="M92" i="21"/>
  <c r="N92" i="21"/>
  <c r="O92" i="21"/>
  <c r="P92" i="21"/>
  <c r="Q92" i="21"/>
  <c r="R92" i="21"/>
  <c r="S92" i="21"/>
  <c r="T92" i="21"/>
  <c r="M93" i="21"/>
  <c r="N93" i="21"/>
  <c r="O93" i="21"/>
  <c r="P93" i="21"/>
  <c r="Q93" i="21"/>
  <c r="R93" i="21"/>
  <c r="S93" i="21"/>
  <c r="T93" i="21"/>
  <c r="M94" i="21"/>
  <c r="N94" i="21"/>
  <c r="O94" i="21"/>
  <c r="P94" i="21"/>
  <c r="Q94" i="21"/>
  <c r="R94" i="21"/>
  <c r="S94" i="21"/>
  <c r="T94" i="21"/>
  <c r="M95" i="21"/>
  <c r="N95" i="21"/>
  <c r="O95" i="21"/>
  <c r="P95" i="21"/>
  <c r="Q95" i="21"/>
  <c r="R95" i="21"/>
  <c r="S95" i="21"/>
  <c r="T95" i="21"/>
  <c r="M96" i="21"/>
  <c r="N96" i="21"/>
  <c r="O96" i="21"/>
  <c r="P96" i="21"/>
  <c r="Q96" i="21"/>
  <c r="R96" i="21"/>
  <c r="S96" i="21"/>
  <c r="T96" i="21"/>
  <c r="M97" i="21"/>
  <c r="N97" i="21"/>
  <c r="O97" i="21"/>
  <c r="P97" i="21"/>
  <c r="Q97" i="21"/>
  <c r="R97" i="21"/>
  <c r="S97" i="21"/>
  <c r="T97" i="21"/>
  <c r="M98" i="21"/>
  <c r="N98" i="21"/>
  <c r="O98" i="21"/>
  <c r="P98" i="21"/>
  <c r="Q98" i="21"/>
  <c r="R98" i="21"/>
  <c r="S98" i="21"/>
  <c r="T98" i="21"/>
  <c r="M99" i="21"/>
  <c r="N99" i="21"/>
  <c r="O99" i="21"/>
  <c r="P99" i="21"/>
  <c r="Q99" i="21"/>
  <c r="R99" i="21"/>
  <c r="S99" i="21"/>
  <c r="T99" i="21"/>
  <c r="M100" i="21"/>
  <c r="N100" i="21"/>
  <c r="O100" i="21"/>
  <c r="P100" i="21"/>
  <c r="Q100" i="21"/>
  <c r="R100" i="21"/>
  <c r="S100" i="21"/>
  <c r="T100" i="21"/>
  <c r="M101" i="21"/>
  <c r="N101" i="21"/>
  <c r="O101" i="21"/>
  <c r="P101" i="21"/>
  <c r="Q101" i="21"/>
  <c r="R101" i="21"/>
  <c r="S101" i="21"/>
  <c r="T101" i="21"/>
  <c r="M102" i="21"/>
  <c r="N102" i="21"/>
  <c r="O102" i="21"/>
  <c r="P102" i="21"/>
  <c r="Q102" i="21"/>
  <c r="R102" i="21"/>
  <c r="S102" i="21"/>
  <c r="T102" i="21"/>
  <c r="M103" i="21"/>
  <c r="N103" i="21"/>
  <c r="O103" i="21"/>
  <c r="P103" i="21"/>
  <c r="Q103" i="21"/>
  <c r="R103" i="21"/>
  <c r="S103" i="21"/>
  <c r="T103" i="21"/>
  <c r="M104" i="21"/>
  <c r="N104" i="21"/>
  <c r="O104" i="21"/>
  <c r="P104" i="21"/>
  <c r="Q104" i="21"/>
  <c r="R104" i="21"/>
  <c r="S104" i="21"/>
  <c r="T104" i="21"/>
  <c r="M105" i="21"/>
  <c r="N105" i="21"/>
  <c r="O105" i="21"/>
  <c r="P105" i="21"/>
  <c r="Q105" i="21"/>
  <c r="R105" i="21"/>
  <c r="S105" i="21"/>
  <c r="T105" i="21"/>
  <c r="M106" i="21"/>
  <c r="N106" i="21"/>
  <c r="O106" i="21"/>
  <c r="P106" i="21"/>
  <c r="Q106" i="21"/>
  <c r="R106" i="21"/>
  <c r="S106" i="21"/>
  <c r="T106" i="21"/>
  <c r="M107" i="21"/>
  <c r="N107" i="21"/>
  <c r="O107" i="21"/>
  <c r="P107" i="21"/>
  <c r="Q107" i="21"/>
  <c r="R107" i="21"/>
  <c r="S107" i="21"/>
  <c r="T107" i="21"/>
  <c r="M108" i="21"/>
  <c r="N108" i="21"/>
  <c r="O108" i="21"/>
  <c r="P108" i="21"/>
  <c r="Q108" i="21"/>
  <c r="R108" i="21"/>
  <c r="S108" i="21"/>
  <c r="T108" i="21"/>
  <c r="M109" i="21"/>
  <c r="N109" i="21"/>
  <c r="O109" i="21"/>
  <c r="P109" i="21"/>
  <c r="Q109" i="21"/>
  <c r="R109" i="21"/>
  <c r="S109" i="21"/>
  <c r="T109" i="21"/>
  <c r="M110" i="21"/>
  <c r="N110" i="21"/>
  <c r="O110" i="21"/>
  <c r="P110" i="21"/>
  <c r="Q110" i="21"/>
  <c r="R110" i="21"/>
  <c r="S110" i="21"/>
  <c r="T110" i="21"/>
  <c r="M111" i="21"/>
  <c r="N111" i="21"/>
  <c r="O111" i="21"/>
  <c r="P111" i="21"/>
  <c r="Q111" i="21"/>
  <c r="R111" i="21"/>
  <c r="S111" i="21"/>
  <c r="T111" i="21"/>
  <c r="M112" i="21"/>
  <c r="N112" i="21"/>
  <c r="O112" i="21"/>
  <c r="P112" i="21"/>
  <c r="Q112" i="21"/>
  <c r="R112" i="21"/>
  <c r="S112" i="21"/>
  <c r="T112" i="21"/>
  <c r="M113" i="21"/>
  <c r="N113" i="21"/>
  <c r="O113" i="21"/>
  <c r="P113" i="21"/>
  <c r="Q113" i="21"/>
  <c r="R113" i="21"/>
  <c r="S113" i="21"/>
  <c r="T113" i="21"/>
  <c r="M114" i="21"/>
  <c r="N114" i="21"/>
  <c r="O114" i="21"/>
  <c r="P114" i="21"/>
  <c r="Q114" i="21"/>
  <c r="R114" i="21"/>
  <c r="S114" i="21"/>
  <c r="T114" i="21"/>
  <c r="M115" i="21"/>
  <c r="N115" i="21"/>
  <c r="O115" i="21"/>
  <c r="P115" i="21"/>
  <c r="Q115" i="21"/>
  <c r="R115" i="21"/>
  <c r="S115" i="21"/>
  <c r="T115" i="21"/>
  <c r="M116" i="21"/>
  <c r="N116" i="21"/>
  <c r="O116" i="21"/>
  <c r="P116" i="21"/>
  <c r="Q116" i="21"/>
  <c r="R116" i="21"/>
  <c r="S116" i="21"/>
  <c r="T116" i="21"/>
  <c r="M117" i="21"/>
  <c r="N117" i="21"/>
  <c r="O117" i="21"/>
  <c r="P117" i="21"/>
  <c r="Q117" i="21"/>
  <c r="R117" i="21"/>
  <c r="S117" i="21"/>
  <c r="T117" i="21"/>
  <c r="M118" i="21"/>
  <c r="N118" i="21"/>
  <c r="O118" i="21"/>
  <c r="P118" i="21"/>
  <c r="Q118" i="21"/>
  <c r="R118" i="21"/>
  <c r="S118" i="21"/>
  <c r="T118" i="21"/>
  <c r="M119" i="21"/>
  <c r="N119" i="21"/>
  <c r="O119" i="21"/>
  <c r="P119" i="21"/>
  <c r="Q119" i="21"/>
  <c r="R119" i="21"/>
  <c r="S119" i="21"/>
  <c r="T119" i="21"/>
  <c r="M120" i="21"/>
  <c r="N120" i="21"/>
  <c r="O120" i="21"/>
  <c r="P120" i="21"/>
  <c r="Q120" i="21"/>
  <c r="R120" i="21"/>
  <c r="S120" i="21"/>
  <c r="T120" i="21"/>
  <c r="M121" i="21"/>
  <c r="N121" i="21"/>
  <c r="O121" i="21"/>
  <c r="P121" i="21"/>
  <c r="Q121" i="21"/>
  <c r="R121" i="21"/>
  <c r="S121" i="21"/>
  <c r="T121" i="21"/>
  <c r="M122" i="21"/>
  <c r="N122" i="21"/>
  <c r="O122" i="21"/>
  <c r="P122" i="21"/>
  <c r="Q122" i="21"/>
  <c r="R122" i="21"/>
  <c r="S122" i="21"/>
  <c r="T122" i="21"/>
  <c r="M123" i="21"/>
  <c r="N123" i="21"/>
  <c r="O123" i="21"/>
  <c r="P123" i="21"/>
  <c r="Q123" i="21"/>
  <c r="R123" i="21"/>
  <c r="S123" i="21"/>
  <c r="T123" i="21"/>
  <c r="M124" i="21"/>
  <c r="N124" i="21"/>
  <c r="O124" i="21"/>
  <c r="P124" i="21"/>
  <c r="Q124" i="21"/>
  <c r="R124" i="21"/>
  <c r="S124" i="21"/>
  <c r="T124" i="21"/>
  <c r="M125" i="21"/>
  <c r="N125" i="21"/>
  <c r="O125" i="21"/>
  <c r="P125" i="21"/>
  <c r="Q125" i="21"/>
  <c r="R125" i="21"/>
  <c r="S125" i="21"/>
  <c r="T125" i="21"/>
  <c r="M126" i="21"/>
  <c r="N126" i="21"/>
  <c r="O126" i="21"/>
  <c r="P126" i="21"/>
  <c r="Q126" i="21"/>
  <c r="R126" i="21"/>
  <c r="S126" i="21"/>
  <c r="T126" i="21"/>
  <c r="M127" i="21"/>
  <c r="N127" i="21"/>
  <c r="O127" i="21"/>
  <c r="P127" i="21"/>
  <c r="Q127" i="21"/>
  <c r="R127" i="21"/>
  <c r="S127" i="21"/>
  <c r="T127" i="21"/>
  <c r="M128" i="21"/>
  <c r="N128" i="21"/>
  <c r="O128" i="21"/>
  <c r="P128" i="21"/>
  <c r="Q128" i="21"/>
  <c r="R128" i="21"/>
  <c r="S128" i="21"/>
  <c r="T128" i="21"/>
  <c r="M129" i="21"/>
  <c r="N129" i="21"/>
  <c r="O129" i="21"/>
  <c r="P129" i="21"/>
  <c r="Q129" i="21"/>
  <c r="R129" i="21"/>
  <c r="S129" i="21"/>
  <c r="T129" i="21"/>
  <c r="M130" i="21"/>
  <c r="N130" i="21"/>
  <c r="O130" i="21"/>
  <c r="P130" i="21"/>
  <c r="Q130" i="21"/>
  <c r="R130" i="21"/>
  <c r="S130" i="21"/>
  <c r="T130" i="21"/>
  <c r="M131" i="21"/>
  <c r="N131" i="21"/>
  <c r="O131" i="21"/>
  <c r="P131" i="21"/>
  <c r="Q131" i="21"/>
  <c r="R131" i="21"/>
  <c r="S131" i="21"/>
  <c r="T131" i="21"/>
  <c r="M132" i="21"/>
  <c r="N132" i="21"/>
  <c r="O132" i="21"/>
  <c r="P132" i="21"/>
  <c r="Q132" i="21"/>
  <c r="R132" i="21"/>
  <c r="S132" i="21"/>
  <c r="T132" i="21"/>
  <c r="M133" i="21"/>
  <c r="N133" i="21"/>
  <c r="O133" i="21"/>
  <c r="P133" i="21"/>
  <c r="Q133" i="21"/>
  <c r="R133" i="21"/>
  <c r="S133" i="21"/>
  <c r="T133" i="21"/>
  <c r="M134" i="21"/>
  <c r="N134" i="21"/>
  <c r="O134" i="21"/>
  <c r="P134" i="21"/>
  <c r="Q134" i="21"/>
  <c r="R134" i="21"/>
  <c r="S134" i="21"/>
  <c r="T134" i="21"/>
  <c r="M135" i="21"/>
  <c r="N135" i="21"/>
  <c r="O135" i="21"/>
  <c r="P135" i="21"/>
  <c r="Q135" i="21"/>
  <c r="R135" i="21"/>
  <c r="S135" i="21"/>
  <c r="T135" i="21"/>
  <c r="M136" i="21"/>
  <c r="N136" i="21"/>
  <c r="O136" i="21"/>
  <c r="P136" i="21"/>
  <c r="Q136" i="21"/>
  <c r="R136" i="21"/>
  <c r="S136" i="21"/>
  <c r="T136" i="21"/>
  <c r="M137" i="21"/>
  <c r="N137" i="21"/>
  <c r="O137" i="21"/>
  <c r="P137" i="21"/>
  <c r="Q137" i="21"/>
  <c r="R137" i="21"/>
  <c r="S137" i="21"/>
  <c r="T137" i="21"/>
  <c r="M138" i="21"/>
  <c r="N138" i="21"/>
  <c r="O138" i="21"/>
  <c r="P138" i="21"/>
  <c r="Q138" i="21"/>
  <c r="R138" i="21"/>
  <c r="S138" i="21"/>
  <c r="T138" i="21"/>
  <c r="M139" i="21"/>
  <c r="N139" i="21"/>
  <c r="O139" i="21"/>
  <c r="P139" i="21"/>
  <c r="Q139" i="21"/>
  <c r="R139" i="21"/>
  <c r="S139" i="21"/>
  <c r="T139" i="21"/>
  <c r="M140" i="21"/>
  <c r="N140" i="21"/>
  <c r="O140" i="21"/>
  <c r="P140" i="21"/>
  <c r="Q140" i="21"/>
  <c r="R140" i="21"/>
  <c r="S140" i="21"/>
  <c r="T140" i="21"/>
  <c r="M141" i="21"/>
  <c r="N141" i="21"/>
  <c r="O141" i="21"/>
  <c r="P141" i="21"/>
  <c r="Q141" i="21"/>
  <c r="R141" i="21"/>
  <c r="S141" i="21"/>
  <c r="T141" i="21"/>
  <c r="M142" i="21"/>
  <c r="N142" i="21"/>
  <c r="O142" i="21"/>
  <c r="P142" i="21"/>
  <c r="Q142" i="21"/>
  <c r="R142" i="21"/>
  <c r="S142" i="21"/>
  <c r="T142" i="21"/>
  <c r="M143" i="21"/>
  <c r="N143" i="21"/>
  <c r="O143" i="21"/>
  <c r="P143" i="21"/>
  <c r="Q143" i="21"/>
  <c r="R143" i="21"/>
  <c r="S143" i="21"/>
  <c r="T143" i="21"/>
  <c r="M144" i="21"/>
  <c r="N144" i="21"/>
  <c r="O144" i="21"/>
  <c r="P144" i="21"/>
  <c r="Q144" i="21"/>
  <c r="R144" i="21"/>
  <c r="S144" i="21"/>
  <c r="T144" i="21"/>
  <c r="M145" i="21"/>
  <c r="N145" i="21"/>
  <c r="O145" i="21"/>
  <c r="P145" i="21"/>
  <c r="Q145" i="21"/>
  <c r="R145" i="21"/>
  <c r="S145" i="21"/>
  <c r="T145" i="21"/>
  <c r="M146" i="21"/>
  <c r="N146" i="21"/>
  <c r="O146" i="21"/>
  <c r="P146" i="21"/>
  <c r="Q146" i="21"/>
  <c r="R146" i="21"/>
  <c r="S146" i="21"/>
  <c r="T146" i="21"/>
  <c r="M147" i="21"/>
  <c r="N147" i="21"/>
  <c r="O147" i="21"/>
  <c r="P147" i="21"/>
  <c r="Q147" i="21"/>
  <c r="R147" i="21"/>
  <c r="S147" i="21"/>
  <c r="T147" i="21"/>
  <c r="M148" i="21"/>
  <c r="N148" i="21"/>
  <c r="O148" i="21"/>
  <c r="P148" i="21"/>
  <c r="Q148" i="21"/>
  <c r="R148" i="21"/>
  <c r="S148" i="21"/>
  <c r="T148" i="21"/>
  <c r="M149" i="21"/>
  <c r="N149" i="21"/>
  <c r="O149" i="21"/>
  <c r="P149" i="21"/>
  <c r="Q149" i="21"/>
  <c r="R149" i="21"/>
  <c r="S149" i="21"/>
  <c r="T149" i="21"/>
  <c r="M150" i="21"/>
  <c r="N150" i="21"/>
  <c r="O150" i="21"/>
  <c r="P150" i="21"/>
  <c r="Q150" i="21"/>
  <c r="R150" i="21"/>
  <c r="S150" i="21"/>
  <c r="T150" i="21"/>
  <c r="M151" i="21"/>
  <c r="N151" i="21"/>
  <c r="O151" i="21"/>
  <c r="P151" i="21"/>
  <c r="Q151" i="21"/>
  <c r="R151" i="21"/>
  <c r="S151" i="21"/>
  <c r="T151" i="21"/>
  <c r="M152" i="21"/>
  <c r="N152" i="21"/>
  <c r="O152" i="21"/>
  <c r="P152" i="21"/>
  <c r="Q152" i="21"/>
  <c r="R152" i="21"/>
  <c r="S152" i="21"/>
  <c r="T152" i="21"/>
  <c r="M153" i="21"/>
  <c r="N153" i="21"/>
  <c r="O153" i="21"/>
  <c r="P153" i="21"/>
  <c r="Q153" i="21"/>
  <c r="R153" i="21"/>
  <c r="S153" i="21"/>
  <c r="T153" i="21"/>
  <c r="M154" i="21"/>
  <c r="N154" i="21"/>
  <c r="O154" i="21"/>
  <c r="P154" i="21"/>
  <c r="Q154" i="21"/>
  <c r="R154" i="21"/>
  <c r="S154" i="21"/>
  <c r="T154" i="21"/>
  <c r="M155" i="21"/>
  <c r="N155" i="21"/>
  <c r="O155" i="21"/>
  <c r="P155" i="21"/>
  <c r="Q155" i="21"/>
  <c r="R155" i="21"/>
  <c r="S155" i="21"/>
  <c r="T155" i="21"/>
  <c r="M156" i="21"/>
  <c r="N156" i="21"/>
  <c r="O156" i="21"/>
  <c r="P156" i="21"/>
  <c r="Q156" i="21"/>
  <c r="R156" i="21"/>
  <c r="S156" i="21"/>
  <c r="T156" i="21"/>
  <c r="M157" i="21"/>
  <c r="N157" i="21"/>
  <c r="O157" i="21"/>
  <c r="P157" i="21"/>
  <c r="Q157" i="21"/>
  <c r="R157" i="21"/>
  <c r="S157" i="21"/>
  <c r="T157" i="21"/>
  <c r="M158" i="21"/>
  <c r="N158" i="21"/>
  <c r="O158" i="21"/>
  <c r="P158" i="21"/>
  <c r="Q158" i="21"/>
  <c r="R158" i="21"/>
  <c r="S158" i="21"/>
  <c r="T158" i="21"/>
  <c r="M159" i="21"/>
  <c r="N159" i="21"/>
  <c r="O159" i="21"/>
  <c r="P159" i="21"/>
  <c r="Q159" i="21"/>
  <c r="R159" i="21"/>
  <c r="S159" i="21"/>
  <c r="T159" i="21"/>
  <c r="M160" i="21"/>
  <c r="N160" i="21"/>
  <c r="O160" i="21"/>
  <c r="P160" i="21"/>
  <c r="Q160" i="21"/>
  <c r="R160" i="21"/>
  <c r="S160" i="21"/>
  <c r="T160" i="21"/>
  <c r="M161" i="21"/>
  <c r="N161" i="21"/>
  <c r="O161" i="21"/>
  <c r="P161" i="21"/>
  <c r="Q161" i="21"/>
  <c r="R161" i="21"/>
  <c r="S161" i="21"/>
  <c r="T161" i="21"/>
  <c r="M162" i="21"/>
  <c r="N162" i="21"/>
  <c r="O162" i="21"/>
  <c r="P162" i="21"/>
  <c r="Q162" i="21"/>
  <c r="R162" i="21"/>
  <c r="S162" i="21"/>
  <c r="T162" i="21"/>
  <c r="M163" i="21"/>
  <c r="N163" i="21"/>
  <c r="O163" i="21"/>
  <c r="P163" i="21"/>
  <c r="Q163" i="21"/>
  <c r="R163" i="21"/>
  <c r="S163" i="21"/>
  <c r="T163" i="21"/>
  <c r="M164" i="21"/>
  <c r="N164" i="21"/>
  <c r="O164" i="21"/>
  <c r="P164" i="21"/>
  <c r="Q164" i="21"/>
  <c r="R164" i="21"/>
  <c r="S164" i="21"/>
  <c r="T164" i="21"/>
  <c r="M165" i="21"/>
  <c r="N165" i="21"/>
  <c r="O165" i="21"/>
  <c r="P165" i="21"/>
  <c r="Q165" i="21"/>
  <c r="R165" i="21"/>
  <c r="S165" i="21"/>
  <c r="T165" i="21"/>
  <c r="M166" i="21"/>
  <c r="N166" i="21"/>
  <c r="O166" i="21"/>
  <c r="P166" i="21"/>
  <c r="Q166" i="21"/>
  <c r="R166" i="21"/>
  <c r="S166" i="21"/>
  <c r="T166" i="21"/>
  <c r="M167" i="21"/>
  <c r="N167" i="21"/>
  <c r="O167" i="21"/>
  <c r="P167" i="21"/>
  <c r="Q167" i="21"/>
  <c r="R167" i="21"/>
  <c r="S167" i="21"/>
  <c r="T167" i="21"/>
  <c r="M168" i="21"/>
  <c r="N168" i="21"/>
  <c r="O168" i="21"/>
  <c r="P168" i="21"/>
  <c r="Q168" i="21"/>
  <c r="R168" i="21"/>
  <c r="S168" i="21"/>
  <c r="T168" i="21"/>
  <c r="M169" i="21"/>
  <c r="N169" i="21"/>
  <c r="O169" i="21"/>
  <c r="P169" i="21"/>
  <c r="Q169" i="21"/>
  <c r="R169" i="21"/>
  <c r="S169" i="21"/>
  <c r="T169" i="21"/>
  <c r="M170" i="21"/>
  <c r="N170" i="21"/>
  <c r="O170" i="21"/>
  <c r="P170" i="21"/>
  <c r="Q170" i="21"/>
  <c r="R170" i="21"/>
  <c r="S170" i="21"/>
  <c r="T170" i="21"/>
  <c r="M171" i="21"/>
  <c r="N171" i="21"/>
  <c r="O171" i="21"/>
  <c r="P171" i="21"/>
  <c r="Q171" i="21"/>
  <c r="R171" i="21"/>
  <c r="S171" i="21"/>
  <c r="T171" i="21"/>
  <c r="M172" i="21"/>
  <c r="N172" i="21"/>
  <c r="O172" i="21"/>
  <c r="P172" i="21"/>
  <c r="Q172" i="21"/>
  <c r="R172" i="21"/>
  <c r="S172" i="21"/>
  <c r="T172" i="21"/>
  <c r="M173" i="21"/>
  <c r="N173" i="21"/>
  <c r="O173" i="21"/>
  <c r="P173" i="21"/>
  <c r="Q173" i="21"/>
  <c r="R173" i="21"/>
  <c r="S173" i="21"/>
  <c r="T173" i="21"/>
  <c r="M174" i="21"/>
  <c r="N174" i="21"/>
  <c r="O174" i="21"/>
  <c r="P174" i="21"/>
  <c r="Q174" i="21"/>
  <c r="R174" i="21"/>
  <c r="S174" i="21"/>
  <c r="T174" i="21"/>
  <c r="M175" i="21"/>
  <c r="N175" i="21"/>
  <c r="O175" i="21"/>
  <c r="P175" i="21"/>
  <c r="Q175" i="21"/>
  <c r="R175" i="21"/>
  <c r="S175" i="21"/>
  <c r="T175" i="21"/>
  <c r="M176" i="21"/>
  <c r="N176" i="21"/>
  <c r="O176" i="21"/>
  <c r="P176" i="21"/>
  <c r="Q176" i="21"/>
  <c r="R176" i="21"/>
  <c r="S176" i="21"/>
  <c r="T176" i="21"/>
  <c r="M177" i="21"/>
  <c r="N177" i="21"/>
  <c r="O177" i="21"/>
  <c r="P177" i="21"/>
  <c r="Q177" i="21"/>
  <c r="R177" i="21"/>
  <c r="S177" i="21"/>
  <c r="T177" i="21"/>
  <c r="M178" i="21"/>
  <c r="N178" i="21"/>
  <c r="O178" i="21"/>
  <c r="P178" i="21"/>
  <c r="Q178" i="21"/>
  <c r="R178" i="21"/>
  <c r="S178" i="21"/>
  <c r="T178" i="21"/>
  <c r="M179" i="21"/>
  <c r="N179" i="21"/>
  <c r="O179" i="21"/>
  <c r="P179" i="21"/>
  <c r="Q179" i="21"/>
  <c r="R179" i="21"/>
  <c r="S179" i="21"/>
  <c r="T179" i="21"/>
  <c r="M180" i="21"/>
  <c r="N180" i="21"/>
  <c r="O180" i="21"/>
  <c r="P180" i="21"/>
  <c r="Q180" i="21"/>
  <c r="R180" i="21"/>
  <c r="S180" i="21"/>
  <c r="T180" i="21"/>
  <c r="M181" i="21"/>
  <c r="N181" i="21"/>
  <c r="O181" i="21"/>
  <c r="P181" i="21"/>
  <c r="Q181" i="21"/>
  <c r="R181" i="21"/>
  <c r="S181" i="21"/>
  <c r="T181" i="21"/>
  <c r="M182" i="21"/>
  <c r="N182" i="21"/>
  <c r="O182" i="21"/>
  <c r="P182" i="21"/>
  <c r="Q182" i="21"/>
  <c r="R182" i="21"/>
  <c r="S182" i="21"/>
  <c r="T182" i="21"/>
  <c r="M183" i="21"/>
  <c r="N183" i="21"/>
  <c r="O183" i="21"/>
  <c r="P183" i="21"/>
  <c r="Q183" i="21"/>
  <c r="R183" i="21"/>
  <c r="S183" i="21"/>
  <c r="T183" i="21"/>
  <c r="M184" i="21"/>
  <c r="N184" i="21"/>
  <c r="O184" i="21"/>
  <c r="P184" i="21"/>
  <c r="Q184" i="21"/>
  <c r="R184" i="21"/>
  <c r="S184" i="21"/>
  <c r="T184" i="21"/>
  <c r="M185" i="21"/>
  <c r="N185" i="21"/>
  <c r="O185" i="21"/>
  <c r="P185" i="21"/>
  <c r="Q185" i="21"/>
  <c r="R185" i="21"/>
  <c r="S185" i="21"/>
  <c r="T185" i="21"/>
  <c r="M186" i="21"/>
  <c r="N186" i="21"/>
  <c r="O186" i="21"/>
  <c r="P186" i="21"/>
  <c r="Q186" i="21"/>
  <c r="R186" i="21"/>
  <c r="S186" i="21"/>
  <c r="T186" i="21"/>
  <c r="M187" i="21"/>
  <c r="N187" i="21"/>
  <c r="O187" i="21"/>
  <c r="P187" i="21"/>
  <c r="Q187" i="21"/>
  <c r="R187" i="21"/>
  <c r="S187" i="21"/>
  <c r="T187" i="21"/>
  <c r="M188" i="21"/>
  <c r="N188" i="21"/>
  <c r="O188" i="21"/>
  <c r="P188" i="21"/>
  <c r="Q188" i="21"/>
  <c r="R188" i="21"/>
  <c r="S188" i="21"/>
  <c r="T188" i="21"/>
  <c r="M189" i="21"/>
  <c r="N189" i="21"/>
  <c r="O189" i="21"/>
  <c r="P189" i="21"/>
  <c r="Q189" i="21"/>
  <c r="R189" i="21"/>
  <c r="S189" i="21"/>
  <c r="T189" i="21"/>
  <c r="M190" i="21"/>
  <c r="N190" i="21"/>
  <c r="O190" i="21"/>
  <c r="P190" i="21"/>
  <c r="Q190" i="21"/>
  <c r="R190" i="21"/>
  <c r="S190" i="21"/>
  <c r="T190" i="21"/>
  <c r="M191" i="21"/>
  <c r="N191" i="21"/>
  <c r="O191" i="21"/>
  <c r="P191" i="21"/>
  <c r="Q191" i="21"/>
  <c r="R191" i="21"/>
  <c r="S191" i="21"/>
  <c r="T191" i="21"/>
  <c r="M192" i="21"/>
  <c r="N192" i="21"/>
  <c r="O192" i="21"/>
  <c r="P192" i="21"/>
  <c r="Q192" i="21"/>
  <c r="R192" i="21"/>
  <c r="S192" i="21"/>
  <c r="T192" i="21"/>
  <c r="M193" i="21"/>
  <c r="N193" i="21"/>
  <c r="O193" i="21"/>
  <c r="P193" i="21"/>
  <c r="Q193" i="21"/>
  <c r="R193" i="21"/>
  <c r="S193" i="21"/>
  <c r="T193" i="21"/>
  <c r="M194" i="21"/>
  <c r="N194" i="21"/>
  <c r="O194" i="21"/>
  <c r="P194" i="21"/>
  <c r="Q194" i="21"/>
  <c r="R194" i="21"/>
  <c r="S194" i="21"/>
  <c r="T194" i="21"/>
  <c r="T87" i="21"/>
  <c r="S87" i="21"/>
  <c r="R87" i="21"/>
  <c r="Q87" i="21"/>
  <c r="P87" i="21"/>
  <c r="O87" i="21"/>
  <c r="M9" i="21"/>
  <c r="N9" i="21"/>
  <c r="O9" i="21"/>
  <c r="P9" i="21"/>
  <c r="Q9" i="21"/>
  <c r="R9" i="21"/>
  <c r="S9" i="21"/>
  <c r="T9" i="21"/>
  <c r="M10" i="21"/>
  <c r="N10" i="21"/>
  <c r="O10" i="21"/>
  <c r="P10" i="21"/>
  <c r="Q10" i="21"/>
  <c r="R10" i="21"/>
  <c r="S10" i="21"/>
  <c r="T10" i="21"/>
  <c r="M11" i="21"/>
  <c r="N11" i="21"/>
  <c r="O11" i="21"/>
  <c r="P11" i="21"/>
  <c r="Q11" i="21"/>
  <c r="R11" i="21"/>
  <c r="S11" i="21"/>
  <c r="T11" i="21"/>
  <c r="M12" i="21"/>
  <c r="N12" i="21"/>
  <c r="O12" i="21"/>
  <c r="P12" i="21"/>
  <c r="Q12" i="21"/>
  <c r="R12" i="21"/>
  <c r="S12" i="21"/>
  <c r="T12" i="21"/>
  <c r="M13" i="21"/>
  <c r="N13" i="21"/>
  <c r="O13" i="21"/>
  <c r="P13" i="21"/>
  <c r="Q13" i="21"/>
  <c r="R13" i="21"/>
  <c r="S13" i="21"/>
  <c r="T13" i="21"/>
  <c r="M14" i="21"/>
  <c r="N14" i="21"/>
  <c r="O14" i="21"/>
  <c r="P14" i="21"/>
  <c r="Q14" i="21"/>
  <c r="R14" i="21"/>
  <c r="S14" i="21"/>
  <c r="T14" i="21"/>
  <c r="M15" i="21"/>
  <c r="N15" i="21"/>
  <c r="O15" i="21"/>
  <c r="P15" i="21"/>
  <c r="Q15" i="21"/>
  <c r="R15" i="21"/>
  <c r="S15" i="21"/>
  <c r="T15" i="21"/>
  <c r="M16" i="21"/>
  <c r="O16" i="21"/>
  <c r="P16" i="21"/>
  <c r="Q16" i="21"/>
  <c r="R16" i="21"/>
  <c r="S16" i="21"/>
  <c r="T16" i="21"/>
  <c r="M17" i="21"/>
  <c r="N17" i="21"/>
  <c r="O17" i="21"/>
  <c r="P17" i="21"/>
  <c r="Q17" i="21"/>
  <c r="R17" i="21"/>
  <c r="S17" i="21"/>
  <c r="T17" i="21"/>
  <c r="M18" i="21"/>
  <c r="N18" i="21"/>
  <c r="O18" i="21"/>
  <c r="P18" i="21"/>
  <c r="Q18" i="21"/>
  <c r="R18" i="21"/>
  <c r="S18" i="21"/>
  <c r="T18" i="21"/>
  <c r="M19" i="21"/>
  <c r="N19" i="21"/>
  <c r="O19" i="21"/>
  <c r="P19" i="21"/>
  <c r="Q19" i="21"/>
  <c r="R19" i="21"/>
  <c r="S19" i="21"/>
  <c r="T19" i="21"/>
  <c r="M20" i="21"/>
  <c r="N20" i="21"/>
  <c r="O20" i="21"/>
  <c r="P20" i="21"/>
  <c r="Q20" i="21"/>
  <c r="R20" i="21"/>
  <c r="S20" i="21"/>
  <c r="T20" i="21"/>
  <c r="M21" i="21"/>
  <c r="N21" i="21"/>
  <c r="O21" i="21"/>
  <c r="P21" i="21"/>
  <c r="Q21" i="21"/>
  <c r="R21" i="21"/>
  <c r="S21" i="21"/>
  <c r="T21" i="21"/>
  <c r="M22" i="21"/>
  <c r="N22" i="21"/>
  <c r="O22" i="21"/>
  <c r="P22" i="21"/>
  <c r="Q22" i="21"/>
  <c r="R22" i="21"/>
  <c r="S22" i="21"/>
  <c r="T22" i="21"/>
  <c r="M23" i="21"/>
  <c r="N23" i="21"/>
  <c r="O23" i="21"/>
  <c r="P23" i="21"/>
  <c r="Q23" i="21"/>
  <c r="R23" i="21"/>
  <c r="S23" i="21"/>
  <c r="T23" i="21"/>
  <c r="M24" i="21"/>
  <c r="N24" i="21"/>
  <c r="O24" i="21"/>
  <c r="P24" i="21"/>
  <c r="Q24" i="21"/>
  <c r="R24" i="21"/>
  <c r="S24" i="21"/>
  <c r="U24" i="21" s="1"/>
  <c r="T24" i="21"/>
  <c r="M25" i="21"/>
  <c r="N25" i="21"/>
  <c r="O25" i="21"/>
  <c r="P25" i="21"/>
  <c r="Q25" i="21"/>
  <c r="R25" i="21"/>
  <c r="S25" i="21"/>
  <c r="T25" i="21"/>
  <c r="M26" i="21"/>
  <c r="N26" i="21"/>
  <c r="O26" i="21"/>
  <c r="P26" i="21"/>
  <c r="Q26" i="21"/>
  <c r="R26" i="21"/>
  <c r="S26" i="21"/>
  <c r="T26" i="21"/>
  <c r="M27" i="21"/>
  <c r="N27" i="21"/>
  <c r="O27" i="21"/>
  <c r="P27" i="21"/>
  <c r="Q27" i="21"/>
  <c r="R27" i="21"/>
  <c r="S27" i="21"/>
  <c r="T27" i="21"/>
  <c r="M28" i="21"/>
  <c r="N28" i="21"/>
  <c r="O28" i="21"/>
  <c r="P28" i="21"/>
  <c r="Q28" i="21"/>
  <c r="R28" i="21"/>
  <c r="S28" i="21"/>
  <c r="T28" i="21"/>
  <c r="M29" i="21"/>
  <c r="N29" i="21"/>
  <c r="O29" i="21"/>
  <c r="P29" i="21"/>
  <c r="Q29" i="21"/>
  <c r="R29" i="21"/>
  <c r="S29" i="21"/>
  <c r="T29" i="21"/>
  <c r="M30" i="21"/>
  <c r="N30" i="21"/>
  <c r="O30" i="21"/>
  <c r="P30" i="21"/>
  <c r="Q30" i="21"/>
  <c r="R30" i="21"/>
  <c r="S30" i="21"/>
  <c r="T30" i="21"/>
  <c r="M31" i="21"/>
  <c r="N31" i="21"/>
  <c r="O31" i="21"/>
  <c r="P31" i="21"/>
  <c r="Q31" i="21"/>
  <c r="R31" i="21"/>
  <c r="S31" i="21"/>
  <c r="T31" i="21"/>
  <c r="M32" i="21"/>
  <c r="N32" i="21"/>
  <c r="O32" i="21"/>
  <c r="P32" i="21"/>
  <c r="Q32" i="21"/>
  <c r="R32" i="21"/>
  <c r="S32" i="21"/>
  <c r="T32" i="21"/>
  <c r="M33" i="21"/>
  <c r="N33" i="21"/>
  <c r="O33" i="21"/>
  <c r="P33" i="21"/>
  <c r="Q33" i="21"/>
  <c r="R33" i="21"/>
  <c r="S33" i="21"/>
  <c r="T33" i="21"/>
  <c r="M34" i="21"/>
  <c r="N34" i="21"/>
  <c r="O34" i="21"/>
  <c r="P34" i="21"/>
  <c r="Q34" i="21"/>
  <c r="R34" i="21"/>
  <c r="S34" i="21"/>
  <c r="T34" i="21"/>
  <c r="M35" i="21"/>
  <c r="N35" i="21"/>
  <c r="O35" i="21"/>
  <c r="P35" i="21"/>
  <c r="Q35" i="21"/>
  <c r="R35" i="21"/>
  <c r="S35" i="21"/>
  <c r="T35" i="21"/>
  <c r="M36" i="21"/>
  <c r="N36" i="21"/>
  <c r="O36" i="21"/>
  <c r="P36" i="21"/>
  <c r="Q36" i="21"/>
  <c r="R36" i="21"/>
  <c r="S36" i="21"/>
  <c r="T36" i="21"/>
  <c r="M37" i="21"/>
  <c r="N37" i="21"/>
  <c r="O37" i="21"/>
  <c r="P37" i="21"/>
  <c r="Q37" i="21"/>
  <c r="R37" i="21"/>
  <c r="S37" i="21"/>
  <c r="T37" i="21"/>
  <c r="M38" i="21"/>
  <c r="N38" i="21"/>
  <c r="O38" i="21"/>
  <c r="P38" i="21"/>
  <c r="Q38" i="21"/>
  <c r="R38" i="21"/>
  <c r="S38" i="21"/>
  <c r="T38" i="21"/>
  <c r="M39" i="21"/>
  <c r="N39" i="21"/>
  <c r="O39" i="21"/>
  <c r="P39" i="21"/>
  <c r="Q39" i="21"/>
  <c r="R39" i="21"/>
  <c r="S39" i="21"/>
  <c r="T39" i="21"/>
  <c r="M40" i="21"/>
  <c r="N40" i="21"/>
  <c r="O40" i="21"/>
  <c r="P40" i="21"/>
  <c r="Q40" i="21"/>
  <c r="R40" i="21"/>
  <c r="S40" i="21"/>
  <c r="T40" i="21"/>
  <c r="M41" i="21"/>
  <c r="N41" i="21"/>
  <c r="O41" i="21"/>
  <c r="P41" i="21"/>
  <c r="Q41" i="21"/>
  <c r="R41" i="21"/>
  <c r="S41" i="21"/>
  <c r="T41" i="21"/>
  <c r="M42" i="21"/>
  <c r="N42" i="21"/>
  <c r="O42" i="21"/>
  <c r="P42" i="21"/>
  <c r="Q42" i="21"/>
  <c r="R42" i="21"/>
  <c r="S42" i="21"/>
  <c r="T42" i="21"/>
  <c r="M43" i="21"/>
  <c r="N43" i="21"/>
  <c r="O43" i="21"/>
  <c r="P43" i="21"/>
  <c r="Q43" i="21"/>
  <c r="R43" i="21"/>
  <c r="S43" i="21"/>
  <c r="T43" i="21"/>
  <c r="M44" i="21"/>
  <c r="N44" i="21"/>
  <c r="O44" i="21"/>
  <c r="P44" i="21"/>
  <c r="Q44" i="21"/>
  <c r="R44" i="21"/>
  <c r="S44" i="21"/>
  <c r="T44" i="21"/>
  <c r="M45" i="21"/>
  <c r="N45" i="21"/>
  <c r="O45" i="21"/>
  <c r="P45" i="21"/>
  <c r="Q45" i="21"/>
  <c r="R45" i="21"/>
  <c r="S45" i="21"/>
  <c r="T45" i="21"/>
  <c r="M46" i="21"/>
  <c r="N46" i="21"/>
  <c r="O46" i="21"/>
  <c r="P46" i="21"/>
  <c r="Q46" i="21"/>
  <c r="R46" i="21"/>
  <c r="S46" i="21"/>
  <c r="T46" i="21"/>
  <c r="M47" i="21"/>
  <c r="N47" i="21"/>
  <c r="O47" i="21"/>
  <c r="P47" i="21"/>
  <c r="Q47" i="21"/>
  <c r="R47" i="21"/>
  <c r="S47" i="21"/>
  <c r="T47" i="21"/>
  <c r="M48" i="21"/>
  <c r="N48" i="21"/>
  <c r="O48" i="21"/>
  <c r="P48" i="21"/>
  <c r="Q48" i="21"/>
  <c r="R48" i="21"/>
  <c r="S48" i="21"/>
  <c r="T48" i="21"/>
  <c r="M49" i="21"/>
  <c r="N49" i="21"/>
  <c r="O49" i="21"/>
  <c r="P49" i="21"/>
  <c r="Q49" i="21"/>
  <c r="R49" i="21"/>
  <c r="S49" i="21"/>
  <c r="T49" i="21"/>
  <c r="M50" i="21"/>
  <c r="N50" i="21"/>
  <c r="O50" i="21"/>
  <c r="P50" i="21"/>
  <c r="Q50" i="21"/>
  <c r="R50" i="21"/>
  <c r="S50" i="21"/>
  <c r="T50" i="21"/>
  <c r="M51" i="21"/>
  <c r="N51" i="21"/>
  <c r="O51" i="21"/>
  <c r="P51" i="21"/>
  <c r="Q51" i="21"/>
  <c r="R51" i="21"/>
  <c r="S51" i="21"/>
  <c r="T51" i="21"/>
  <c r="M52" i="21"/>
  <c r="N52" i="21"/>
  <c r="O52" i="21"/>
  <c r="P52" i="21"/>
  <c r="Q52" i="21"/>
  <c r="R52" i="21"/>
  <c r="S52" i="21"/>
  <c r="T52" i="21"/>
  <c r="M53" i="21"/>
  <c r="N53" i="21"/>
  <c r="O53" i="21"/>
  <c r="P53" i="21"/>
  <c r="Q53" i="21"/>
  <c r="R53" i="21"/>
  <c r="S53" i="21"/>
  <c r="T53" i="21"/>
  <c r="M54" i="21"/>
  <c r="N54" i="21"/>
  <c r="O54" i="21"/>
  <c r="P54" i="21"/>
  <c r="Q54" i="21"/>
  <c r="R54" i="21"/>
  <c r="S54" i="21"/>
  <c r="T54" i="21"/>
  <c r="M55" i="21"/>
  <c r="N55" i="21"/>
  <c r="O55" i="21"/>
  <c r="P55" i="21"/>
  <c r="Q55" i="21"/>
  <c r="R55" i="21"/>
  <c r="S55" i="21"/>
  <c r="T55" i="21"/>
  <c r="M56" i="21"/>
  <c r="N56" i="21"/>
  <c r="O56" i="21"/>
  <c r="P56" i="21"/>
  <c r="Q56" i="21"/>
  <c r="R56" i="21"/>
  <c r="S56" i="21"/>
  <c r="T56" i="21"/>
  <c r="M57" i="21"/>
  <c r="N57" i="21"/>
  <c r="O57" i="21"/>
  <c r="P57" i="21"/>
  <c r="Q57" i="21"/>
  <c r="R57" i="21"/>
  <c r="S57" i="21"/>
  <c r="T57" i="21"/>
  <c r="M58" i="21"/>
  <c r="N58" i="21"/>
  <c r="O58" i="21"/>
  <c r="P58" i="21"/>
  <c r="Q58" i="21"/>
  <c r="R58" i="21"/>
  <c r="S58" i="21"/>
  <c r="T58" i="21"/>
  <c r="M59" i="21"/>
  <c r="N59" i="21"/>
  <c r="O59" i="21"/>
  <c r="P59" i="21"/>
  <c r="Q59" i="21"/>
  <c r="R59" i="21"/>
  <c r="S59" i="21"/>
  <c r="T59" i="21"/>
  <c r="M60" i="21"/>
  <c r="N60" i="21"/>
  <c r="O60" i="21"/>
  <c r="P60" i="21"/>
  <c r="Q60" i="21"/>
  <c r="R60" i="21"/>
  <c r="S60" i="21"/>
  <c r="T60" i="21"/>
  <c r="M61" i="21"/>
  <c r="N61" i="21"/>
  <c r="O61" i="21"/>
  <c r="P61" i="21"/>
  <c r="Q61" i="21"/>
  <c r="R61" i="21"/>
  <c r="S61" i="21"/>
  <c r="T61" i="21"/>
  <c r="M62" i="21"/>
  <c r="N62" i="21"/>
  <c r="O62" i="21"/>
  <c r="P62" i="21"/>
  <c r="Q62" i="21"/>
  <c r="R62" i="21"/>
  <c r="S62" i="21"/>
  <c r="T62" i="21"/>
  <c r="M63" i="21"/>
  <c r="N63" i="21"/>
  <c r="O63" i="21"/>
  <c r="P63" i="21"/>
  <c r="Q63" i="21"/>
  <c r="R63" i="21"/>
  <c r="S63" i="21"/>
  <c r="T63" i="21"/>
  <c r="M64" i="21"/>
  <c r="N64" i="21"/>
  <c r="O64" i="21"/>
  <c r="P64" i="21"/>
  <c r="Q64" i="21"/>
  <c r="R64" i="21"/>
  <c r="S64" i="21"/>
  <c r="T64" i="21"/>
  <c r="M65" i="21"/>
  <c r="N65" i="21"/>
  <c r="O65" i="21"/>
  <c r="P65" i="21"/>
  <c r="Q65" i="21"/>
  <c r="R65" i="21"/>
  <c r="S65" i="21"/>
  <c r="T65" i="21"/>
  <c r="M66" i="21"/>
  <c r="N66" i="21"/>
  <c r="O66" i="21"/>
  <c r="P66" i="21"/>
  <c r="Q66" i="21"/>
  <c r="R66" i="21"/>
  <c r="S66" i="21"/>
  <c r="T66" i="21"/>
  <c r="M67" i="21"/>
  <c r="N67" i="21"/>
  <c r="O67" i="21"/>
  <c r="P67" i="21"/>
  <c r="Q67" i="21"/>
  <c r="R67" i="21"/>
  <c r="S67" i="21"/>
  <c r="T67" i="21"/>
  <c r="M68" i="21"/>
  <c r="N68" i="21"/>
  <c r="O68" i="21"/>
  <c r="P68" i="21"/>
  <c r="Q68" i="21"/>
  <c r="R68" i="21"/>
  <c r="S68" i="21"/>
  <c r="T68" i="21"/>
  <c r="M69" i="21"/>
  <c r="N69" i="21"/>
  <c r="O69" i="21"/>
  <c r="P69" i="21"/>
  <c r="Q69" i="21"/>
  <c r="R69" i="21"/>
  <c r="S69" i="21"/>
  <c r="T69" i="21"/>
  <c r="M70" i="21"/>
  <c r="N70" i="21"/>
  <c r="O70" i="21"/>
  <c r="P70" i="21"/>
  <c r="Q70" i="21"/>
  <c r="R70" i="21"/>
  <c r="S70" i="21"/>
  <c r="T70" i="21"/>
  <c r="M71" i="21"/>
  <c r="N71" i="21"/>
  <c r="O71" i="21"/>
  <c r="P71" i="21"/>
  <c r="Q71" i="21"/>
  <c r="R71" i="21"/>
  <c r="S71" i="21"/>
  <c r="T71" i="21"/>
  <c r="M72" i="21"/>
  <c r="N72" i="21"/>
  <c r="O72" i="21"/>
  <c r="P72" i="21"/>
  <c r="Q72" i="21"/>
  <c r="R72" i="21"/>
  <c r="S72" i="21"/>
  <c r="T72" i="21"/>
  <c r="M73" i="21"/>
  <c r="N73" i="21"/>
  <c r="O73" i="21"/>
  <c r="P73" i="21"/>
  <c r="Q73" i="21"/>
  <c r="R73" i="21"/>
  <c r="S73" i="21"/>
  <c r="T73" i="21"/>
  <c r="M74" i="21"/>
  <c r="N74" i="21"/>
  <c r="O74" i="21"/>
  <c r="P74" i="21"/>
  <c r="Q74" i="21"/>
  <c r="R74" i="21"/>
  <c r="S74" i="21"/>
  <c r="T74" i="21"/>
  <c r="M75" i="21"/>
  <c r="N75" i="21"/>
  <c r="O75" i="21"/>
  <c r="P75" i="21"/>
  <c r="Q75" i="21"/>
  <c r="R75" i="21"/>
  <c r="S75" i="21"/>
  <c r="T75" i="21"/>
  <c r="M76" i="21"/>
  <c r="N76" i="21"/>
  <c r="O76" i="21"/>
  <c r="P76" i="21"/>
  <c r="Q76" i="21"/>
  <c r="R76" i="21"/>
  <c r="S76" i="21"/>
  <c r="T76" i="21"/>
  <c r="M77" i="21"/>
  <c r="N77" i="21"/>
  <c r="O77" i="21"/>
  <c r="P77" i="21"/>
  <c r="Q77" i="21"/>
  <c r="R77" i="21"/>
  <c r="S77" i="21"/>
  <c r="T77" i="21"/>
  <c r="M78" i="21"/>
  <c r="N78" i="21"/>
  <c r="O78" i="21"/>
  <c r="P78" i="21"/>
  <c r="Q78" i="21"/>
  <c r="R78" i="21"/>
  <c r="S78" i="21"/>
  <c r="T78" i="21"/>
  <c r="M79" i="21"/>
  <c r="N79" i="21"/>
  <c r="O79" i="21"/>
  <c r="P79" i="21"/>
  <c r="Q79" i="21"/>
  <c r="R79" i="21"/>
  <c r="S79" i="21"/>
  <c r="T79" i="21"/>
  <c r="M80" i="21"/>
  <c r="N80" i="21"/>
  <c r="O80" i="21"/>
  <c r="P80" i="21"/>
  <c r="Q80" i="21"/>
  <c r="R80" i="21"/>
  <c r="S80" i="21"/>
  <c r="T80" i="21"/>
  <c r="T8" i="21"/>
  <c r="R8" i="21"/>
  <c r="P8" i="21"/>
  <c r="N8" i="21"/>
  <c r="C81" i="21"/>
  <c r="G8" i="21"/>
  <c r="D108" i="2"/>
  <c r="D109" i="2"/>
  <c r="D111" i="2"/>
  <c r="C111" i="2"/>
  <c r="C110" i="2"/>
  <c r="C108" i="2"/>
  <c r="C109" i="2"/>
  <c r="C60" i="2"/>
  <c r="C94" i="2" s="1"/>
  <c r="C43" i="14" s="1"/>
  <c r="U91" i="21"/>
  <c r="U10" i="21"/>
  <c r="U170" i="21"/>
  <c r="G57" i="18"/>
  <c r="H57" i="18"/>
  <c r="I57" i="18"/>
  <c r="L32" i="9"/>
  <c r="M32" i="9"/>
  <c r="N32" i="9"/>
  <c r="K32" i="9"/>
  <c r="C18" i="18"/>
  <c r="D7" i="2"/>
  <c r="D97" i="2" s="1"/>
  <c r="E7" i="2"/>
  <c r="E97" i="2" s="1"/>
  <c r="F7" i="2"/>
  <c r="F97" i="2" s="1"/>
  <c r="G7" i="2"/>
  <c r="G97" i="2" s="1"/>
  <c r="H7" i="2"/>
  <c r="H97" i="2" s="1"/>
  <c r="I7" i="2"/>
  <c r="C7" i="2"/>
  <c r="D77" i="14"/>
  <c r="E127" i="2"/>
  <c r="F127" i="2"/>
  <c r="G127" i="2"/>
  <c r="H127" i="2"/>
  <c r="I127" i="2"/>
  <c r="E128" i="2"/>
  <c r="F128" i="2"/>
  <c r="G128" i="2"/>
  <c r="H128" i="2"/>
  <c r="I128" i="2"/>
  <c r="D128" i="2"/>
  <c r="D127" i="2"/>
  <c r="M8" i="9"/>
  <c r="W11" i="9"/>
  <c r="N13" i="10"/>
  <c r="N14" i="10"/>
  <c r="N15" i="10"/>
  <c r="N16" i="10"/>
  <c r="N17" i="10"/>
  <c r="N12" i="10"/>
  <c r="L13" i="10"/>
  <c r="L14" i="10"/>
  <c r="L15" i="10"/>
  <c r="L16" i="10"/>
  <c r="L17" i="10"/>
  <c r="L12" i="10"/>
  <c r="V22" i="9"/>
  <c r="F77" i="14"/>
  <c r="C77" i="14"/>
  <c r="V20" i="9"/>
  <c r="V21" i="9"/>
  <c r="V19" i="9"/>
  <c r="D12" i="2"/>
  <c r="D27" i="2"/>
  <c r="D41" i="14" s="1"/>
  <c r="D52" i="2"/>
  <c r="D42" i="14" s="1"/>
  <c r="D60" i="2"/>
  <c r="D94" i="2" s="1"/>
  <c r="D43" i="14" s="1"/>
  <c r="F27" i="2"/>
  <c r="G27" i="2"/>
  <c r="H27" i="2"/>
  <c r="I27" i="2"/>
  <c r="E41" i="14" s="1"/>
  <c r="G41" i="14" s="1"/>
  <c r="C27" i="2"/>
  <c r="C41" i="14" s="1"/>
  <c r="E52" i="2"/>
  <c r="F42" i="14" s="1"/>
  <c r="I12" i="2"/>
  <c r="E39" i="14" s="1"/>
  <c r="G39" i="14" s="1"/>
  <c r="H39" i="14" s="1"/>
  <c r="I39" i="14" s="1"/>
  <c r="J39" i="14" s="1"/>
  <c r="I52" i="2"/>
  <c r="E42" i="14" s="1"/>
  <c r="G42" i="14" s="1"/>
  <c r="H42" i="14" s="1"/>
  <c r="I42" i="14" s="1"/>
  <c r="J42" i="14" s="1"/>
  <c r="I60" i="2"/>
  <c r="I94" i="2" s="1"/>
  <c r="E43" i="14" s="1"/>
  <c r="G43" i="14" s="1"/>
  <c r="H43" i="14" s="1"/>
  <c r="I43" i="14" s="1"/>
  <c r="J43" i="14" s="1"/>
  <c r="M7" i="9"/>
  <c r="C52" i="2"/>
  <c r="C42" i="14" s="1"/>
  <c r="C12" i="2"/>
  <c r="F60" i="2"/>
  <c r="F94" i="2" s="1"/>
  <c r="G60" i="2"/>
  <c r="G94" i="2" s="1"/>
  <c r="H60" i="2"/>
  <c r="H94" i="2" s="1"/>
  <c r="F12" i="2"/>
  <c r="F52" i="2"/>
  <c r="G12" i="2"/>
  <c r="G52" i="2"/>
  <c r="H12" i="2"/>
  <c r="H52" i="2"/>
  <c r="D101" i="2"/>
  <c r="D102" i="2"/>
  <c r="E102" i="2"/>
  <c r="F102" i="2"/>
  <c r="G102" i="2"/>
  <c r="H102" i="2"/>
  <c r="I102" i="2"/>
  <c r="D103" i="2"/>
  <c r="E103" i="2"/>
  <c r="F103" i="2"/>
  <c r="G103" i="2"/>
  <c r="H103" i="2"/>
  <c r="I103" i="2"/>
  <c r="D96" i="2"/>
  <c r="D48" i="14" s="1"/>
  <c r="E96" i="2"/>
  <c r="F48" i="14" s="1"/>
  <c r="F96" i="2"/>
  <c r="G96" i="2"/>
  <c r="H96" i="2"/>
  <c r="I96" i="2"/>
  <c r="E48" i="14" s="1"/>
  <c r="G48" i="14" s="1"/>
  <c r="H48" i="14" s="1"/>
  <c r="I48" i="14" s="1"/>
  <c r="J48" i="14" s="1"/>
  <c r="D95" i="2"/>
  <c r="D47" i="14" s="1"/>
  <c r="E95" i="2"/>
  <c r="F47" i="14" s="1"/>
  <c r="F95" i="2"/>
  <c r="G95" i="2"/>
  <c r="H95" i="2"/>
  <c r="I95" i="2"/>
  <c r="E47" i="14" s="1"/>
  <c r="G47" i="14" s="1"/>
  <c r="H47" i="14" s="1"/>
  <c r="I47" i="14" s="1"/>
  <c r="J47" i="14" s="1"/>
  <c r="C9" i="18"/>
  <c r="C25" i="18"/>
  <c r="C60" i="18"/>
  <c r="C61" i="18"/>
  <c r="C44" i="18"/>
  <c r="C63" i="14" s="1"/>
  <c r="E25" i="18"/>
  <c r="E44" i="18"/>
  <c r="F63" i="14" s="1"/>
  <c r="I44" i="18"/>
  <c r="E63" i="14" s="1"/>
  <c r="C21" i="19"/>
  <c r="C20" i="19"/>
  <c r="E7" i="19"/>
  <c r="C80" i="14"/>
  <c r="K53" i="9"/>
  <c r="O53" i="9"/>
  <c r="M47" i="9"/>
  <c r="M48" i="9"/>
  <c r="M49" i="9"/>
  <c r="Z35" i="9"/>
  <c r="G36" i="9"/>
  <c r="D60" i="10"/>
  <c r="G15" i="11"/>
  <c r="F15" i="11"/>
  <c r="E15" i="11" s="1"/>
  <c r="D15" i="11"/>
  <c r="F14" i="11"/>
  <c r="F72" i="14" s="1"/>
  <c r="D14" i="11"/>
  <c r="C72" i="14" s="1"/>
  <c r="C101" i="2"/>
  <c r="C102" i="2"/>
  <c r="C103" i="2"/>
  <c r="C6" i="3"/>
  <c r="C68" i="14" s="1"/>
  <c r="D9" i="18"/>
  <c r="D25" i="18"/>
  <c r="D60" i="18"/>
  <c r="D61" i="18"/>
  <c r="D44" i="18"/>
  <c r="D63" i="14" s="1"/>
  <c r="F44" i="18"/>
  <c r="G44" i="18"/>
  <c r="H44" i="18"/>
  <c r="E65" i="14"/>
  <c r="E56" i="14"/>
  <c r="C22" i="19"/>
  <c r="C55" i="14" s="1"/>
  <c r="C25" i="19"/>
  <c r="C57" i="14" s="1"/>
  <c r="D22" i="19"/>
  <c r="D55" i="14" s="1"/>
  <c r="E22" i="19"/>
  <c r="F55" i="14" s="1"/>
  <c r="D21" i="19"/>
  <c r="D20" i="19"/>
  <c r="D8" i="19"/>
  <c r="C8" i="19"/>
  <c r="C96" i="2"/>
  <c r="C48" i="14" s="1"/>
  <c r="C95" i="2"/>
  <c r="C47" i="14" s="1"/>
  <c r="F80" i="14"/>
  <c r="E80" i="14"/>
  <c r="D80" i="14"/>
  <c r="D25" i="19"/>
  <c r="D57" i="14" s="1"/>
  <c r="E25" i="19"/>
  <c r="F57" i="14" s="1"/>
  <c r="M60" i="10"/>
  <c r="J60" i="10"/>
  <c r="G60" i="10"/>
  <c r="E53" i="9"/>
  <c r="AC11" i="9"/>
  <c r="Z11" i="9"/>
  <c r="T11" i="9"/>
  <c r="Q11" i="9"/>
  <c r="F56" i="14"/>
  <c r="D56" i="14"/>
  <c r="C56" i="14"/>
  <c r="M52" i="9"/>
  <c r="M51" i="9"/>
  <c r="M50" i="9"/>
  <c r="M46" i="9"/>
  <c r="S53" i="9"/>
  <c r="Q53" i="9"/>
  <c r="I53" i="9"/>
  <c r="G53" i="9"/>
  <c r="Y35" i="9"/>
  <c r="X35" i="9"/>
  <c r="W35" i="9"/>
  <c r="Z34" i="9"/>
  <c r="Y34" i="9"/>
  <c r="X34" i="9"/>
  <c r="W34" i="9"/>
  <c r="Z33" i="9"/>
  <c r="Y33" i="9"/>
  <c r="X33" i="9"/>
  <c r="W33" i="9"/>
  <c r="V36" i="9"/>
  <c r="U36" i="9"/>
  <c r="T36" i="9"/>
  <c r="S36" i="9"/>
  <c r="R36" i="9"/>
  <c r="Q36" i="9"/>
  <c r="P36" i="9"/>
  <c r="O36" i="9"/>
  <c r="J36" i="9"/>
  <c r="I36" i="9"/>
  <c r="H36" i="9"/>
  <c r="AD23" i="9"/>
  <c r="V23" i="9" s="1"/>
  <c r="AB23" i="9"/>
  <c r="Z23" i="9"/>
  <c r="X23" i="9"/>
  <c r="M9" i="9"/>
  <c r="K69" i="10"/>
  <c r="E6" i="3"/>
  <c r="F68" i="14" s="1"/>
  <c r="D6" i="3"/>
  <c r="D68" i="14" s="1"/>
  <c r="F65" i="14"/>
  <c r="D65" i="14"/>
  <c r="C65" i="14"/>
  <c r="D61" i="14"/>
  <c r="C61" i="14"/>
  <c r="F58" i="14"/>
  <c r="D58" i="14"/>
  <c r="C58" i="14"/>
  <c r="F50" i="14"/>
  <c r="D50" i="14"/>
  <c r="C50" i="14"/>
  <c r="B48" i="14"/>
  <c r="B72" i="14"/>
  <c r="B71" i="14"/>
  <c r="B70" i="14"/>
  <c r="B68" i="14"/>
  <c r="B65" i="14"/>
  <c r="B64" i="14"/>
  <c r="B63" i="14"/>
  <c r="B62" i="14"/>
  <c r="B66" i="14"/>
  <c r="B61" i="14"/>
  <c r="B59" i="14"/>
  <c r="B58" i="14"/>
  <c r="B57" i="14"/>
  <c r="B55" i="14"/>
  <c r="B54" i="14"/>
  <c r="B52" i="14"/>
  <c r="B51" i="14"/>
  <c r="B50" i="14"/>
  <c r="B49" i="14"/>
  <c r="B47" i="14"/>
  <c r="B46" i="14"/>
  <c r="B45" i="14"/>
  <c r="B44" i="14"/>
  <c r="B43" i="14"/>
  <c r="B41" i="14"/>
  <c r="B42" i="14"/>
  <c r="B40" i="14"/>
  <c r="B39" i="14"/>
  <c r="B38" i="14"/>
  <c r="M10" i="9"/>
  <c r="C97" i="2"/>
  <c r="E8" i="19"/>
  <c r="E60" i="18"/>
  <c r="E20" i="19"/>
  <c r="F25" i="18"/>
  <c r="F22" i="19"/>
  <c r="E61" i="18"/>
  <c r="E21" i="19"/>
  <c r="I204" i="21"/>
  <c r="J204" i="21" s="1"/>
  <c r="K204" i="21" s="1"/>
  <c r="F21" i="19"/>
  <c r="F61" i="18"/>
  <c r="F60" i="18"/>
  <c r="F8" i="19"/>
  <c r="F20" i="19"/>
  <c r="G201" i="21" l="1"/>
  <c r="F38" i="14"/>
  <c r="F18" i="11" s="1"/>
  <c r="E18" i="11" s="1"/>
  <c r="M202" i="21"/>
  <c r="U69" i="21"/>
  <c r="U180" i="21"/>
  <c r="U90" i="21"/>
  <c r="G207" i="21"/>
  <c r="U62" i="21"/>
  <c r="U43" i="21"/>
  <c r="U193" i="21"/>
  <c r="U186" i="21"/>
  <c r="U182" i="21"/>
  <c r="U181" i="21"/>
  <c r="U179" i="21"/>
  <c r="U169" i="21"/>
  <c r="U166" i="21"/>
  <c r="U159" i="21"/>
  <c r="U149" i="21"/>
  <c r="U148" i="21"/>
  <c r="U145" i="21"/>
  <c r="U140" i="21"/>
  <c r="U138" i="21"/>
  <c r="U137" i="21"/>
  <c r="U134" i="21"/>
  <c r="U130" i="21"/>
  <c r="U126" i="21"/>
  <c r="U120" i="21"/>
  <c r="U119" i="21"/>
  <c r="U116" i="21"/>
  <c r="U113" i="21"/>
  <c r="U108" i="21"/>
  <c r="U98" i="21"/>
  <c r="U97" i="21"/>
  <c r="U94" i="21"/>
  <c r="U88" i="21"/>
  <c r="U61" i="21"/>
  <c r="U45" i="21"/>
  <c r="U44" i="21"/>
  <c r="U42" i="21"/>
  <c r="U39" i="21"/>
  <c r="U37" i="21"/>
  <c r="U35" i="21"/>
  <c r="U33" i="21"/>
  <c r="U32" i="21"/>
  <c r="U31" i="21"/>
  <c r="U29" i="21"/>
  <c r="U28" i="21"/>
  <c r="U27" i="21"/>
  <c r="U26" i="21"/>
  <c r="U22" i="21"/>
  <c r="U20" i="21"/>
  <c r="U18" i="21"/>
  <c r="U17" i="21"/>
  <c r="Q195" i="21"/>
  <c r="P195" i="21"/>
  <c r="P199" i="21"/>
  <c r="M218" i="21" s="1"/>
  <c r="M53" i="9"/>
  <c r="U15" i="21"/>
  <c r="U12" i="21"/>
  <c r="U11" i="21"/>
  <c r="U87" i="21"/>
  <c r="G203" i="21"/>
  <c r="J203" i="21" s="1"/>
  <c r="K203" i="21" s="1"/>
  <c r="U80" i="21"/>
  <c r="U79" i="21"/>
  <c r="U78" i="21"/>
  <c r="U77" i="21"/>
  <c r="U73" i="21"/>
  <c r="U72" i="21"/>
  <c r="U71" i="21"/>
  <c r="U70" i="21"/>
  <c r="U68" i="21"/>
  <c r="U67" i="21"/>
  <c r="U66" i="21"/>
  <c r="U65" i="21"/>
  <c r="U64" i="21"/>
  <c r="U63" i="21"/>
  <c r="U60" i="21"/>
  <c r="U59" i="21"/>
  <c r="U56" i="21"/>
  <c r="U54" i="21"/>
  <c r="U53" i="21"/>
  <c r="U52" i="21"/>
  <c r="U50" i="21"/>
  <c r="U48" i="21"/>
  <c r="U47" i="21"/>
  <c r="U46" i="21"/>
  <c r="E38" i="14"/>
  <c r="G38" i="14" s="1"/>
  <c r="H38" i="14" s="1"/>
  <c r="K89" i="2"/>
  <c r="R195" i="21"/>
  <c r="D19" i="19"/>
  <c r="D54" i="14" s="1"/>
  <c r="M228" i="21"/>
  <c r="J201" i="21"/>
  <c r="K201" i="21" s="1"/>
  <c r="I107" i="2"/>
  <c r="U194" i="21"/>
  <c r="U192" i="21"/>
  <c r="U191" i="21"/>
  <c r="U190" i="21"/>
  <c r="U189" i="21"/>
  <c r="U188" i="21"/>
  <c r="U187" i="21"/>
  <c r="U185" i="21"/>
  <c r="U184" i="21"/>
  <c r="U183" i="21"/>
  <c r="U178" i="21"/>
  <c r="U177" i="21"/>
  <c r="U176" i="21"/>
  <c r="U175" i="21"/>
  <c r="U174" i="21"/>
  <c r="U173" i="21"/>
  <c r="U172" i="21"/>
  <c r="U171" i="21"/>
  <c r="U168" i="21"/>
  <c r="U167" i="21"/>
  <c r="U165" i="21"/>
  <c r="U164" i="21"/>
  <c r="U163" i="21"/>
  <c r="U162" i="21"/>
  <c r="U161" i="21"/>
  <c r="U160" i="21"/>
  <c r="U158" i="21"/>
  <c r="U157" i="21"/>
  <c r="U156" i="21"/>
  <c r="U155" i="21"/>
  <c r="U154" i="21"/>
  <c r="U153" i="21"/>
  <c r="U152" i="21"/>
  <c r="U151" i="21"/>
  <c r="U150" i="21"/>
  <c r="U147" i="21"/>
  <c r="U146" i="21"/>
  <c r="U144" i="21"/>
  <c r="U143" i="21"/>
  <c r="U142" i="21"/>
  <c r="U141" i="21"/>
  <c r="U139" i="21"/>
  <c r="U136" i="21"/>
  <c r="U135" i="21"/>
  <c r="U133" i="21"/>
  <c r="U132" i="21"/>
  <c r="U131" i="21"/>
  <c r="U129" i="21"/>
  <c r="U127" i="21"/>
  <c r="U125" i="21"/>
  <c r="U124" i="21"/>
  <c r="U123" i="21"/>
  <c r="U122" i="21"/>
  <c r="U121" i="21"/>
  <c r="U118" i="21"/>
  <c r="U117" i="21"/>
  <c r="U115" i="21"/>
  <c r="U114" i="21"/>
  <c r="U112" i="21"/>
  <c r="U107" i="21"/>
  <c r="U105" i="21"/>
  <c r="U101" i="21"/>
  <c r="U96" i="21"/>
  <c r="H6" i="3"/>
  <c r="E101" i="2"/>
  <c r="D38" i="14"/>
  <c r="D107" i="2"/>
  <c r="D114" i="2" s="1"/>
  <c r="M11" i="9"/>
  <c r="M232" i="21"/>
  <c r="C107" i="2"/>
  <c r="M195" i="21"/>
  <c r="D72" i="18"/>
  <c r="D64" i="14" s="1"/>
  <c r="O199" i="21"/>
  <c r="U106" i="21"/>
  <c r="U104" i="21"/>
  <c r="U103" i="21"/>
  <c r="U102" i="21"/>
  <c r="U99" i="21"/>
  <c r="T195" i="21"/>
  <c r="C23" i="2"/>
  <c r="C40" i="14" s="1"/>
  <c r="E19" i="19"/>
  <c r="C72" i="18"/>
  <c r="C64" i="14" s="1"/>
  <c r="U41" i="21"/>
  <c r="U36" i="21"/>
  <c r="U25" i="21"/>
  <c r="U23" i="21"/>
  <c r="U21" i="21"/>
  <c r="U19" i="21"/>
  <c r="U16" i="21"/>
  <c r="N81" i="21"/>
  <c r="I9" i="18"/>
  <c r="H9" i="18"/>
  <c r="F18" i="20"/>
  <c r="I29" i="19" s="1"/>
  <c r="F17" i="20"/>
  <c r="I36" i="19" s="1"/>
  <c r="E58" i="14" s="1"/>
  <c r="I97" i="2"/>
  <c r="F17" i="11"/>
  <c r="E17" i="11" s="1"/>
  <c r="H41" i="14"/>
  <c r="I41" i="14" s="1"/>
  <c r="J41" i="14" s="1"/>
  <c r="D18" i="20"/>
  <c r="G29" i="19" s="1"/>
  <c r="D19" i="20"/>
  <c r="G35" i="19" s="1"/>
  <c r="G34" i="19" s="1"/>
  <c r="F72" i="18"/>
  <c r="G205" i="21"/>
  <c r="C38" i="14"/>
  <c r="D18" i="11" s="1"/>
  <c r="F6" i="3"/>
  <c r="G101" i="2"/>
  <c r="G202" i="21"/>
  <c r="J202" i="21" s="1"/>
  <c r="K202" i="21" s="1"/>
  <c r="G206" i="21"/>
  <c r="I206" i="21"/>
  <c r="H107" i="2"/>
  <c r="E14" i="11"/>
  <c r="F9" i="18"/>
  <c r="F13" i="18" s="1"/>
  <c r="F12" i="18" s="1"/>
  <c r="F98" i="2"/>
  <c r="E17" i="20"/>
  <c r="H36" i="19" s="1"/>
  <c r="E19" i="20"/>
  <c r="H35" i="19" s="1"/>
  <c r="H34" i="19" s="1"/>
  <c r="H25" i="19" s="1"/>
  <c r="D39" i="14"/>
  <c r="D98" i="2"/>
  <c r="M227" i="21"/>
  <c r="L28" i="10" s="1"/>
  <c r="P81" i="21"/>
  <c r="U9" i="21"/>
  <c r="T81" i="21"/>
  <c r="N199" i="21"/>
  <c r="S195" i="21"/>
  <c r="U111" i="21"/>
  <c r="U110" i="21"/>
  <c r="U109" i="21"/>
  <c r="U100" i="21"/>
  <c r="U95" i="21"/>
  <c r="U93" i="21"/>
  <c r="U92" i="21"/>
  <c r="N195" i="21"/>
  <c r="D23" i="2"/>
  <c r="C98" i="2"/>
  <c r="C39" i="14"/>
  <c r="M233" i="21"/>
  <c r="O195" i="21"/>
  <c r="R81" i="21"/>
  <c r="U58" i="21"/>
  <c r="U57" i="21"/>
  <c r="U55" i="21"/>
  <c r="U51" i="21"/>
  <c r="U49" i="21"/>
  <c r="U14" i="21"/>
  <c r="M81" i="21"/>
  <c r="U13" i="21"/>
  <c r="J207" i="21"/>
  <c r="K207" i="21" s="1"/>
  <c r="G107" i="2"/>
  <c r="C19" i="19"/>
  <c r="C54" i="14" s="1"/>
  <c r="D83" i="14"/>
  <c r="D72" i="14" s="1"/>
  <c r="U76" i="21"/>
  <c r="U75" i="21"/>
  <c r="U40" i="21"/>
  <c r="U38" i="21"/>
  <c r="U34" i="21"/>
  <c r="U30" i="21"/>
  <c r="U128" i="21"/>
  <c r="M199" i="21"/>
  <c r="M210" i="21" s="1"/>
  <c r="H23" i="2"/>
  <c r="H71" i="2" s="1"/>
  <c r="H100" i="2" s="1"/>
  <c r="H105" i="2" s="1"/>
  <c r="G23" i="2"/>
  <c r="G71" i="2" s="1"/>
  <c r="G86" i="2" s="1"/>
  <c r="F39" i="14"/>
  <c r="E23" i="2"/>
  <c r="E98" i="2"/>
  <c r="C17" i="20"/>
  <c r="C18" i="20"/>
  <c r="F29" i="19" s="1"/>
  <c r="C19" i="20"/>
  <c r="F35" i="19" s="1"/>
  <c r="F34" i="19" s="1"/>
  <c r="F23" i="2"/>
  <c r="F71" i="2" s="1"/>
  <c r="F86" i="2" s="1"/>
  <c r="F19" i="20"/>
  <c r="I35" i="19" s="1"/>
  <c r="I34" i="19" s="1"/>
  <c r="D17" i="20"/>
  <c r="G36" i="19" s="1"/>
  <c r="I23" i="2"/>
  <c r="E107" i="2"/>
  <c r="N21" i="10"/>
  <c r="L21" i="10"/>
  <c r="D17" i="11"/>
  <c r="N28" i="10"/>
  <c r="E37" i="19"/>
  <c r="F59" i="14" s="1"/>
  <c r="F54" i="14"/>
  <c r="N29" i="10"/>
  <c r="L29" i="10"/>
  <c r="N32" i="10"/>
  <c r="L32" i="10"/>
  <c r="O206" i="21"/>
  <c r="N206" i="21"/>
  <c r="P206" i="21"/>
  <c r="M206" i="21"/>
  <c r="M203" i="21" s="1"/>
  <c r="Q8" i="21"/>
  <c r="N202" i="21"/>
  <c r="O81" i="21"/>
  <c r="F19" i="19"/>
  <c r="E72" i="18"/>
  <c r="F64" i="14" s="1"/>
  <c r="I6" i="3"/>
  <c r="E68" i="14" s="1"/>
  <c r="E74" i="14" s="1"/>
  <c r="E77" i="14" s="1"/>
  <c r="F107" i="2"/>
  <c r="U74" i="21"/>
  <c r="G6" i="3"/>
  <c r="Z32" i="9"/>
  <c r="Z36" i="9" s="1"/>
  <c r="N36" i="9"/>
  <c r="X32" i="9"/>
  <c r="X36" i="9" s="1"/>
  <c r="L36" i="9"/>
  <c r="M36" i="9"/>
  <c r="Y32" i="9"/>
  <c r="Y36" i="9" s="1"/>
  <c r="K36" i="9"/>
  <c r="W32" i="9"/>
  <c r="W36" i="9" s="1"/>
  <c r="C113" i="2" l="1"/>
  <c r="C114" i="2" s="1"/>
  <c r="D37" i="19"/>
  <c r="D59" i="14" s="1"/>
  <c r="M111" i="2"/>
  <c r="M112" i="2" s="1"/>
  <c r="G87" i="2"/>
  <c r="H87" i="2" s="1"/>
  <c r="G25" i="19"/>
  <c r="I25" i="19"/>
  <c r="E57" i="14" s="1"/>
  <c r="F25" i="19"/>
  <c r="C37" i="19"/>
  <c r="C59" i="14" s="1"/>
  <c r="C71" i="2"/>
  <c r="C44" i="14" s="1"/>
  <c r="G17" i="11"/>
  <c r="L111" i="2"/>
  <c r="L112" i="2" s="1"/>
  <c r="U195" i="21"/>
  <c r="G18" i="11"/>
  <c r="N111" i="2"/>
  <c r="N112" i="2" s="1"/>
  <c r="F100" i="2"/>
  <c r="F105" i="2" s="1"/>
  <c r="F113" i="2"/>
  <c r="F114" i="2" s="1"/>
  <c r="D71" i="2"/>
  <c r="D40" i="14"/>
  <c r="H86" i="2"/>
  <c r="N33" i="10"/>
  <c r="L33" i="10"/>
  <c r="J206" i="21"/>
  <c r="K206" i="21" s="1"/>
  <c r="P205" i="21" s="1"/>
  <c r="P200" i="21" s="1"/>
  <c r="M223" i="21" s="1"/>
  <c r="L25" i="10" s="1"/>
  <c r="D7" i="11"/>
  <c r="E113" i="2"/>
  <c r="E114" i="2" s="1"/>
  <c r="G100" i="2"/>
  <c r="G105" i="2" s="1"/>
  <c r="F40" i="14"/>
  <c r="F7" i="11" s="1"/>
  <c r="E7" i="11" s="1"/>
  <c r="E71" i="2"/>
  <c r="E40" i="14"/>
  <c r="G7" i="11" s="1"/>
  <c r="I71" i="2"/>
  <c r="F37" i="19"/>
  <c r="K111" i="2"/>
  <c r="K112" i="2" s="1"/>
  <c r="C86" i="2"/>
  <c r="Q81" i="21"/>
  <c r="S8" i="21"/>
  <c r="O202" i="21"/>
  <c r="F7" i="18"/>
  <c r="F17" i="18" s="1"/>
  <c r="F24" i="18" s="1"/>
  <c r="F89" i="2"/>
  <c r="N25" i="10"/>
  <c r="N210" i="21"/>
  <c r="N203" i="21"/>
  <c r="G7" i="18"/>
  <c r="G17" i="18" s="1"/>
  <c r="G24" i="18" s="1"/>
  <c r="G40" i="14"/>
  <c r="G44" i="14" s="1"/>
  <c r="G49" i="14" s="1"/>
  <c r="G25" i="18" l="1"/>
  <c r="N205" i="21"/>
  <c r="N200" i="21" s="1"/>
  <c r="G89" i="2"/>
  <c r="G22" i="19"/>
  <c r="G98" i="2"/>
  <c r="G113" i="2" s="1"/>
  <c r="G114" i="2" s="1"/>
  <c r="C100" i="2"/>
  <c r="C105" i="2" s="1"/>
  <c r="C45" i="14" s="1"/>
  <c r="D8" i="11" s="1"/>
  <c r="C46" i="14" s="1"/>
  <c r="G9" i="19"/>
  <c r="G10" i="19" s="1"/>
  <c r="N211" i="21"/>
  <c r="M205" i="21"/>
  <c r="M200" i="21" s="1"/>
  <c r="M211" i="21" s="1"/>
  <c r="F26" i="18"/>
  <c r="G26" i="18"/>
  <c r="H7" i="18"/>
  <c r="H17" i="18" s="1"/>
  <c r="H24" i="18" s="1"/>
  <c r="H89" i="2"/>
  <c r="D86" i="2"/>
  <c r="D44" i="14"/>
  <c r="D100" i="2"/>
  <c r="D105" i="2" s="1"/>
  <c r="D45" i="14" s="1"/>
  <c r="D46" i="14" s="1"/>
  <c r="O205" i="21"/>
  <c r="O200" i="21" s="1"/>
  <c r="K209" i="21"/>
  <c r="C49" i="14"/>
  <c r="C89" i="2"/>
  <c r="C7" i="18"/>
  <c r="C17" i="18" s="1"/>
  <c r="C24" i="18" s="1"/>
  <c r="C26" i="18" s="1"/>
  <c r="D13" i="11"/>
  <c r="E44" i="14"/>
  <c r="I86" i="2"/>
  <c r="I87" i="2" s="1"/>
  <c r="I100" i="2"/>
  <c r="I105" i="2" s="1"/>
  <c r="E45" i="14" s="1"/>
  <c r="G45" i="14" s="1"/>
  <c r="H45" i="14" s="1"/>
  <c r="E86" i="2"/>
  <c r="F44" i="14"/>
  <c r="E100" i="2"/>
  <c r="E105" i="2" s="1"/>
  <c r="F45" i="14" s="1"/>
  <c r="O210" i="21"/>
  <c r="O203" i="21"/>
  <c r="U8" i="21"/>
  <c r="P202" i="21"/>
  <c r="S81" i="21"/>
  <c r="G91" i="2"/>
  <c r="G90" i="2"/>
  <c r="F91" i="2"/>
  <c r="F90" i="2"/>
  <c r="F17" i="19"/>
  <c r="H40" i="14"/>
  <c r="H44" i="14" s="1"/>
  <c r="H49" i="14" s="1"/>
  <c r="I38" i="14"/>
  <c r="G50" i="14"/>
  <c r="G55" i="14" s="1"/>
  <c r="O211" i="21" l="1"/>
  <c r="H10" i="19"/>
  <c r="G61" i="18"/>
  <c r="G21" i="19"/>
  <c r="H9" i="19"/>
  <c r="G8" i="19"/>
  <c r="G20" i="19"/>
  <c r="G60" i="18"/>
  <c r="F77" i="18"/>
  <c r="H91" i="2"/>
  <c r="H90" i="2"/>
  <c r="E50" i="14"/>
  <c r="I22" i="19"/>
  <c r="I25" i="18"/>
  <c r="I98" i="2"/>
  <c r="I113" i="2" s="1"/>
  <c r="I114" i="2" s="1"/>
  <c r="H25" i="18"/>
  <c r="H26" i="18" s="1"/>
  <c r="H22" i="19"/>
  <c r="H98" i="2"/>
  <c r="H113" i="2" s="1"/>
  <c r="H114" i="2" s="1"/>
  <c r="D49" i="14"/>
  <c r="D89" i="2"/>
  <c r="D7" i="18"/>
  <c r="D17" i="18" s="1"/>
  <c r="D24" i="18" s="1"/>
  <c r="D26" i="18" s="1"/>
  <c r="F49" i="14"/>
  <c r="E7" i="18"/>
  <c r="E17" i="18" s="1"/>
  <c r="E24" i="18" s="1"/>
  <c r="E26" i="18" s="1"/>
  <c r="E89" i="2"/>
  <c r="G8" i="11"/>
  <c r="E46" i="14" s="1"/>
  <c r="G13" i="11"/>
  <c r="F13" i="11"/>
  <c r="E13" i="11" s="1"/>
  <c r="F8" i="11"/>
  <c r="I7" i="18"/>
  <c r="I17" i="18" s="1"/>
  <c r="I24" i="18" s="1"/>
  <c r="E49" i="14"/>
  <c r="I89" i="2"/>
  <c r="I9" i="19" s="1"/>
  <c r="C62" i="14"/>
  <c r="C76" i="18"/>
  <c r="C77" i="18"/>
  <c r="C90" i="2"/>
  <c r="C91" i="2"/>
  <c r="C51" i="14"/>
  <c r="P203" i="21"/>
  <c r="P210" i="21"/>
  <c r="U81" i="21"/>
  <c r="M216" i="21"/>
  <c r="M217" i="21" s="1"/>
  <c r="J38" i="14"/>
  <c r="I40" i="14"/>
  <c r="I44" i="14" s="1"/>
  <c r="I49" i="14" s="1"/>
  <c r="H50" i="14"/>
  <c r="H55" i="14" s="1"/>
  <c r="G51" i="14"/>
  <c r="G19" i="19" l="1"/>
  <c r="G37" i="19" s="1"/>
  <c r="I26" i="18"/>
  <c r="E62" i="14" s="1"/>
  <c r="G72" i="18"/>
  <c r="G77" i="18" s="1"/>
  <c r="I10" i="19"/>
  <c r="I8" i="19" s="1"/>
  <c r="I60" i="18"/>
  <c r="I20" i="19"/>
  <c r="H20" i="19"/>
  <c r="H60" i="18"/>
  <c r="H8" i="19"/>
  <c r="H61" i="18"/>
  <c r="H21" i="19"/>
  <c r="H19" i="19" s="1"/>
  <c r="H37" i="19" s="1"/>
  <c r="G52" i="14"/>
  <c r="G54" i="14"/>
  <c r="G59" i="14" s="1"/>
  <c r="E55" i="14"/>
  <c r="D77" i="18"/>
  <c r="D76" i="18"/>
  <c r="D66" i="14" s="1"/>
  <c r="D62" i="14"/>
  <c r="D91" i="2"/>
  <c r="D51" i="14"/>
  <c r="D90" i="2"/>
  <c r="F46" i="14"/>
  <c r="E8" i="11"/>
  <c r="I91" i="2"/>
  <c r="E51" i="14"/>
  <c r="I90" i="2"/>
  <c r="E90" i="2"/>
  <c r="F51" i="14"/>
  <c r="E17" i="19"/>
  <c r="E91" i="2"/>
  <c r="G46" i="14"/>
  <c r="F62" i="14"/>
  <c r="E77" i="18"/>
  <c r="D11" i="11"/>
  <c r="C52" i="14" s="1"/>
  <c r="D10" i="11"/>
  <c r="C71" i="14" s="1"/>
  <c r="D9" i="11"/>
  <c r="C70" i="14" s="1"/>
  <c r="C66" i="14"/>
  <c r="C76" i="14"/>
  <c r="E74" i="18"/>
  <c r="H51" i="14"/>
  <c r="P211" i="21"/>
  <c r="L20" i="10"/>
  <c r="N20" i="10"/>
  <c r="M221" i="21"/>
  <c r="M226" i="21"/>
  <c r="J40" i="14"/>
  <c r="J44" i="14" s="1"/>
  <c r="J49" i="14" s="1"/>
  <c r="I50" i="14"/>
  <c r="I55" i="14" s="1"/>
  <c r="H72" i="18" l="1"/>
  <c r="H77" i="18" s="1"/>
  <c r="I61" i="18"/>
  <c r="I72" i="18" s="1"/>
  <c r="I21" i="19"/>
  <c r="I19" i="19" s="1"/>
  <c r="H52" i="14"/>
  <c r="H54" i="14"/>
  <c r="H59" i="14" s="1"/>
  <c r="D70" i="14"/>
  <c r="D71" i="14"/>
  <c r="D52" i="14"/>
  <c r="H7" i="19"/>
  <c r="H17" i="19" s="1"/>
  <c r="G7" i="19"/>
  <c r="G17" i="19" s="1"/>
  <c r="I7" i="19"/>
  <c r="I17" i="19" s="1"/>
  <c r="G11" i="11"/>
  <c r="E52" i="14" s="1"/>
  <c r="G9" i="11"/>
  <c r="E70" i="14" s="1"/>
  <c r="F61" i="14"/>
  <c r="E76" i="18"/>
  <c r="F10" i="11"/>
  <c r="F11" i="11"/>
  <c r="F9" i="11"/>
  <c r="I45" i="14"/>
  <c r="H46" i="14"/>
  <c r="M231" i="21"/>
  <c r="L23" i="10"/>
  <c r="N23" i="10"/>
  <c r="M222" i="21"/>
  <c r="I51" i="14"/>
  <c r="L19" i="10"/>
  <c r="N19" i="10"/>
  <c r="J50" i="14"/>
  <c r="J55" i="14" s="1"/>
  <c r="E54" i="14" l="1"/>
  <c r="E83" i="14" s="1"/>
  <c r="G14" i="11" s="1"/>
  <c r="E72" i="14" s="1"/>
  <c r="I37" i="19"/>
  <c r="E59" i="14" s="1"/>
  <c r="E64" i="14"/>
  <c r="I77" i="18"/>
  <c r="I52" i="14"/>
  <c r="I54" i="14"/>
  <c r="I59" i="14" s="1"/>
  <c r="J45" i="14"/>
  <c r="J46" i="14" s="1"/>
  <c r="I46" i="14"/>
  <c r="E9" i="11"/>
  <c r="F70" i="14"/>
  <c r="F52" i="14"/>
  <c r="E11" i="11"/>
  <c r="F71" i="14"/>
  <c r="E10" i="11"/>
  <c r="G74" i="18"/>
  <c r="G76" i="18" s="1"/>
  <c r="H74" i="18"/>
  <c r="H76" i="18" s="1"/>
  <c r="I74" i="18"/>
  <c r="F66" i="14"/>
  <c r="F74" i="18"/>
  <c r="F76" i="18" s="1"/>
  <c r="F76" i="14"/>
  <c r="L24" i="10"/>
  <c r="N24" i="10"/>
  <c r="N31" i="10"/>
  <c r="L31" i="10"/>
  <c r="J51" i="14"/>
  <c r="N27" i="10"/>
  <c r="L27" i="10"/>
  <c r="G10" i="11" l="1"/>
  <c r="E71" i="14" s="1"/>
  <c r="J52" i="14"/>
  <c r="J54" i="14"/>
  <c r="J59" i="14" s="1"/>
  <c r="I76" i="18"/>
  <c r="E61" i="14"/>
  <c r="E76" i="14" l="1"/>
  <c r="E66" i="14"/>
  <c r="G61" i="14" s="1"/>
  <c r="G66" i="14" s="1"/>
  <c r="H61" i="14" s="1"/>
  <c r="H66" i="14" s="1"/>
  <c r="I61" i="14" s="1"/>
  <c r="I66" i="14" s="1"/>
  <c r="J61" i="14" s="1"/>
  <c r="J66" i="14" s="1"/>
</calcChain>
</file>

<file path=xl/comments1.xml><?xml version="1.0" encoding="utf-8"?>
<comments xmlns="http://schemas.openxmlformats.org/spreadsheetml/2006/main">
  <authors>
    <author>1235</author>
  </authors>
  <commentList>
    <comment ref="E17" authorId="0" shapeId="0">
      <text>
        <r>
          <rPr>
            <b/>
            <sz val="22"/>
            <color indexed="81"/>
            <rFont val="Tahoma"/>
            <family val="2"/>
            <charset val="204"/>
          </rPr>
          <t>-46197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<sst xmlns="http://schemas.openxmlformats.org/spreadsheetml/2006/main" count="1034" uniqueCount="709">
  <si>
    <t>Код рядка</t>
  </si>
  <si>
    <t>капітальне будівництво</t>
  </si>
  <si>
    <t>придбання (виготовлення) основних засобів</t>
  </si>
  <si>
    <t>придбання (створення) нематеріальних активів</t>
  </si>
  <si>
    <t>Фінансовий результат від операційної діяльності</t>
  </si>
  <si>
    <t>Витрати на оплату праці</t>
  </si>
  <si>
    <t>Відрахування на соціальні заходи</t>
  </si>
  <si>
    <t>Амортизація</t>
  </si>
  <si>
    <t>за ЗКГНГ</t>
  </si>
  <si>
    <t>за СПОДУ</t>
  </si>
  <si>
    <t xml:space="preserve">за  КВЕД  </t>
  </si>
  <si>
    <t xml:space="preserve">Місцезнаходження  </t>
  </si>
  <si>
    <t xml:space="preserve">Телефон </t>
  </si>
  <si>
    <t xml:space="preserve">Прізвище та ініціали керівника  </t>
  </si>
  <si>
    <t xml:space="preserve">Підприємство  </t>
  </si>
  <si>
    <t xml:space="preserve">Організаційно-правова форма </t>
  </si>
  <si>
    <t xml:space="preserve">Вид економічної діяльності    </t>
  </si>
  <si>
    <t xml:space="preserve">Галузь     </t>
  </si>
  <si>
    <t xml:space="preserve">Код рядка </t>
  </si>
  <si>
    <t>Додаток 1</t>
  </si>
  <si>
    <t>Територія</t>
  </si>
  <si>
    <t>Форма власності</t>
  </si>
  <si>
    <t>витрати на страхові послуги</t>
  </si>
  <si>
    <t>витрати на аудиторські послуги</t>
  </si>
  <si>
    <t>Валовий прибуток (збиток)</t>
  </si>
  <si>
    <t xml:space="preserve">прибуток </t>
  </si>
  <si>
    <t>збиток</t>
  </si>
  <si>
    <t>Резервний фонд</t>
  </si>
  <si>
    <t>неустойки (штрафи, пені)</t>
  </si>
  <si>
    <t>витрати на паливо та енергію</t>
  </si>
  <si>
    <t>Інші операційні витрати</t>
  </si>
  <si>
    <t>придбання (виготовлення) інших необоротних матеріальних активів</t>
  </si>
  <si>
    <t>Факт минулого року</t>
  </si>
  <si>
    <t>Виручка від реалізації основних фондів</t>
  </si>
  <si>
    <t xml:space="preserve">Виручка від реалізації нематеріальних активів </t>
  </si>
  <si>
    <t>Грошові кошти:</t>
  </si>
  <si>
    <t>на початок періоду</t>
  </si>
  <si>
    <t>Чистий грошовий потік</t>
  </si>
  <si>
    <t>Забезпечення</t>
  </si>
  <si>
    <t>х</t>
  </si>
  <si>
    <t>Фінансовий план поточного року</t>
  </si>
  <si>
    <t>витрати на службові відрядження</t>
  </si>
  <si>
    <t>витрати на зв’язок</t>
  </si>
  <si>
    <t>витрати на оплату праці</t>
  </si>
  <si>
    <t>відрахування на соціальні заходи</t>
  </si>
  <si>
    <t>амортизація основних засобів і нематеріальних активів загальногосподарського призначення</t>
  </si>
  <si>
    <t>витрати на операційну оренду основних засобів та роялті, що мають загальногосподарське призначення</t>
  </si>
  <si>
    <t>витрати на страхування майна загальногосподарського призначення</t>
  </si>
  <si>
    <t>витрати на страхування загальногосподарського персоналу</t>
  </si>
  <si>
    <t xml:space="preserve">організаційно-технічні послуги </t>
  </si>
  <si>
    <t>юридичні послуги</t>
  </si>
  <si>
    <t>послуги з оцінки майна</t>
  </si>
  <si>
    <t>витрати на охорону праці загальногосподарського персоналу</t>
  </si>
  <si>
    <t xml:space="preserve">витрати на підвищення кваліфікації та перепідготовку кадрів </t>
  </si>
  <si>
    <t>витрати на поліпшення основних фондів</t>
  </si>
  <si>
    <t>відрахування до резерву сумнівних боргів</t>
  </si>
  <si>
    <t>№ з/п</t>
  </si>
  <si>
    <t xml:space="preserve">Надходження від продажу акцій та облігацій </t>
  </si>
  <si>
    <t xml:space="preserve">Придбання акцій та облігацій  </t>
  </si>
  <si>
    <t>на кінець періоду</t>
  </si>
  <si>
    <t>Залучення кредитних коштів</t>
  </si>
  <si>
    <t>Усього</t>
  </si>
  <si>
    <t>Відсоток</t>
  </si>
  <si>
    <t>Залишок нерозподіленого прибутку (непокритого збитку) на початок звітного періоду</t>
  </si>
  <si>
    <t>Залишок нерозподіленого прибутку (непокритого збитку) на кінець звітного періоду</t>
  </si>
  <si>
    <t>відрахування до недержавних пенсійних фондів</t>
  </si>
  <si>
    <t>витрати на консалтингові послуги</t>
  </si>
  <si>
    <t>амортизація основних засобів і нематеріальних активів</t>
  </si>
  <si>
    <t>витрати на електроенергію</t>
  </si>
  <si>
    <t xml:space="preserve">витрати на паливо </t>
  </si>
  <si>
    <t>консультаційні та інформаційні послуги</t>
  </si>
  <si>
    <t>План поточного року</t>
  </si>
  <si>
    <t>Зобов'язання</t>
  </si>
  <si>
    <t xml:space="preserve">Сума, валюта за договорами </t>
  </si>
  <si>
    <t>Процентна ставка</t>
  </si>
  <si>
    <t>модернізація, модифікація (добудова, дообладнання, реконструкція) основних засобів</t>
  </si>
  <si>
    <t>Розвиток виробництва</t>
  </si>
  <si>
    <t>витрати на благодійну допомогу</t>
  </si>
  <si>
    <t xml:space="preserve">Вид кредитного продукту та цільове призначення </t>
  </si>
  <si>
    <t>за минулий рік</t>
  </si>
  <si>
    <t>за плановий рік</t>
  </si>
  <si>
    <t xml:space="preserve">      4. Діючі фінансові зобов'язання підприємства</t>
  </si>
  <si>
    <t xml:space="preserve">      5. Інформація щодо отримання та повернення залучених коштів</t>
  </si>
  <si>
    <t>витрати на утримання основних фондів, інших необоротних активів загальногосподарського використання,  у тому числі:</t>
  </si>
  <si>
    <t>(посада)</t>
  </si>
  <si>
    <t>(підпис)</t>
  </si>
  <si>
    <t>витрати на рекламу</t>
  </si>
  <si>
    <t>рік</t>
  </si>
  <si>
    <t>Інші операційні витрати, усього, у тому числі:</t>
  </si>
  <si>
    <t>Капітальні інвестиції, усього,
у тому числі:</t>
  </si>
  <si>
    <t>податок на доходи фізичних осіб</t>
  </si>
  <si>
    <t xml:space="preserve">Єдиний внесок на загальнообов'язкове державне соціальне страхування                              </t>
  </si>
  <si>
    <t>акцизний податок</t>
  </si>
  <si>
    <t>Вид діяльності</t>
  </si>
  <si>
    <t>Заборгованість на останню дату</t>
  </si>
  <si>
    <t>Заборгованість за кредитами на початок ______ року</t>
  </si>
  <si>
    <t>Заборгованість за кредитами на кінець ______ року</t>
  </si>
  <si>
    <t>Бюджетне фінансування</t>
  </si>
  <si>
    <t>інші платежі (розшифрувати)</t>
  </si>
  <si>
    <t xml:space="preserve">      1. Дані про підприємство, персонал та фонд заробітної плати</t>
  </si>
  <si>
    <t>кредити</t>
  </si>
  <si>
    <t>Отримання коштів  за довгостроковими зобов'язаннями, у тому числі:</t>
  </si>
  <si>
    <t>Повернення коштів за короткостроковими зобов'язаннями, у тому числі:</t>
  </si>
  <si>
    <t>Отримання коштів за короткостроковими зобов'язаннями, у тому числі:</t>
  </si>
  <si>
    <t>Повернення коштів  за довгостроковими зобов'язаннями, у тому числі:</t>
  </si>
  <si>
    <t xml:space="preserve">позики </t>
  </si>
  <si>
    <t>у тому числі за кварталами</t>
  </si>
  <si>
    <t>Фінансовий результат до оподаткування</t>
  </si>
  <si>
    <t>Чистий  фінансовий результат, у тому числі:</t>
  </si>
  <si>
    <t>І. Формування фінансових результатів</t>
  </si>
  <si>
    <t>плата за користування надрами</t>
  </si>
  <si>
    <t>Оптимальне значення</t>
  </si>
  <si>
    <t>Факт за звітний період поточного року на останню дату</t>
  </si>
  <si>
    <t>Планові показники</t>
  </si>
  <si>
    <t>Примітки</t>
  </si>
  <si>
    <t>&gt; 0</t>
  </si>
  <si>
    <t xml:space="preserve">         (ініціали, прізвище)    </t>
  </si>
  <si>
    <t>у тому числі:</t>
  </si>
  <si>
    <r>
      <t>у тому числі:</t>
    </r>
    <r>
      <rPr>
        <i/>
        <sz val="14"/>
        <rFont val="Times New Roman"/>
        <family val="1"/>
        <charset val="204"/>
      </rPr>
      <t xml:space="preserve"> </t>
    </r>
  </si>
  <si>
    <t>рентна плата за транспортування</t>
  </si>
  <si>
    <t>_____________________________</t>
  </si>
  <si>
    <t>витрати, пов'язані з використанням власних службових автомобілів</t>
  </si>
  <si>
    <t>Чистий дохід від реалізації продукції (товарів, робіт, послуг) (розшифрувати)</t>
  </si>
  <si>
    <t>Дохід від участі в капіталі (розшифрувати)</t>
  </si>
  <si>
    <t>Фінансові витрати (розшифрувати)</t>
  </si>
  <si>
    <t>Втрати від участі в капіталі (розшифрувати)</t>
  </si>
  <si>
    <t>Інші витрати (розшифрувати)</t>
  </si>
  <si>
    <t>Інші фонди (розшифрувати)</t>
  </si>
  <si>
    <t>Інші цілі (розшифрувати)</t>
  </si>
  <si>
    <t>місцеві податки та збори (розшифрувати)</t>
  </si>
  <si>
    <t>Цільове фінансування  (розшифрувати)</t>
  </si>
  <si>
    <t xml:space="preserve">Інші надходження (розшифрувати) </t>
  </si>
  <si>
    <t xml:space="preserve">Придбання (створення) основних засобів (розшифрувати) </t>
  </si>
  <si>
    <t xml:space="preserve">Капітальне будівництво (розшифрувати) </t>
  </si>
  <si>
    <t xml:space="preserve">Придбання (створення) нематеріальних активів (розшифрувати) </t>
  </si>
  <si>
    <t>облігації</t>
  </si>
  <si>
    <t>Інформація</t>
  </si>
  <si>
    <t>інші витрати на збут (розшифрувати)</t>
  </si>
  <si>
    <t>Собівартість реалізованої продукції (товарів, робіт, послуг) (розшифрувати)</t>
  </si>
  <si>
    <t>Найменування  банку</t>
  </si>
  <si>
    <t>Інші джерела (розшифрувати)</t>
  </si>
  <si>
    <t>(ініціали, прізвище)</t>
  </si>
  <si>
    <t>за КОАТУУ</t>
  </si>
  <si>
    <t>за КОПФГ</t>
  </si>
  <si>
    <t>у тому числі за основними видами діяльності за КВЕД</t>
  </si>
  <si>
    <t>(найменування підприємства)</t>
  </si>
  <si>
    <t>Середньооблікова чисельність осіб, у тому числі:</t>
  </si>
  <si>
    <t>План минулого року</t>
  </si>
  <si>
    <t>Плановий рік</t>
  </si>
  <si>
    <t>Код за ЄДРПОУ</t>
  </si>
  <si>
    <t>Витрати на збут</t>
  </si>
  <si>
    <t>Витрати (дохід) з податку на прибуток</t>
  </si>
  <si>
    <t xml:space="preserve">Прибуток (збиток) від  припиненої діяльності після оподаткування </t>
  </si>
  <si>
    <t>Адміністративні витрати</t>
  </si>
  <si>
    <t>Інші операційні доходи/витрати</t>
  </si>
  <si>
    <t>EBITDA</t>
  </si>
  <si>
    <t>Доходи/витрати від фінансової та інвестиційної діяльності</t>
  </si>
  <si>
    <t>Грошові кошти на початок періоду</t>
  </si>
  <si>
    <t>Чистий рух грошових коштів від операційної діяльності</t>
  </si>
  <si>
    <t>Чистий рух грошових коштів від фінансової діяльності</t>
  </si>
  <si>
    <t>Грошові кошти на кінець періоду</t>
  </si>
  <si>
    <t>Необоротні активи</t>
  </si>
  <si>
    <t>Оборотні активи</t>
  </si>
  <si>
    <t>Власний капітал</t>
  </si>
  <si>
    <t>Розподіл чистого прибутку</t>
  </si>
  <si>
    <t xml:space="preserve">Нараховані до сплати обов'язкові платежі підприємства до бюджету та єдиний внесок на загальнообов'язкове державне соціальне страхування </t>
  </si>
  <si>
    <t>ІІІ. Рух грошових коштів</t>
  </si>
  <si>
    <t>Податок на прибуток підприємств</t>
  </si>
  <si>
    <t>IІ. Розрахунки з бюджетом</t>
  </si>
  <si>
    <t>Чистий рух грошових коштів операційної діяльності</t>
  </si>
  <si>
    <t>І. Рух коштів у результаті операційної діяльності</t>
  </si>
  <si>
    <t>II. Рух коштів у результаті інвестиційної діяльності</t>
  </si>
  <si>
    <t>Чистий рух коштів від інвестиційної діяльності </t>
  </si>
  <si>
    <t>III. Рух коштів у результаті фінансової діяльності</t>
  </si>
  <si>
    <t>Чистий рух коштів від фінансової діяльності </t>
  </si>
  <si>
    <t>Надходження від отриманих:</t>
  </si>
  <si>
    <t>відсотків </t>
  </si>
  <si>
    <t>дивідендів </t>
  </si>
  <si>
    <t>Надходження від деривативів</t>
  </si>
  <si>
    <t>Власного капіталу </t>
  </si>
  <si>
    <t>Прогноз на поточний рік</t>
  </si>
  <si>
    <t>Розрахунок показника EBITDA</t>
  </si>
  <si>
    <t>Коефіцієнт рентабельності власного капіталу</t>
  </si>
  <si>
    <t xml:space="preserve">Вплив зміни валютних курсів на залишок коштів </t>
  </si>
  <si>
    <t>Довгострокові зобов'язання і забезпечення</t>
  </si>
  <si>
    <t>Поточні зобов'язання і забезпечення</t>
  </si>
  <si>
    <t>Коефіцієнт рентабельності активів</t>
  </si>
  <si>
    <t>погашення податкового боргу, у тому числі:</t>
  </si>
  <si>
    <t>Собівартість реалізованої продукції (товарів, робіт, послуг)</t>
  </si>
  <si>
    <t>&gt; 1</t>
  </si>
  <si>
    <t xml:space="preserve">Прибуток (збиток) від звичайної діяльності до оподаткування </t>
  </si>
  <si>
    <t>Коригування на:</t>
  </si>
  <si>
    <t>Грошові кошти від операційної діяльності</t>
  </si>
  <si>
    <t>Сплачений податок на прибуток</t>
  </si>
  <si>
    <t>амортизацію необоротних активів</t>
  </si>
  <si>
    <t xml:space="preserve">збільшення (зменшення) забезпечень  </t>
  </si>
  <si>
    <t xml:space="preserve">збиток (прибуток) від нереалізованих курсових різниць </t>
  </si>
  <si>
    <t>збиток (прибуток) від неопераційної діяльності та інших негрошових операцій (розшифрувати)</t>
  </si>
  <si>
    <t>Зменшення (збільшення) оборотних активів (розшифрувати)</t>
  </si>
  <si>
    <t>Збільшення (зменшення) поточних зобов’язань (розшифрувати)</t>
  </si>
  <si>
    <t>транспортні витрати</t>
  </si>
  <si>
    <t>витрати на зберігання та упаковку</t>
  </si>
  <si>
    <t>Коефіцієнти рентабельності та прибутковості</t>
  </si>
  <si>
    <t>Аналіз капітальних інвестицій</t>
  </si>
  <si>
    <t>Коефіцієнти фінансової стійкості та ліквідності</t>
  </si>
  <si>
    <t>Стандарти звітності П(с)БОУ</t>
  </si>
  <si>
    <t>Стандарти звітності МСФЗ</t>
  </si>
  <si>
    <t>Перенесено з додаткового капіталу</t>
  </si>
  <si>
    <t>Марка</t>
  </si>
  <si>
    <t>Рік придбання</t>
  </si>
  <si>
    <t>Витрати, усього</t>
  </si>
  <si>
    <t>матеріальні витрати</t>
  </si>
  <si>
    <t>оплата праці</t>
  </si>
  <si>
    <t>амортизація</t>
  </si>
  <si>
    <t>інші витрати</t>
  </si>
  <si>
    <t>Договір</t>
  </si>
  <si>
    <t>Дата початку оренди</t>
  </si>
  <si>
    <t>Сума орендної плати</t>
  </si>
  <si>
    <t>Усього на рік</t>
  </si>
  <si>
    <t>Основні фінансові показники</t>
  </si>
  <si>
    <t>Чистий дохід від реалізації продукції (товарів, робіт, послуг)</t>
  </si>
  <si>
    <t>Відрахування частини чистого прибутку, усього, у тому числі:</t>
  </si>
  <si>
    <t>витрати на оренду службових автомобілів</t>
  </si>
  <si>
    <t>№</t>
  </si>
  <si>
    <t>Загальна кошторисна вартість</t>
  </si>
  <si>
    <t>Первісна балансова вартість введених потужностей на початок планового року</t>
  </si>
  <si>
    <t>Капітальні інвестиції</t>
  </si>
  <si>
    <t>IV. Капітальні інвестиції</t>
  </si>
  <si>
    <t xml:space="preserve">IV. Капітальні інвестиції </t>
  </si>
  <si>
    <t>VI. Звіт про фінансовий стан</t>
  </si>
  <si>
    <t>V. Коефіцієнтний аналіз</t>
  </si>
  <si>
    <t>8. Джерела капітальних інвестицій</t>
  </si>
  <si>
    <t>курсові різниці</t>
  </si>
  <si>
    <t>Інші доходи (розшифрувати), у тому числі:</t>
  </si>
  <si>
    <t>Інші витрати (розшифрувати), у тому числі:</t>
  </si>
  <si>
    <t>2145/1</t>
  </si>
  <si>
    <t>2145/2</t>
  </si>
  <si>
    <t>4010</t>
  </si>
  <si>
    <t>x</t>
  </si>
  <si>
    <t>Адміністративні витрати, у тому числі:</t>
  </si>
  <si>
    <t>Витрати на збут, у тому числі:</t>
  </si>
  <si>
    <t>Рентабельність EBITDA</t>
  </si>
  <si>
    <t>Чистий  фінансовий результат</t>
  </si>
  <si>
    <t>Коефіцієнт рентабельності діяльності</t>
  </si>
  <si>
    <t>2120 / 2130</t>
  </si>
  <si>
    <t>Коефіцієнт фінансової стійкості</t>
  </si>
  <si>
    <t>Інші доходи/витрати</t>
  </si>
  <si>
    <t>Чистий рух грошових коштів від інвестиційної діяльності</t>
  </si>
  <si>
    <t>Пояснення та обґрунтування до запланованого рівня доходів/витрат</t>
  </si>
  <si>
    <t>Елементи операційних витрат</t>
  </si>
  <si>
    <t>тис. гривень (без ПДВ)</t>
  </si>
  <si>
    <t xml:space="preserve">      3. Інформація про бізнес підприємства (код рядка 1000 фінансового плану)</t>
  </si>
  <si>
    <t>6. Витрати, пов'язані з використанням власних службових автомобілів (у складі адміністративних витрат, рядок 1041)</t>
  </si>
  <si>
    <t>7. Витрати на оренду службових автомобілів (у складі адміністративних витрат, рядок 1042)</t>
  </si>
  <si>
    <t>Найменування об’єкта</t>
  </si>
  <si>
    <t>9. Капітальне будівництво (рядок 4010 таблиці 4)</t>
  </si>
  <si>
    <t>Прибуток (збиток) від операційної діяльності до змін в оборотному капіталі</t>
  </si>
  <si>
    <t>Інші поточні податки, збори, обов'язкові платежі до державного та місцевих бюджетів, у тому числі:</t>
  </si>
  <si>
    <t xml:space="preserve">                                (посада)</t>
  </si>
  <si>
    <t>_________________________</t>
  </si>
  <si>
    <r>
      <t>Керівник ______________________________________</t>
    </r>
    <r>
      <rPr>
        <sz val="14"/>
        <rFont val="Times New Roman"/>
        <family val="1"/>
        <charset val="204"/>
      </rPr>
      <t xml:space="preserve"> </t>
    </r>
  </si>
  <si>
    <t>____________________________________________</t>
  </si>
  <si>
    <t>______________________________________________</t>
  </si>
  <si>
    <t>Коди</t>
  </si>
  <si>
    <t>витрати, що здійснюються для підтримання об’єкта в робочому стані (проведення ремонту, технічного огляду, нагляду, обслуговування тощо)</t>
  </si>
  <si>
    <t>Неконтрольована частка</t>
  </si>
  <si>
    <t>плановий рік +1 рік</t>
  </si>
  <si>
    <t>плановий рік +2 роки</t>
  </si>
  <si>
    <t>плановий рік +3 роки</t>
  </si>
  <si>
    <t>погашення реструктуризованих та відстрочених сум,  що підлягають сплаті в поточному році до бюджетів та державних цільових фондів</t>
  </si>
  <si>
    <t xml:space="preserve">                                                                   (посада)</t>
  </si>
  <si>
    <t xml:space="preserve">                (ініціали, прізвище)    </t>
  </si>
  <si>
    <t>директор</t>
  </si>
  <si>
    <t>працівники</t>
  </si>
  <si>
    <t>Найменування показника</t>
  </si>
  <si>
    <t>Інформація згідно із стратегічним планом розвитку</t>
  </si>
  <si>
    <t>у тому числі грошові кошти та їх еквіваленти</t>
  </si>
  <si>
    <t>у тому числі державні гранти і субсидії</t>
  </si>
  <si>
    <t>у тому числі фінансові запозичення</t>
  </si>
  <si>
    <t>Усього зобов'язання і забезпечення</t>
  </si>
  <si>
    <t>Усього активи</t>
  </si>
  <si>
    <t>Доходи і витрати (деталізація)</t>
  </si>
  <si>
    <t>Доходи/витрати від фінансової та інвестиційної діяльності
(рядок 1110 + рядок 1120 - рядок 1130 - рядок 1140)</t>
  </si>
  <si>
    <t>Інші доходи/витрати
(рядок 1150 - рядок 1160)</t>
  </si>
  <si>
    <t>Фінансовий результат від операційної діяльності (рядок 1100)</t>
  </si>
  <si>
    <t>плюс амортизація (рядок 1530)</t>
  </si>
  <si>
    <t>мінус операційні доходи від курсових різниць (рядок 1031)</t>
  </si>
  <si>
    <t>плюс операційні витрати від курсових різниць (рядок 1084)</t>
  </si>
  <si>
    <t>Інші операційні доходи/витрати
(рядок 1030 - рядок 1080)</t>
  </si>
  <si>
    <t>Надходження</t>
  </si>
  <si>
    <t xml:space="preserve">Надходження </t>
  </si>
  <si>
    <t>Витрати</t>
  </si>
  <si>
    <t>Ковенанти/обмежувальні коефіцієнти</t>
  </si>
  <si>
    <t>Фонд оплати праці, тис. гривень, у тому числі:</t>
  </si>
  <si>
    <t>Витрати на оплату праці, тис. гривень, у тому числі:</t>
  </si>
  <si>
    <t>Плановий рік до плану поточного року, %</t>
  </si>
  <si>
    <t>Плановий рік до факту минулого року, %</t>
  </si>
  <si>
    <t>адміністративно-управлінський персонал</t>
  </si>
  <si>
    <t>Незавершене будівництво на початок планового року</t>
  </si>
  <si>
    <t>власні кошти</t>
  </si>
  <si>
    <t>кредитні кошти</t>
  </si>
  <si>
    <t>інші джерела (зазначити джерело)</t>
  </si>
  <si>
    <t>Документ, яким затверджений титул будови, із зазначенням органу, який його погодив</t>
  </si>
  <si>
    <t>У тому числі за їх видами</t>
  </si>
  <si>
    <t xml:space="preserve">                    (підпис)</t>
  </si>
  <si>
    <t xml:space="preserve">                                     (посада)</t>
  </si>
  <si>
    <t xml:space="preserve">Найменування об’єктів </t>
  </si>
  <si>
    <t>Власні кошти (розшифрувати)</t>
  </si>
  <si>
    <t>Валовий прибуток/збиток</t>
  </si>
  <si>
    <t>витрати на сировину та основні матеріали</t>
  </si>
  <si>
    <t>Доходи і витрати (узагальнені показники)</t>
  </si>
  <si>
    <t>Матеріальні витрати, у тому числі:</t>
  </si>
  <si>
    <t>Коефіцієнт відношення боргу до EBITDA
(довгострокові зобов'язання, рядок 6040 + поточні зобов'язання, рядок 6050 / EBITDA, рядок 1410)</t>
  </si>
  <si>
    <t>Коефіцієнт фінансової стійкості
(власний капітал, рядок 6090 / довгострокові зобов'язання, рядок 6040 + поточні зобов'язання, рядок 6050)</t>
  </si>
  <si>
    <t>Коефіцієнт поточної ліквідності (покриття)
(оборотні активи, рядок 6010 / поточні зобов'язання, рядок 6050)</t>
  </si>
  <si>
    <t>Коефіцієнт відношення капітальних інвестицій до амортизації
(рядок 4000 / рядок 1530)</t>
  </si>
  <si>
    <t>Коефіцієнт відношення капітальних інвестицій до чистого доходу (виручки) від реалізації продукції (товарів, робіт, послуг)
(рядок 4000 / рядок 1000)</t>
  </si>
  <si>
    <t>керівники</t>
  </si>
  <si>
    <t>професіонали</t>
  </si>
  <si>
    <t>фахівці</t>
  </si>
  <si>
    <t>технічні службовці</t>
  </si>
  <si>
    <t>робітники</t>
  </si>
  <si>
    <t>інші категорії</t>
  </si>
  <si>
    <t>Середньомісячна заробітна плата одного працівника, гривень</t>
  </si>
  <si>
    <t>Середньомісячний дохід одного працівника, гривень</t>
  </si>
  <si>
    <t xml:space="preserve"> У разі збільшення витрат на оплату праці в плановому році порівняно з установленим рівнем поточного року та фактом попереднього року надаються обґрунтування. </t>
  </si>
  <si>
    <t xml:space="preserve">      2. Перелік підприємств, які включені до консолідованого (зведеного) фінансового плану</t>
  </si>
  <si>
    <t>Найменування підприємства</t>
  </si>
  <si>
    <t>Питома вага в загальному обсязі реалізації, %</t>
  </si>
  <si>
    <t>чистий дохід  від реалізації продукції (товарів, робіт, послуг),     тис. гривень</t>
  </si>
  <si>
    <t>кількість продукції/             наданих послуг, одиниця виміру</t>
  </si>
  <si>
    <t>ціна одиниці     (вартість  продукції/     наданих послуг), гривень</t>
  </si>
  <si>
    <t>Дата видачі/погашення (графік)</t>
  </si>
  <si>
    <t xml:space="preserve">Довгострокові зобов'язання, усього </t>
  </si>
  <si>
    <t>Короткострокові зобов'язання, усього</t>
  </si>
  <si>
    <t>Інші фінансові зобов'язання, усього</t>
  </si>
  <si>
    <t xml:space="preserve">у тому числі </t>
  </si>
  <si>
    <t>Рік початку                і закінчення будівництва</t>
  </si>
  <si>
    <t>Інформація щодо проектно-кошторисної документації (стан розроблення, затвердження,                                     у разі затвердження зазначити орган, яким затверджено, та відповідний документ)</t>
  </si>
  <si>
    <t xml:space="preserve">               (підпис)</t>
  </si>
  <si>
    <t>Податок на додану вартість, нарахований до сплати до державного бюджету за підсумками звітного періоду</t>
  </si>
  <si>
    <t>Податок на додану вартість, що підлягає відшкодуванню з державного бюджету за підсумками звітного періоду</t>
  </si>
  <si>
    <t>Збільшення</t>
  </si>
  <si>
    <t>Характеризує ефективність використання активів підприємства</t>
  </si>
  <si>
    <t>Характеризує ефективність господарської діяльності підприємства</t>
  </si>
  <si>
    <t>Характеризує співвідношення власних та позикових коштів і залежність підприємства від зовнішніх фінансових джерел</t>
  </si>
  <si>
    <t>Характеризує інвестиційну політику підприємства</t>
  </si>
  <si>
    <t>Показує достатність ресурсів підприємства, які може бути використано для погашення його поточних зобов'язань.  Нормативним значенням для цього показника є &gt; 1–1,5</t>
  </si>
  <si>
    <t xml:space="preserve">      Загальна інформація про підприємство (резюме)</t>
  </si>
  <si>
    <t>Мета використання</t>
  </si>
  <si>
    <t>освоєння капітальних вкладень</t>
  </si>
  <si>
    <t>фінансування капітальних інвестицій (оплата грошовими коштами), усього</t>
  </si>
  <si>
    <t>М. П.</t>
  </si>
  <si>
    <t>План з повернення коштів</t>
  </si>
  <si>
    <t>мінус/плюс значні нетипові операційні доходи/витрати (розшифрувати)</t>
  </si>
  <si>
    <t>Валова рентабельність
(валовий прибуток, рядок 1020 / чистий дохід від реалізації продукції (товарів, робіт, послуг), рядок 1000, %)</t>
  </si>
  <si>
    <t>Рентабельність EBITDA
(EBITDA, рядок 1410 / чистий дохід від реалізації продукції (товарів, робіт, послуг), рядок 1000, %)</t>
  </si>
  <si>
    <t>Коефіцієнт зносу основних засобів 
(сума зносу / первісна вартість основних засобів) 
(форма 1, рядок 1012 / форма 1, рядок 1011)</t>
  </si>
  <si>
    <t>Інші коефіцієнти/ковенанти, якщо такі передбачені умовами кредитних договорів, із зазначенням банку, валюти та суми зобов'язання на дату останньої звітності, строку погашення. У графі "Оптимальне значення" вказати граничне значення коефіцієнта</t>
  </si>
  <si>
    <t>План із залучення коштів</t>
  </si>
  <si>
    <t>плановий рік
+4 роки</t>
  </si>
  <si>
    <t>Податок на додану вартість нарахований/до відшкодування
(з мінусом)</t>
  </si>
  <si>
    <t>Коефіцієнт рентабельності активів
(чистий фінансовий результат, рядок 1200 / вартість активів, рядок 6030)</t>
  </si>
  <si>
    <t>Коефіцієнт рентабельності власного капіталу
(чистий фінансовий результат, рядок 1200 / власний капітал, рядок 6090)</t>
  </si>
  <si>
    <t>Коефіцієнт рентабельності діяльності
(чистий фінансовий результат, рядок 1200 / чистий дохід від реалізації продукції (товарів, робіт, послуг), рядок 1000)</t>
  </si>
  <si>
    <t>Відрахування частини чистого прибутку</t>
  </si>
  <si>
    <t>Сплата інших податків, зборів, обов'язкових платежів до державного та місцевих бюджетів</t>
  </si>
  <si>
    <t>Усього виплат</t>
  </si>
  <si>
    <t>Усього доходів (рядок 1000 + рядок 1030 + рядок 1110 + рядок 1120+ рядок 1150)</t>
  </si>
  <si>
    <t>Усього витрат (рядок 1010 + рядок 1040 + рядок 1070 + рядок 1080 + рядок 1130 + рядок 1140 + рядок 1160 + рядок 1180 + рядок 1190)</t>
  </si>
  <si>
    <t>План</t>
  </si>
  <si>
    <t>І   квартал</t>
  </si>
  <si>
    <t>півріччя</t>
  </si>
  <si>
    <t>9 місяців</t>
  </si>
  <si>
    <t>Таблиця IІ. Розрахунки з бюджетом</t>
  </si>
  <si>
    <t>Таблиця I. Формування фінансових результатів</t>
  </si>
  <si>
    <t>внесок 15 % чистого прибутку до загального фонду міського бюджету</t>
  </si>
  <si>
    <t>внесок 60 % частини прибутку, який залишається в розпорядженні підприємства після оподаткування відповідно до чинного законодавства та сплати 15 % чистого прибутку до загального фонду міського бюджету</t>
  </si>
  <si>
    <t>Таблиця ІІІ. Рух грошових коштів</t>
  </si>
  <si>
    <t>І  квартал</t>
  </si>
  <si>
    <t>І квартал</t>
  </si>
  <si>
    <t xml:space="preserve">І квартал </t>
  </si>
  <si>
    <t>РОЗГЛЯНУТО __________________________________________</t>
  </si>
  <si>
    <t>______________________________________________________</t>
  </si>
  <si>
    <t xml:space="preserve">(прізвище, ініціали та підпис керівника виконавчого органу міської ради відповідно до підпорядкованості, який розглянув фінансовий план) </t>
  </si>
  <si>
    <t>ЗАТВЕРДЖЕНО ______________________________</t>
  </si>
  <si>
    <t xml:space="preserve">(дата та номер рішення виконавчого </t>
  </si>
  <si>
    <t>комітету міської ради)</t>
  </si>
  <si>
    <t>ПОГОДЖЕНО ________________________________    (прізвище та ініціали та підпис заступника міського голови за напрямом діяльності  підприємства)</t>
  </si>
  <si>
    <r>
      <t xml:space="preserve">Орган державного управління  </t>
    </r>
    <r>
      <rPr>
        <b/>
        <i/>
        <sz val="16"/>
        <rFont val="Times New Roman"/>
        <family val="1"/>
        <charset val="204"/>
      </rPr>
      <t xml:space="preserve"> </t>
    </r>
  </si>
  <si>
    <t>Одиниця виміру, тис. гривень без десяткових знаків</t>
  </si>
  <si>
    <t xml:space="preserve">                      (посада)</t>
  </si>
  <si>
    <t>військовий збір</t>
  </si>
  <si>
    <t>Ставка ЄСВ</t>
  </si>
  <si>
    <t>Ставка ЄСВ для інвалідів</t>
  </si>
  <si>
    <t>Відрахування</t>
  </si>
  <si>
    <t>Утримання</t>
  </si>
  <si>
    <t>ПДФО</t>
  </si>
  <si>
    <t>Військовий збір</t>
  </si>
  <si>
    <t>ФОП інвалідів</t>
  </si>
  <si>
    <t>ФОП (загальний)</t>
  </si>
  <si>
    <t>Податок на доходи фізичних осіб</t>
  </si>
  <si>
    <t>2147/1</t>
  </si>
  <si>
    <t>1000/1</t>
  </si>
  <si>
    <t>1076/1</t>
  </si>
  <si>
    <t>Плановий 2018 рік</t>
  </si>
  <si>
    <t>Фактичний показник поточного року за останній звітний період 2017 року</t>
  </si>
  <si>
    <t>Плановий показник поточного 2017 року</t>
  </si>
  <si>
    <t>за ЄДРПОУ  3341641</t>
  </si>
  <si>
    <t>Комунальне підприємство</t>
  </si>
  <si>
    <t>Україна</t>
  </si>
  <si>
    <t>81.29</t>
  </si>
  <si>
    <t>42.11</t>
  </si>
  <si>
    <t>Інші види діяльності з прибирання</t>
  </si>
  <si>
    <t>Комунальна власність</t>
  </si>
  <si>
    <t>765-47-40</t>
  </si>
  <si>
    <t>Оганесян А.А.</t>
  </si>
  <si>
    <t>ФІНАНСОВИЙ ПЛАН ПІДПРИЄМСТВА НА 2018  рік</t>
  </si>
  <si>
    <t>комунальні послуги з благоустрію</t>
  </si>
  <si>
    <t>надання автотранспорту в оренду</t>
  </si>
  <si>
    <t>1000/2</t>
  </si>
  <si>
    <t>інші послуги</t>
  </si>
  <si>
    <t>1000/3</t>
  </si>
  <si>
    <t>1000/4</t>
  </si>
  <si>
    <t>поточний ремонт автошляхів</t>
  </si>
  <si>
    <t>дохід від здачі металобрухту</t>
  </si>
  <si>
    <t>1030/1</t>
  </si>
  <si>
    <t>1120/1</t>
  </si>
  <si>
    <t>Фінансування</t>
  </si>
  <si>
    <t>1150/1</t>
  </si>
  <si>
    <t>1160/1</t>
  </si>
  <si>
    <t>3030/1</t>
  </si>
  <si>
    <t>3030/2</t>
  </si>
  <si>
    <t>коригування суми амортизації</t>
  </si>
  <si>
    <t>коригування суми непокритого збитку</t>
  </si>
  <si>
    <t>3050/1</t>
  </si>
  <si>
    <t>запаси</t>
  </si>
  <si>
    <t>дебіторська заборгованість</t>
  </si>
  <si>
    <t>3050/2</t>
  </si>
  <si>
    <t>витрати майбутніх періодів</t>
  </si>
  <si>
    <t>3050/3</t>
  </si>
  <si>
    <t>інші оборотні активи</t>
  </si>
  <si>
    <t>3050/4</t>
  </si>
  <si>
    <t>3570/1</t>
  </si>
  <si>
    <t>зменшення додаткового капіталу</t>
  </si>
  <si>
    <t>до фінансового плану на 2018 рік</t>
  </si>
  <si>
    <t>КП "Управління по ремонту та експлуатації автошляхів" Дніпровської міської ради</t>
  </si>
  <si>
    <t>Фактичний показник за 2016 рік</t>
  </si>
  <si>
    <t>112 м2</t>
  </si>
  <si>
    <t>70м2</t>
  </si>
  <si>
    <t>68 м2</t>
  </si>
  <si>
    <t>253м2</t>
  </si>
  <si>
    <t>ВАЗ-2105</t>
  </si>
  <si>
    <t>обслуговування адміністративно-управлінського апарату</t>
  </si>
  <si>
    <t>ВАЗ-21213 "Нива"</t>
  </si>
  <si>
    <t>Renault Logan MCV</t>
  </si>
  <si>
    <t xml:space="preserve">Renault Logan </t>
  </si>
  <si>
    <t>внески органів місцевого самоврядування до статутного капіталу</t>
  </si>
  <si>
    <t>3480/1</t>
  </si>
  <si>
    <t>Середньооблікова кількість штатних працівників  268</t>
  </si>
  <si>
    <t>Придбання основних засобів</t>
  </si>
  <si>
    <r>
      <t>Керівник</t>
    </r>
    <r>
      <rPr>
        <sz val="14"/>
        <rFont val="Times New Roman"/>
        <family val="1"/>
        <charset val="204"/>
      </rPr>
      <t xml:space="preserve"> __________________________________</t>
    </r>
  </si>
  <si>
    <r>
      <t xml:space="preserve">                     Керівник </t>
    </r>
    <r>
      <rPr>
        <sz val="14"/>
        <rFont val="Times New Roman"/>
        <family val="1"/>
        <charset val="204"/>
      </rPr>
      <t xml:space="preserve"> _____________________________________</t>
    </r>
  </si>
  <si>
    <r>
      <t xml:space="preserve">Керівник </t>
    </r>
    <r>
      <rPr>
        <sz val="14"/>
        <rFont val="Times New Roman"/>
        <family val="1"/>
        <charset val="204"/>
      </rPr>
      <t>_______________________________</t>
    </r>
  </si>
  <si>
    <r>
      <t xml:space="preserve">Керівник </t>
    </r>
    <r>
      <rPr>
        <sz val="14"/>
        <rFont val="Times New Roman"/>
        <family val="1"/>
        <charset val="204"/>
      </rPr>
      <t>______________________________</t>
    </r>
  </si>
  <si>
    <r>
      <t xml:space="preserve">Керівник </t>
    </r>
    <r>
      <rPr>
        <sz val="14"/>
        <rFont val="Times New Roman"/>
        <family val="1"/>
        <charset val="204"/>
      </rPr>
      <t>_____________________________________</t>
    </r>
  </si>
  <si>
    <r>
      <t>Керівник</t>
    </r>
    <r>
      <rPr>
        <sz val="14"/>
        <rFont val="Times New Roman"/>
        <family val="1"/>
        <charset val="204"/>
      </rPr>
      <t xml:space="preserve">   _____________________________________</t>
    </r>
  </si>
  <si>
    <t>м. Дніпро, пр. Праці,3</t>
  </si>
  <si>
    <t>до Порядку складання, затвердження та контролю виконання фінансових планів підприємств комунальної власності територіальної громади міста Дніпра</t>
  </si>
  <si>
    <t>матеріали</t>
  </si>
  <si>
    <t>ЗП</t>
  </si>
  <si>
    <t>ЄСВ</t>
  </si>
  <si>
    <t>інші</t>
  </si>
  <si>
    <t>сума</t>
  </si>
  <si>
    <t>авто</t>
  </si>
  <si>
    <t>6262 км</t>
  </si>
  <si>
    <t>412 м2</t>
  </si>
  <si>
    <t>1085/1</t>
  </si>
  <si>
    <t>Наименування структурних підразділів , найменування посад</t>
  </si>
  <si>
    <t>Кількістьштатних  одиниць</t>
  </si>
  <si>
    <t>Діючий посадовий оклад прож.1762грн.</t>
  </si>
  <si>
    <t>Надбавка</t>
  </si>
  <si>
    <t>грн.</t>
  </si>
  <si>
    <t>Місячний фонд заробітної плати,грн.</t>
  </si>
  <si>
    <t>Процент,%</t>
  </si>
  <si>
    <t>Сума,грн</t>
  </si>
  <si>
    <t>1.Начальник управління</t>
  </si>
  <si>
    <t>2.Заступник начальника управління по ремонту та утриманню  автомобільних доріг</t>
  </si>
  <si>
    <t>3.Заступник начальника управління з економічних питань</t>
  </si>
  <si>
    <t>4.Головний інженер</t>
  </si>
  <si>
    <t>5.Головний енергетик</t>
  </si>
  <si>
    <t>6.Провідний фахівець з питань  цивільного захисту</t>
  </si>
  <si>
    <t>7.Інженер із застосування комп′ютерів</t>
  </si>
  <si>
    <t>8.Секретар-друкарка</t>
  </si>
  <si>
    <t>9.Прибиральник службових приміщень</t>
  </si>
  <si>
    <t>ВСЬОГО:</t>
  </si>
  <si>
    <t>ВІДДІЛ КАДРІВ</t>
  </si>
  <si>
    <t>1.Начальник відділу кадрів</t>
  </si>
  <si>
    <t>2 Старший інспектор з кадрів</t>
  </si>
  <si>
    <t>ВІДДІЛ  ПІДГОТОВКИ ВИРОБНИЦТВА</t>
  </si>
  <si>
    <t>1.Начальник відділу</t>
  </si>
  <si>
    <t xml:space="preserve">2.Технік з обліку  </t>
  </si>
  <si>
    <t>3.Конторський службовець(складське господарство)</t>
  </si>
  <si>
    <t>4.Інженер  1 категорії</t>
  </si>
  <si>
    <r>
      <t xml:space="preserve"> </t>
    </r>
    <r>
      <rPr>
        <b/>
        <sz val="12"/>
        <rFont val="Times New Roman"/>
        <family val="1"/>
        <charset val="204"/>
      </rPr>
      <t>ПЛАНОВО-ВИРОБНИЧИЙ   ВІДДІЛ</t>
    </r>
  </si>
  <si>
    <t>Інженер з організації та нормування праці 1 категорії</t>
  </si>
  <si>
    <t>ТЕХНІЧНИЙ ВІДДІЛ</t>
  </si>
  <si>
    <t>2.Інженер  1 категорії</t>
  </si>
  <si>
    <t>3.Інженер 2 категорії</t>
  </si>
  <si>
    <t>4.Інженер з транспорту 2 категорії</t>
  </si>
  <si>
    <t>БУХГАЛТЕРІЯ</t>
  </si>
  <si>
    <t>1.Головний бухгалтер</t>
  </si>
  <si>
    <t>2.Заст. головного бухгалтера</t>
  </si>
  <si>
    <t>3.Бухгалтер 1 категорії (спец.)</t>
  </si>
  <si>
    <t xml:space="preserve">           ВІДДІЛ ОХОРОНИ ПРАЦІ</t>
  </si>
  <si>
    <t>3.Інженер з безпеки руху</t>
  </si>
  <si>
    <t>3.Фельдшер</t>
  </si>
  <si>
    <t>РЕМОНТНО-ДОРОЖНЯ ДІЛЬНИЦЯ</t>
  </si>
  <si>
    <t>1.Виконавець робіт</t>
  </si>
  <si>
    <t>2.Майстер будівельних та монтажних робіт</t>
  </si>
  <si>
    <t>ТРАНСПОРТНА СЛУЖБА</t>
  </si>
  <si>
    <t>1.Начальник служби</t>
  </si>
  <si>
    <t>2.Начальник колони (автомобільної)</t>
  </si>
  <si>
    <t>3.Начальник  майстерні</t>
  </si>
  <si>
    <t>4.Інженер   1 категорії</t>
  </si>
  <si>
    <t>5.Старший майстер</t>
  </si>
  <si>
    <t>6.Майстер майстерні спеціальної техніки  та обладнання</t>
  </si>
  <si>
    <t>7.Старший механік</t>
  </si>
  <si>
    <t>8.Старший диспетчер</t>
  </si>
  <si>
    <t>9.Диспетчер</t>
  </si>
  <si>
    <t>10.Змінний майстер дорожній</t>
  </si>
  <si>
    <t>11.Змінний диспетчер</t>
  </si>
  <si>
    <r>
      <t>12.Змінний механік</t>
    </r>
    <r>
      <rPr>
        <b/>
        <sz val="12"/>
        <rFont val="Times New Roman"/>
        <family val="1"/>
        <charset val="204"/>
      </rPr>
      <t xml:space="preserve"> </t>
    </r>
  </si>
  <si>
    <t>13.Технік з обліку ПММ</t>
  </si>
  <si>
    <t>Всього:</t>
  </si>
  <si>
    <t xml:space="preserve">           ТЕНДЕРНО-ДОГОВІРНИЙ ВІДДІЛ</t>
  </si>
  <si>
    <t>2.Юрисконсульт</t>
  </si>
  <si>
    <t>3.Інженер   1 категорії</t>
  </si>
  <si>
    <t>4.Інженер 2 категорії</t>
  </si>
  <si>
    <t xml:space="preserve">           КОМЕРЦІЙНИЙ ВІДДІЛ</t>
  </si>
  <si>
    <t xml:space="preserve">           КОШТОРИСНИЙ ВІДДІЛ</t>
  </si>
  <si>
    <t>Найменування, підрозділів,
дільниць</t>
  </si>
  <si>
    <t>чисельність</t>
  </si>
  <si>
    <t>часова тариф-
на ставка
прож.1762 грн.</t>
  </si>
  <si>
    <t>місячна та-
рифна ставка,посадовий оклад
с/ год. 166,08</t>
  </si>
  <si>
    <t>% доплати (клас,профмайстерніть.бригадирські, нічні, вечірні,інтенсивніь),
 )</t>
  </si>
  <si>
    <t>сума
доплат</t>
  </si>
  <si>
    <t>% премії</t>
  </si>
  <si>
    <t>сума
премії</t>
  </si>
  <si>
    <t>всього середньо-
місячна зарплата</t>
  </si>
  <si>
    <t>всього за місяць
 (грн.)</t>
  </si>
  <si>
    <t>ДОРОЖНІ-ЕКСПЛУАТАЦІЙНІ ДІЛЬНИЦІ</t>
  </si>
  <si>
    <t>дорожній робітник (-бригадир Кіровської ДЕД)</t>
  </si>
  <si>
    <t>дорожній робітник (Кіровської ДЕД)</t>
  </si>
  <si>
    <t>дорожній робітник (-бригадир Жовтневої ДЕД)</t>
  </si>
  <si>
    <t>дорожній робітник   ( Жовтневої ДЕД)</t>
  </si>
  <si>
    <t>дорожній робітник (бригадир Бабушкінської ДЕД)</t>
  </si>
  <si>
    <t>дорожній робітник( Бабушкінської ДЕД)</t>
  </si>
  <si>
    <t>дорожній робітник( -бригадир Ленінської ДЕД)</t>
  </si>
  <si>
    <t>дорожній робітн.( Ленінської і Красногв. ДЕД)</t>
  </si>
  <si>
    <t>Дорожній робітник  (ручне прибирання)</t>
  </si>
  <si>
    <t xml:space="preserve">Дорожній робітник(бригадир) </t>
  </si>
  <si>
    <t>Асфальтобетонник( бригадир)</t>
  </si>
  <si>
    <t xml:space="preserve">Асфальтобетонник </t>
  </si>
  <si>
    <t xml:space="preserve">Дорожній робітник </t>
  </si>
  <si>
    <t>М-ніст дорожно-тр-них машин(катокДЖИЭСБИ,БОМАГ,КАТЕРПИЛЛЕР СВ36В)</t>
  </si>
  <si>
    <t>М-ніст дорожно-тр-них машин(каток КАТЕРПІЛЛЕР СВ44В)</t>
  </si>
  <si>
    <t xml:space="preserve">АВТОКОЛОНА </t>
  </si>
  <si>
    <t>Водій автотранспортних засобів( РЕТЕЧ)</t>
  </si>
  <si>
    <t>Водій авт-них зас.(спец.груз.цист ФОРД КАРГО1833)</t>
  </si>
  <si>
    <t>Водій авт-них зас. ( спецгруз сам ФОРД КАРГО 3542)</t>
  </si>
  <si>
    <t>Водій авт-них зас. ( КДМ-152)</t>
  </si>
  <si>
    <t>Водій авт-них зас. (КАМАЗ КДМ)</t>
  </si>
  <si>
    <t>Водій  авт-них зас.(КАМАЗ КДМ)</t>
  </si>
  <si>
    <t>Водій  авт-них зас.(ТАТА РЕТЕЧ)</t>
  </si>
  <si>
    <t>Водій авт-них зас.( МАЗ 555-26)</t>
  </si>
  <si>
    <t>Водій  авт-них зас(.підм.приб(.МЕРСЕДЕС)</t>
  </si>
  <si>
    <t>Водій  авт-них зас(.підм.приб.(РЕТЕЧ)</t>
  </si>
  <si>
    <t>Водій  авт-них зас(.підм.приб.(КЕРХЕР)</t>
  </si>
  <si>
    <t>Водій  авт-них зас(.підм.приб.(ФОРД КАРГО)</t>
  </si>
  <si>
    <t>Водій  авт-них зас(підм.приб.(АУСА)</t>
  </si>
  <si>
    <t>Водій авт-них зас.(сміттєвоза( ГАЗ-53)</t>
  </si>
  <si>
    <t>Водій авт-них зас.( сміттєвоза( ЗИЛ 433362)</t>
  </si>
  <si>
    <t>Водій авт-них зас.( асиноз.бочка КО-503)</t>
  </si>
  <si>
    <t>Водій авт-них зас.( самоскида)</t>
  </si>
  <si>
    <t xml:space="preserve">Водій авт-них. зас.( самоскид СКС-14СС) </t>
  </si>
  <si>
    <t xml:space="preserve">Водій авт-них. зас( сам-ди КРАЗ,ФОРД КАРГО) </t>
  </si>
  <si>
    <t xml:space="preserve">Водій авт-них. зас( тягач МАЗ-6430) </t>
  </si>
  <si>
    <t>Водій  авт-них зас(.Вольцваген (борт.)</t>
  </si>
  <si>
    <t>Водій  авт-них зас(.Мерседес (борт.)</t>
  </si>
  <si>
    <t>Водій  авт-них за( гр.платСКС ФС2533 евакуатор)</t>
  </si>
  <si>
    <t>Водій авт-них зас.( бортового ЗИЛ 4316)</t>
  </si>
  <si>
    <t>Водій авт-них зас.( м/автобуса (ГАЗ 32213)</t>
  </si>
  <si>
    <t>Водій авт-них зас.(автобуса АСЧ-03,ФОРД ТРАНЗИТ)</t>
  </si>
  <si>
    <t>Водій  авт-них зас.(ВАЗ-21213,ВАЗ-2105,Рено-логан)</t>
  </si>
  <si>
    <t>Водій авт-них зас. (М-си)</t>
  </si>
  <si>
    <t>Водійавт-них зас. (УАЗ)</t>
  </si>
  <si>
    <t>Водій авт-них зас. (ГАЗ-3110)</t>
  </si>
  <si>
    <t>Водій  авт-них зас.(Пежо)</t>
  </si>
  <si>
    <t>Водій  авт-них зас.(ИСУЗУ)</t>
  </si>
  <si>
    <t>Водій  авт-них зас.(Азия моторс)</t>
  </si>
  <si>
    <t>Водій  авт-них зас(.а/крана МАЗ -5334)</t>
  </si>
  <si>
    <t xml:space="preserve">  </t>
  </si>
  <si>
    <t>Вантажник</t>
  </si>
  <si>
    <t>БАЗА МЕХАНІЗАЦІЇ</t>
  </si>
  <si>
    <t>Оператор вак прис.мех та прил.("Сеньор","Бродвей")</t>
  </si>
  <si>
    <t>М-ніст дорожньо-тр-них машин(трактор ЮМЗ-6)</t>
  </si>
  <si>
    <t>М-ніст дорожньо-тр-них машин(трактор ХТЗ-3512)</t>
  </si>
  <si>
    <t>Машиніст дор тр.маш.( трактора(Т-150)</t>
  </si>
  <si>
    <t>Машиніст дор.тр.маш.( екскаватора ХЮНДАЙ Р-180)</t>
  </si>
  <si>
    <t>Машиніст дор.тр.маш.( автонавантажувача)</t>
  </si>
  <si>
    <t>Машиніст дор.тр.маш.( навантажувачГОНКОНГ956</t>
  </si>
  <si>
    <t>Машиніст дор.тр.маш.( навантажувача ДЖИЭСБИ</t>
  </si>
  <si>
    <t>Машиніст дор.тр.маш.( навантажувача КАТЕРПИЛ</t>
  </si>
  <si>
    <t>Машиніст дор.тр.маш.( навантажувача ВОВКЕТ</t>
  </si>
  <si>
    <t>Машиністдор.тр.маш.( навант ХЮНДАЙ-757,763)</t>
  </si>
  <si>
    <t>Машиніст дор.тр.маш.( навантажувача ЛИВГОНГ</t>
  </si>
  <si>
    <t>Машиніст  дор.тр.маш.(автогрейдера ДЗ-143)</t>
  </si>
  <si>
    <t>Машиніст дор.тр.маш.( автогрейдера ШАНТИ)</t>
  </si>
  <si>
    <t>Машиніст дор.тр.маш.( снігонавантажувача КО-206</t>
  </si>
  <si>
    <t>Машиніст дор.тр.маш. ( дорожної фрези ВІРДЖЕН</t>
  </si>
  <si>
    <t xml:space="preserve">Машиністдор.тр.маш.( асфальтоукладача ОФ 60Р) </t>
  </si>
  <si>
    <t xml:space="preserve">Машиністдор.тр.маш.( асфальтоукладача ВОГЕЛЕ СУПЕР) </t>
  </si>
  <si>
    <t xml:space="preserve">Машиністдор.тр.маш.( асфальтоукладача КАТЕРПІЛЛЕР 255Е) </t>
  </si>
  <si>
    <t>Машиністдор.тр.маш.( компресора ПКСД)</t>
  </si>
  <si>
    <t>Машиніст дор.тр.маш.( бульдозера ШАНДІ СД-23)</t>
  </si>
  <si>
    <t>Машиніст дор.тр.маш.( бульдозера СД-7)</t>
  </si>
  <si>
    <t>Машиніст  дор.тр.маш.(екскаватора-навантажувача ХЮНДАЙ-940)</t>
  </si>
  <si>
    <t>ВІДДІЛ ПІДГОТОВКИ ВИРОБНИЦТВА</t>
  </si>
  <si>
    <t>Токар</t>
  </si>
  <si>
    <t>Електрогазозварник</t>
  </si>
  <si>
    <t>Слюсар-сантехнік</t>
  </si>
  <si>
    <t>Слесарь-ремонтник</t>
  </si>
  <si>
    <t>Слюсар-електрик по ремонту електроустаткування</t>
  </si>
  <si>
    <t>АВТОРЕМОНТНІ МАЙСТЕРНІ</t>
  </si>
  <si>
    <t>Слюсар з ремонту автомобілів</t>
  </si>
  <si>
    <t xml:space="preserve">Слюс.-інструментальник(видача інст-ів) </t>
  </si>
  <si>
    <t>Акумуляторник</t>
  </si>
  <si>
    <t>Вулканіаторник</t>
  </si>
  <si>
    <t>Мідник</t>
  </si>
  <si>
    <t>Маляр</t>
  </si>
  <si>
    <t>ВІДДІЛ ОХОРОНИ</t>
  </si>
  <si>
    <t>Старший охоронник</t>
  </si>
  <si>
    <t>Охоронник( в зміні)</t>
  </si>
  <si>
    <t>Охоронник( АРМ )</t>
  </si>
  <si>
    <t>Роздавальник нафтопродуктів</t>
  </si>
  <si>
    <t>надбавка</t>
  </si>
  <si>
    <t>усього</t>
  </si>
  <si>
    <t>собівартість</t>
  </si>
  <si>
    <t>єсв</t>
  </si>
  <si>
    <t>адмін</t>
  </si>
  <si>
    <t>інвалід с/в</t>
  </si>
  <si>
    <t>інвалід ауп</t>
  </si>
  <si>
    <t>ФОП</t>
  </si>
  <si>
    <t>для таб. 6.1</t>
  </si>
  <si>
    <t>Фонд оплати праці</t>
  </si>
  <si>
    <t>ауп</t>
  </si>
  <si>
    <t>Витрати з оплати праці</t>
  </si>
  <si>
    <t>Середньомісячна ЗП</t>
  </si>
  <si>
    <t>Середньомісячний дохід</t>
  </si>
  <si>
    <t>ІНВАЛІДИ</t>
  </si>
  <si>
    <t xml:space="preserve">дорожній робітник </t>
  </si>
  <si>
    <t>технік з обліку</t>
  </si>
  <si>
    <t>наростающим</t>
  </si>
  <si>
    <t>1080/1</t>
  </si>
  <si>
    <t>послуги сторонных органызацый (послуги субпыдряду з благоустрою)</t>
  </si>
  <si>
    <t>фінансовий лізінг</t>
  </si>
  <si>
    <t>1120/2</t>
  </si>
  <si>
    <t>1140/1</t>
  </si>
  <si>
    <t>3270/1</t>
  </si>
  <si>
    <t>інші послуги, реализация ТМЦ</t>
  </si>
  <si>
    <t>послуги сторонніх організацій (комунальні послуги субпідряду з благоустрою)</t>
  </si>
  <si>
    <t>1140/2</t>
  </si>
  <si>
    <t xml:space="preserve">страхування </t>
  </si>
  <si>
    <t>с янв по март</t>
  </si>
  <si>
    <t>с марта по декабрь</t>
  </si>
  <si>
    <t>п 2017</t>
  </si>
  <si>
    <t>9 міс</t>
  </si>
  <si>
    <t>І кв</t>
  </si>
  <si>
    <t>повернення  відсотків за фінансовим лізінгом</t>
  </si>
  <si>
    <t>повернення траншів по кредиту (фінансовий лізинг)</t>
  </si>
  <si>
    <t>Інші операційні доходи (доходи від передачі ОЗ,), у тому числі:</t>
  </si>
  <si>
    <t>Інші фінансові доходи (% банка)</t>
  </si>
  <si>
    <t>амортизація безоплатно отриманних ОЗ</t>
  </si>
  <si>
    <t>3030/3</t>
  </si>
  <si>
    <t>незавершені капітальні інвестиції</t>
  </si>
  <si>
    <t>1018/1</t>
  </si>
  <si>
    <t>1018/2</t>
  </si>
  <si>
    <t>Вивезення та утилізація ТПВ</t>
  </si>
  <si>
    <t>Послуги з утримання автошляхів міста, у тому числі мостів та шляхопроводів</t>
  </si>
  <si>
    <t>інші витрати (розшифрувати)</t>
  </si>
  <si>
    <t>земельний податок</t>
  </si>
  <si>
    <t>канцтовари</t>
  </si>
  <si>
    <t>інші адміністративні витрати (розшифрувати)</t>
  </si>
  <si>
    <t>1062/1</t>
  </si>
  <si>
    <t>1062/2</t>
  </si>
  <si>
    <t>1085/2</t>
  </si>
  <si>
    <t>амортизація безоплатно отриманих ОЗ</t>
  </si>
  <si>
    <t>витрати по кол.договору (профспілкові)</t>
  </si>
  <si>
    <t>інші операційні витрати (розшифрувати)</t>
  </si>
  <si>
    <t>3030/4</t>
  </si>
  <si>
    <t>безоплатно отриманні основні засоби</t>
  </si>
  <si>
    <t>3849 м/г</t>
  </si>
  <si>
    <t>241 м2</t>
  </si>
  <si>
    <t>1085/3</t>
  </si>
  <si>
    <t>пеня та інфляція</t>
  </si>
  <si>
    <t xml:space="preserve"> Підмітально-прибиральни машини Karcher MIC 34 Advanced зі змінним обладнанням Т08245АЕ</t>
  </si>
  <si>
    <t>Комунальне підприємство  "Управління по ремонту та експлуатації автошляхів" Дніпровської міської ради</t>
  </si>
  <si>
    <t>2018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</si>
</sst>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164" formatCode="_-* #,##0.00_₴_-;\-* #,##0.00_₴_-;_-* &quot;-&quot;??_₴_-;_-@_-"/>
    <numFmt numFmtId="165" formatCode="#,##0&quot;р.&quot;;[Red]\-#,##0&quot;р.&quot;"/>
    <numFmt numFmtId="166" formatCode="#,##0.00&quot;р.&quot;;\-#,##0.00&quot;р.&quot;"/>
    <numFmt numFmtId="167" formatCode="_-* #,##0.00_р_._-;\-* #,##0.00_р_._-;_-* &quot;-&quot;??_р_._-;_-@_-"/>
    <numFmt numFmtId="168" formatCode="_-* #,##0.00\ _г_р_н_._-;\-* #,##0.00\ _г_р_н_._-;_-* &quot;-&quot;??\ _г_р_н_._-;_-@_-"/>
    <numFmt numFmtId="169" formatCode="0.0"/>
    <numFmt numFmtId="170" formatCode="#,##0.0"/>
    <numFmt numFmtId="171" formatCode="###\ ##0.000"/>
    <numFmt numFmtId="172" formatCode="_(&quot;$&quot;* #,##0.00_);_(&quot;$&quot;* \(#,##0.00\);_(&quot;$&quot;* &quot;-&quot;??_);_(@_)"/>
    <numFmt numFmtId="173" formatCode="_(* #,##0_);_(* \(#,##0\);_(* &quot;-&quot;_);_(@_)"/>
    <numFmt numFmtId="174" formatCode="_(* #,##0.00_);_(* \(#,##0.00\);_(* &quot;-&quot;??_);_(@_)"/>
    <numFmt numFmtId="175" formatCode="#,##0.0_ ;[Red]\-#,##0.0\ "/>
    <numFmt numFmtId="176" formatCode="0.0;\(0.0\);\ ;\-"/>
    <numFmt numFmtId="177" formatCode="dd\.mm\.yyyy;@"/>
    <numFmt numFmtId="178" formatCode="_(* #,##0_);_(* \(#,##0\);_(* &quot;-&quot;??_);_(@_)"/>
    <numFmt numFmtId="179" formatCode="_-* #,##0_₴_-;\-* #,##0_₴_-;_-* &quot;-&quot;??_₴_-;_-@_-"/>
  </numFmts>
  <fonts count="88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  <charset val="204"/>
    </font>
    <font>
      <sz val="11"/>
      <color indexed="8"/>
      <name val="Arial Cyr"/>
      <family val="2"/>
      <charset val="204"/>
    </font>
    <font>
      <sz val="11"/>
      <color indexed="9"/>
      <name val="Arial Cyr"/>
      <family val="2"/>
      <charset val="204"/>
    </font>
    <font>
      <b/>
      <sz val="12"/>
      <name val="Arial"/>
      <family val="2"/>
      <charset val="204"/>
    </font>
    <font>
      <sz val="10"/>
      <name val="FreeSet"/>
      <family val="2"/>
    </font>
    <font>
      <u/>
      <sz val="10"/>
      <color indexed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b/>
      <sz val="10"/>
      <name val="Arial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6"/>
      <name val="Arial Cyr"/>
      <charset val="204"/>
    </font>
    <font>
      <b/>
      <sz val="10"/>
      <name val="Arial Cyr"/>
      <charset val="204"/>
    </font>
    <font>
      <b/>
      <sz val="14"/>
      <name val="Arial Cyr"/>
      <charset val="204"/>
    </font>
    <font>
      <sz val="9"/>
      <color indexed="81"/>
      <name val="Tahoma"/>
      <family val="2"/>
      <charset val="204"/>
    </font>
    <font>
      <b/>
      <sz val="22"/>
      <color indexed="81"/>
      <name val="Tahoma"/>
      <family val="2"/>
      <charset val="204"/>
    </font>
    <font>
      <sz val="11"/>
      <name val="Calibri"/>
      <family val="2"/>
      <charset val="204"/>
    </font>
    <font>
      <b/>
      <sz val="12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sz val="10"/>
      <name val="Times New Roman"/>
      <family val="1"/>
    </font>
    <font>
      <b/>
      <i/>
      <sz val="10"/>
      <name val="Times New Roman"/>
      <family val="1"/>
    </font>
    <font>
      <sz val="14"/>
      <color indexed="10"/>
      <name val="Times New Roman"/>
      <family val="1"/>
      <charset val="204"/>
    </font>
    <font>
      <b/>
      <sz val="14"/>
      <color indexed="3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54">
    <xf numFmtId="0" fontId="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3" fillId="2" borderId="0" applyNumberFormat="0" applyBorder="0" applyAlignment="0" applyProtection="0"/>
    <xf numFmtId="0" fontId="1" fillId="2" borderId="0" applyNumberFormat="0" applyBorder="0" applyAlignment="0" applyProtection="0"/>
    <xf numFmtId="0" fontId="33" fillId="3" borderId="0" applyNumberFormat="0" applyBorder="0" applyAlignment="0" applyProtection="0"/>
    <xf numFmtId="0" fontId="1" fillId="3" borderId="0" applyNumberFormat="0" applyBorder="0" applyAlignment="0" applyProtection="0"/>
    <xf numFmtId="0" fontId="33" fillId="4" borderId="0" applyNumberFormat="0" applyBorder="0" applyAlignment="0" applyProtection="0"/>
    <xf numFmtId="0" fontId="1" fillId="4" borderId="0" applyNumberFormat="0" applyBorder="0" applyAlignment="0" applyProtection="0"/>
    <xf numFmtId="0" fontId="33" fillId="5" borderId="0" applyNumberFormat="0" applyBorder="0" applyAlignment="0" applyProtection="0"/>
    <xf numFmtId="0" fontId="1" fillId="5" borderId="0" applyNumberFormat="0" applyBorder="0" applyAlignment="0" applyProtection="0"/>
    <xf numFmtId="0" fontId="33" fillId="6" borderId="0" applyNumberFormat="0" applyBorder="0" applyAlignment="0" applyProtection="0"/>
    <xf numFmtId="0" fontId="1" fillId="6" borderId="0" applyNumberFormat="0" applyBorder="0" applyAlignment="0" applyProtection="0"/>
    <xf numFmtId="0" fontId="33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3" fillId="8" borderId="0" applyNumberFormat="0" applyBorder="0" applyAlignment="0" applyProtection="0"/>
    <xf numFmtId="0" fontId="1" fillId="8" borderId="0" applyNumberFormat="0" applyBorder="0" applyAlignment="0" applyProtection="0"/>
    <xf numFmtId="0" fontId="33" fillId="9" borderId="0" applyNumberFormat="0" applyBorder="0" applyAlignment="0" applyProtection="0"/>
    <xf numFmtId="0" fontId="1" fillId="9" borderId="0" applyNumberFormat="0" applyBorder="0" applyAlignment="0" applyProtection="0"/>
    <xf numFmtId="0" fontId="33" fillId="10" borderId="0" applyNumberFormat="0" applyBorder="0" applyAlignment="0" applyProtection="0"/>
    <xf numFmtId="0" fontId="1" fillId="10" borderId="0" applyNumberFormat="0" applyBorder="0" applyAlignment="0" applyProtection="0"/>
    <xf numFmtId="0" fontId="33" fillId="5" borderId="0" applyNumberFormat="0" applyBorder="0" applyAlignment="0" applyProtection="0"/>
    <xf numFmtId="0" fontId="1" fillId="5" borderId="0" applyNumberFormat="0" applyBorder="0" applyAlignment="0" applyProtection="0"/>
    <xf numFmtId="0" fontId="33" fillId="8" borderId="0" applyNumberFormat="0" applyBorder="0" applyAlignment="0" applyProtection="0"/>
    <xf numFmtId="0" fontId="1" fillId="8" borderId="0" applyNumberFormat="0" applyBorder="0" applyAlignment="0" applyProtection="0"/>
    <xf numFmtId="0" fontId="33" fillId="11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34" fillId="12" borderId="0" applyNumberFormat="0" applyBorder="0" applyAlignment="0" applyProtection="0"/>
    <xf numFmtId="0" fontId="16" fillId="12" borderId="0" applyNumberFormat="0" applyBorder="0" applyAlignment="0" applyProtection="0"/>
    <xf numFmtId="0" fontId="34" fillId="9" borderId="0" applyNumberFormat="0" applyBorder="0" applyAlignment="0" applyProtection="0"/>
    <xf numFmtId="0" fontId="16" fillId="9" borderId="0" applyNumberFormat="0" applyBorder="0" applyAlignment="0" applyProtection="0"/>
    <xf numFmtId="0" fontId="34" fillId="10" borderId="0" applyNumberFormat="0" applyBorder="0" applyAlignment="0" applyProtection="0"/>
    <xf numFmtId="0" fontId="16" fillId="10" borderId="0" applyNumberFormat="0" applyBorder="0" applyAlignment="0" applyProtection="0"/>
    <xf numFmtId="0" fontId="34" fillId="13" borderId="0" applyNumberFormat="0" applyBorder="0" applyAlignment="0" applyProtection="0"/>
    <xf numFmtId="0" fontId="16" fillId="13" borderId="0" applyNumberFormat="0" applyBorder="0" applyAlignment="0" applyProtection="0"/>
    <xf numFmtId="0" fontId="34" fillId="14" borderId="0" applyNumberFormat="0" applyBorder="0" applyAlignment="0" applyProtection="0"/>
    <xf numFmtId="0" fontId="16" fillId="14" borderId="0" applyNumberFormat="0" applyBorder="0" applyAlignment="0" applyProtection="0"/>
    <xf numFmtId="0" fontId="34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27" fillId="3" borderId="0" applyNumberFormat="0" applyBorder="0" applyAlignment="0" applyProtection="0"/>
    <xf numFmtId="0" fontId="19" fillId="20" borderId="1" applyNumberFormat="0" applyAlignment="0" applyProtection="0"/>
    <xf numFmtId="0" fontId="24" fillId="21" borderId="2" applyNumberFormat="0" applyAlignment="0" applyProtection="0"/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49" fontId="35" fillId="0" borderId="3">
      <alignment horizontal="center" vertical="center"/>
      <protection locked="0"/>
    </xf>
    <xf numFmtId="168" fontId="13" fillId="0" borderId="0" applyFont="0" applyFill="0" applyBorder="0" applyAlignment="0" applyProtection="0"/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49" fontId="13" fillId="0" borderId="3">
      <alignment horizontal="left" vertical="center"/>
      <protection locked="0"/>
    </xf>
    <xf numFmtId="0" fontId="28" fillId="0" borderId="0" applyNumberFormat="0" applyFill="0" applyBorder="0" applyAlignment="0" applyProtection="0"/>
    <xf numFmtId="171" fontId="36" fillId="0" borderId="0" applyAlignment="0">
      <alignment wrapText="1"/>
    </xf>
    <xf numFmtId="0" fontId="31" fillId="4" borderId="0" applyNumberFormat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17" fillId="7" borderId="1" applyNumberFormat="0" applyAlignment="0" applyProtection="0"/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13" fillId="0" borderId="0" applyNumberFormat="0" applyFont="0" applyAlignment="0">
      <alignment vertical="top" wrapText="1"/>
      <protection locked="0"/>
    </xf>
    <xf numFmtId="49" fontId="38" fillId="22" borderId="7">
      <alignment horizontal="left" vertical="center"/>
      <protection locked="0"/>
    </xf>
    <xf numFmtId="49" fontId="38" fillId="22" borderId="7">
      <alignment horizontal="left" vertical="center"/>
    </xf>
    <xf numFmtId="4" fontId="38" fillId="22" borderId="7">
      <alignment horizontal="right" vertical="center"/>
      <protection locked="0"/>
    </xf>
    <xf numFmtId="4" fontId="38" fillId="22" borderId="7">
      <alignment horizontal="right" vertical="center"/>
    </xf>
    <xf numFmtId="4" fontId="39" fillId="22" borderId="7">
      <alignment horizontal="right" vertical="center"/>
      <protection locked="0"/>
    </xf>
    <xf numFmtId="49" fontId="40" fillId="22" borderId="3">
      <alignment horizontal="left" vertical="center"/>
      <protection locked="0"/>
    </xf>
    <xf numFmtId="49" fontId="40" fillId="22" borderId="3">
      <alignment horizontal="left" vertical="center"/>
    </xf>
    <xf numFmtId="49" fontId="41" fillId="22" borderId="3">
      <alignment horizontal="left" vertical="center"/>
      <protection locked="0"/>
    </xf>
    <xf numFmtId="49" fontId="41" fillId="22" borderId="3">
      <alignment horizontal="left" vertical="center"/>
    </xf>
    <xf numFmtId="4" fontId="40" fillId="22" borderId="3">
      <alignment horizontal="right" vertical="center"/>
      <protection locked="0"/>
    </xf>
    <xf numFmtId="4" fontId="40" fillId="22" borderId="3">
      <alignment horizontal="right" vertical="center"/>
    </xf>
    <xf numFmtId="4" fontId="42" fillId="22" borderId="3">
      <alignment horizontal="right" vertical="center"/>
      <protection locked="0"/>
    </xf>
    <xf numFmtId="49" fontId="35" fillId="22" borderId="3">
      <alignment horizontal="left" vertical="center"/>
      <protection locked="0"/>
    </xf>
    <xf numFmtId="49" fontId="35" fillId="22" borderId="3">
      <alignment horizontal="left" vertical="center"/>
      <protection locked="0"/>
    </xf>
    <xf numFmtId="49" fontId="35" fillId="22" borderId="3">
      <alignment horizontal="left" vertical="center"/>
    </xf>
    <xf numFmtId="49" fontId="35" fillId="22" borderId="3">
      <alignment horizontal="left" vertical="center"/>
    </xf>
    <xf numFmtId="49" fontId="39" fillId="22" borderId="3">
      <alignment horizontal="left" vertical="center"/>
      <protection locked="0"/>
    </xf>
    <xf numFmtId="49" fontId="39" fillId="22" borderId="3">
      <alignment horizontal="left" vertical="center"/>
    </xf>
    <xf numFmtId="4" fontId="35" fillId="22" borderId="3">
      <alignment horizontal="right" vertical="center"/>
      <protection locked="0"/>
    </xf>
    <xf numFmtId="4" fontId="35" fillId="22" borderId="3">
      <alignment horizontal="right" vertical="center"/>
      <protection locked="0"/>
    </xf>
    <xf numFmtId="4" fontId="35" fillId="22" borderId="3">
      <alignment horizontal="right" vertical="center"/>
    </xf>
    <xf numFmtId="4" fontId="35" fillId="22" borderId="3">
      <alignment horizontal="right" vertical="center"/>
    </xf>
    <xf numFmtId="4" fontId="39" fillId="22" borderId="3">
      <alignment horizontal="right" vertical="center"/>
      <protection locked="0"/>
    </xf>
    <xf numFmtId="49" fontId="43" fillId="22" borderId="3">
      <alignment horizontal="left" vertical="center"/>
      <protection locked="0"/>
    </xf>
    <xf numFmtId="49" fontId="43" fillId="22" borderId="3">
      <alignment horizontal="left" vertical="center"/>
    </xf>
    <xf numFmtId="49" fontId="44" fillId="22" borderId="3">
      <alignment horizontal="left" vertical="center"/>
      <protection locked="0"/>
    </xf>
    <xf numFmtId="49" fontId="44" fillId="22" borderId="3">
      <alignment horizontal="left" vertical="center"/>
    </xf>
    <xf numFmtId="4" fontId="43" fillId="22" borderId="3">
      <alignment horizontal="right" vertical="center"/>
      <protection locked="0"/>
    </xf>
    <xf numFmtId="4" fontId="43" fillId="22" borderId="3">
      <alignment horizontal="right" vertical="center"/>
    </xf>
    <xf numFmtId="4" fontId="45" fillId="22" borderId="3">
      <alignment horizontal="right" vertical="center"/>
      <protection locked="0"/>
    </xf>
    <xf numFmtId="49" fontId="46" fillId="0" borderId="3">
      <alignment horizontal="left" vertical="center"/>
      <protection locked="0"/>
    </xf>
    <xf numFmtId="49" fontId="46" fillId="0" borderId="3">
      <alignment horizontal="left" vertical="center"/>
    </xf>
    <xf numFmtId="49" fontId="47" fillId="0" borderId="3">
      <alignment horizontal="left" vertical="center"/>
      <protection locked="0"/>
    </xf>
    <xf numFmtId="49" fontId="47" fillId="0" borderId="3">
      <alignment horizontal="left" vertical="center"/>
    </xf>
    <xf numFmtId="4" fontId="46" fillId="0" borderId="3">
      <alignment horizontal="right" vertical="center"/>
      <protection locked="0"/>
    </xf>
    <xf numFmtId="4" fontId="46" fillId="0" borderId="3">
      <alignment horizontal="right" vertical="center"/>
    </xf>
    <xf numFmtId="4" fontId="47" fillId="0" borderId="3">
      <alignment horizontal="right" vertical="center"/>
      <protection locked="0"/>
    </xf>
    <xf numFmtId="49" fontId="48" fillId="0" borderId="3">
      <alignment horizontal="left" vertical="center"/>
      <protection locked="0"/>
    </xf>
    <xf numFmtId="49" fontId="48" fillId="0" borderId="3">
      <alignment horizontal="left" vertical="center"/>
    </xf>
    <xf numFmtId="49" fontId="49" fillId="0" borderId="3">
      <alignment horizontal="left" vertical="center"/>
      <protection locked="0"/>
    </xf>
    <xf numFmtId="49" fontId="49" fillId="0" borderId="3">
      <alignment horizontal="left" vertical="center"/>
    </xf>
    <xf numFmtId="4" fontId="48" fillId="0" borderId="3">
      <alignment horizontal="right" vertical="center"/>
      <protection locked="0"/>
    </xf>
    <xf numFmtId="4" fontId="48" fillId="0" borderId="3">
      <alignment horizontal="right" vertical="center"/>
    </xf>
    <xf numFmtId="49" fontId="46" fillId="0" borderId="3">
      <alignment horizontal="left" vertical="center"/>
      <protection locked="0"/>
    </xf>
    <xf numFmtId="49" fontId="47" fillId="0" borderId="3">
      <alignment horizontal="left" vertical="center"/>
      <protection locked="0"/>
    </xf>
    <xf numFmtId="4" fontId="46" fillId="0" borderId="3">
      <alignment horizontal="right" vertical="center"/>
      <protection locked="0"/>
    </xf>
    <xf numFmtId="0" fontId="29" fillId="0" borderId="8" applyNumberFormat="0" applyFill="0" applyAlignment="0" applyProtection="0"/>
    <xf numFmtId="0" fontId="26" fillId="23" borderId="0" applyNumberFormat="0" applyBorder="0" applyAlignment="0" applyProtection="0"/>
    <xf numFmtId="0" fontId="13" fillId="0" borderId="0"/>
    <xf numFmtId="0" fontId="13" fillId="0" borderId="0"/>
    <xf numFmtId="0" fontId="13" fillId="24" borderId="0" applyNumberFormat="0" applyFill="0" applyAlignment="0">
      <alignment horizontal="center"/>
      <protection locked="0"/>
    </xf>
    <xf numFmtId="0" fontId="2" fillId="25" borderId="9" applyNumberFormat="0" applyFont="0" applyAlignment="0" applyProtection="0"/>
    <xf numFmtId="4" fontId="50" fillId="26" borderId="3">
      <alignment horizontal="right" vertical="center"/>
      <protection locked="0"/>
    </xf>
    <xf numFmtId="4" fontId="50" fillId="27" borderId="3">
      <alignment horizontal="right" vertical="center"/>
      <protection locked="0"/>
    </xf>
    <xf numFmtId="4" fontId="50" fillId="28" borderId="3">
      <alignment horizontal="right" vertical="center"/>
      <protection locked="0"/>
    </xf>
    <xf numFmtId="0" fontId="18" fillId="20" borderId="10" applyNumberFormat="0" applyAlignment="0" applyProtection="0"/>
    <xf numFmtId="49" fontId="35" fillId="0" borderId="3">
      <alignment horizontal="left" vertical="center" wrapText="1"/>
      <protection locked="0"/>
    </xf>
    <xf numFmtId="49" fontId="35" fillId="0" borderId="3">
      <alignment horizontal="left" vertical="center" wrapText="1"/>
      <protection locked="0"/>
    </xf>
    <xf numFmtId="0" fontId="25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30" fillId="0" borderId="0" applyNumberFormat="0" applyFill="0" applyBorder="0" applyAlignment="0" applyProtection="0"/>
    <xf numFmtId="0" fontId="34" fillId="16" borderId="0" applyNumberFormat="0" applyBorder="0" applyAlignment="0" applyProtection="0"/>
    <xf numFmtId="0" fontId="16" fillId="16" borderId="0" applyNumberFormat="0" applyBorder="0" applyAlignment="0" applyProtection="0"/>
    <xf numFmtId="0" fontId="34" fillId="17" borderId="0" applyNumberFormat="0" applyBorder="0" applyAlignment="0" applyProtection="0"/>
    <xf numFmtId="0" fontId="16" fillId="17" borderId="0" applyNumberFormat="0" applyBorder="0" applyAlignment="0" applyProtection="0"/>
    <xf numFmtId="0" fontId="34" fillId="18" borderId="0" applyNumberFormat="0" applyBorder="0" applyAlignment="0" applyProtection="0"/>
    <xf numFmtId="0" fontId="16" fillId="18" borderId="0" applyNumberFormat="0" applyBorder="0" applyAlignment="0" applyProtection="0"/>
    <xf numFmtId="0" fontId="34" fillId="13" borderId="0" applyNumberFormat="0" applyBorder="0" applyAlignment="0" applyProtection="0"/>
    <xf numFmtId="0" fontId="16" fillId="13" borderId="0" applyNumberFormat="0" applyBorder="0" applyAlignment="0" applyProtection="0"/>
    <xf numFmtId="0" fontId="34" fillId="14" borderId="0" applyNumberFormat="0" applyBorder="0" applyAlignment="0" applyProtection="0"/>
    <xf numFmtId="0" fontId="16" fillId="14" borderId="0" applyNumberFormat="0" applyBorder="0" applyAlignment="0" applyProtection="0"/>
    <xf numFmtId="0" fontId="34" fillId="19" borderId="0" applyNumberFormat="0" applyBorder="0" applyAlignment="0" applyProtection="0"/>
    <xf numFmtId="0" fontId="16" fillId="19" borderId="0" applyNumberFormat="0" applyBorder="0" applyAlignment="0" applyProtection="0"/>
    <xf numFmtId="0" fontId="51" fillId="7" borderId="1" applyNumberFormat="0" applyAlignment="0" applyProtection="0"/>
    <xf numFmtId="0" fontId="17" fillId="7" borderId="1" applyNumberFormat="0" applyAlignment="0" applyProtection="0"/>
    <xf numFmtId="0" fontId="52" fillId="20" borderId="10" applyNumberFormat="0" applyAlignment="0" applyProtection="0"/>
    <xf numFmtId="0" fontId="18" fillId="20" borderId="10" applyNumberFormat="0" applyAlignment="0" applyProtection="0"/>
    <xf numFmtId="0" fontId="53" fillId="20" borderId="1" applyNumberFormat="0" applyAlignment="0" applyProtection="0"/>
    <xf numFmtId="0" fontId="19" fillId="20" borderId="1" applyNumberFormat="0" applyAlignment="0" applyProtection="0"/>
    <xf numFmtId="172" fontId="13" fillId="0" borderId="0" applyFont="0" applyFill="0" applyBorder="0" applyAlignment="0" applyProtection="0"/>
    <xf numFmtId="0" fontId="54" fillId="0" borderId="4" applyNumberFormat="0" applyFill="0" applyAlignment="0" applyProtection="0"/>
    <xf numFmtId="0" fontId="20" fillId="0" borderId="4" applyNumberFormat="0" applyFill="0" applyAlignment="0" applyProtection="0"/>
    <xf numFmtId="0" fontId="55" fillId="0" borderId="5" applyNumberFormat="0" applyFill="0" applyAlignment="0" applyProtection="0"/>
    <xf numFmtId="0" fontId="21" fillId="0" borderId="5" applyNumberFormat="0" applyFill="0" applyAlignment="0" applyProtection="0"/>
    <xf numFmtId="0" fontId="56" fillId="0" borderId="6" applyNumberFormat="0" applyFill="0" applyAlignment="0" applyProtection="0"/>
    <xf numFmtId="0" fontId="22" fillId="0" borderId="6" applyNumberFormat="0" applyFill="0" applyAlignment="0" applyProtection="0"/>
    <xf numFmtId="0" fontId="56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7" fillId="0" borderId="11" applyNumberFormat="0" applyFill="0" applyAlignment="0" applyProtection="0"/>
    <xf numFmtId="0" fontId="23" fillId="0" borderId="11" applyNumberFormat="0" applyFill="0" applyAlignment="0" applyProtection="0"/>
    <xf numFmtId="0" fontId="58" fillId="21" borderId="2" applyNumberFormat="0" applyAlignment="0" applyProtection="0"/>
    <xf numFmtId="0" fontId="24" fillId="21" borderId="2" applyNumberFormat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9" fillId="23" borderId="0" applyNumberFormat="0" applyBorder="0" applyAlignment="0" applyProtection="0"/>
    <xf numFmtId="0" fontId="26" fillId="2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7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13" fillId="0" borderId="0"/>
    <xf numFmtId="0" fontId="2" fillId="0" borderId="0"/>
    <xf numFmtId="0" fontId="13" fillId="0" borderId="0"/>
    <xf numFmtId="0" fontId="13" fillId="0" borderId="0" applyNumberFormat="0" applyFont="0" applyFill="0" applyBorder="0" applyAlignment="0" applyProtection="0">
      <alignment vertical="top"/>
    </xf>
    <xf numFmtId="0" fontId="13" fillId="0" borderId="0" applyNumberFormat="0" applyFont="0" applyFill="0" applyBorder="0" applyAlignment="0" applyProtection="0">
      <alignment vertical="top"/>
    </xf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60" fillId="3" borderId="0" applyNumberFormat="0" applyBorder="0" applyAlignment="0" applyProtection="0"/>
    <xf numFmtId="0" fontId="27" fillId="3" borderId="0" applyNumberFormat="0" applyBorder="0" applyAlignment="0" applyProtection="0"/>
    <xf numFmtId="0" fontId="61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62" fillId="25" borderId="9" applyNumberFormat="0" applyFont="0" applyAlignment="0" applyProtection="0"/>
    <xf numFmtId="0" fontId="13" fillId="25" borderId="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3" fillId="0" borderId="8" applyNumberFormat="0" applyFill="0" applyAlignment="0" applyProtection="0"/>
    <xf numFmtId="0" fontId="29" fillId="0" borderId="8" applyNumberFormat="0" applyFill="0" applyAlignment="0" applyProtection="0"/>
    <xf numFmtId="0" fontId="32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3" fontId="66" fillId="0" borderId="0" applyFont="0" applyFill="0" applyBorder="0" applyAlignment="0" applyProtection="0"/>
    <xf numFmtId="174" fontId="6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67" fillId="4" borderId="0" applyNumberFormat="0" applyBorder="0" applyAlignment="0" applyProtection="0"/>
    <xf numFmtId="0" fontId="31" fillId="4" borderId="0" applyNumberFormat="0" applyBorder="0" applyAlignment="0" applyProtection="0"/>
    <xf numFmtId="176" fontId="68" fillId="22" borderId="12" applyFill="0" applyBorder="0">
      <alignment horizontal="center" vertical="center" wrapText="1"/>
      <protection locked="0"/>
    </xf>
    <xf numFmtId="171" fontId="69" fillId="0" borderId="0">
      <alignment wrapText="1"/>
    </xf>
    <xf numFmtId="171" fontId="36" fillId="0" borderId="0">
      <alignment wrapText="1"/>
    </xf>
  </cellStyleXfs>
  <cellXfs count="465">
    <xf numFmtId="0" fontId="0" fillId="0" borderId="0" xfId="0"/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 shrinkToFit="1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vertical="center"/>
    </xf>
    <xf numFmtId="169" fontId="4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1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 wrapText="1" shrinkToFit="1"/>
    </xf>
    <xf numFmtId="0" fontId="5" fillId="0" borderId="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170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horizontal="right" vertical="center"/>
    </xf>
    <xf numFmtId="170" fontId="5" fillId="0" borderId="0" xfId="0" applyNumberFormat="1" applyFont="1" applyFill="1" applyAlignment="1">
      <alignment vertical="center"/>
    </xf>
    <xf numFmtId="0" fontId="12" fillId="0" borderId="0" xfId="0" applyFont="1" applyFill="1"/>
    <xf numFmtId="170" fontId="5" fillId="0" borderId="0" xfId="0" applyNumberFormat="1" applyFont="1" applyFill="1" applyBorder="1" applyAlignment="1">
      <alignment horizontal="center" vertical="center" wrapText="1"/>
    </xf>
    <xf numFmtId="169" fontId="4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/>
    <xf numFmtId="169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 shrinkToFit="1"/>
    </xf>
    <xf numFmtId="0" fontId="4" fillId="0" borderId="0" xfId="0" applyFont="1" applyFill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5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3" xfId="237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 wrapText="1"/>
    </xf>
    <xf numFmtId="0" fontId="5" fillId="0" borderId="0" xfId="245" applyFont="1" applyFill="1" applyBorder="1" applyAlignment="1">
      <alignment vertical="center"/>
    </xf>
    <xf numFmtId="0" fontId="5" fillId="0" borderId="3" xfId="245" applyFont="1" applyFill="1" applyBorder="1" applyAlignment="1">
      <alignment horizontal="left" vertical="center" wrapText="1"/>
    </xf>
    <xf numFmtId="0" fontId="4" fillId="0" borderId="0" xfId="245" applyFont="1" applyFill="1" applyBorder="1" applyAlignment="1">
      <alignment vertical="center"/>
    </xf>
    <xf numFmtId="0" fontId="5" fillId="0" borderId="0" xfId="245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3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 wrapText="1"/>
    </xf>
    <xf numFmtId="170" fontId="4" fillId="0" borderId="0" xfId="0" applyNumberFormat="1" applyFont="1" applyFill="1" applyBorder="1" applyAlignment="1">
      <alignment horizontal="center" vertical="center" wrapText="1"/>
    </xf>
    <xf numFmtId="17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3" xfId="245" applyFont="1" applyFill="1" applyBorder="1" applyAlignment="1">
      <alignment horizontal="left" vertical="center" wrapText="1"/>
    </xf>
    <xf numFmtId="0" fontId="15" fillId="0" borderId="0" xfId="245" applyFont="1" applyFill="1"/>
    <xf numFmtId="0" fontId="6" fillId="0" borderId="0" xfId="0" applyFont="1" applyFill="1" applyAlignment="1">
      <alignment vertical="center"/>
    </xf>
    <xf numFmtId="0" fontId="5" fillId="0" borderId="0" xfId="245" applyFont="1" applyFill="1" applyBorder="1" applyAlignment="1">
      <alignment vertical="center" wrapText="1"/>
    </xf>
    <xf numFmtId="0" fontId="4" fillId="0" borderId="3" xfId="237" applyFont="1" applyFill="1" applyBorder="1" applyAlignment="1">
      <alignment horizontal="left" vertical="center"/>
    </xf>
    <xf numFmtId="0" fontId="5" fillId="0" borderId="0" xfId="0" applyFont="1" applyFill="1"/>
    <xf numFmtId="0" fontId="10" fillId="0" borderId="3" xfId="0" applyFont="1" applyFill="1" applyBorder="1" applyAlignment="1">
      <alignment horizontal="center" vertical="center" wrapText="1" shrinkToFit="1"/>
    </xf>
    <xf numFmtId="0" fontId="10" fillId="0" borderId="14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12" fillId="0" borderId="0" xfId="0" applyFont="1" applyFill="1" applyAlignment="1">
      <alignment horizontal="right" vertical="center"/>
    </xf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15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3" xfId="0" quotePrefix="1" applyFont="1" applyFill="1" applyBorder="1" applyAlignment="1">
      <alignment horizontal="center" vertical="center" wrapText="1"/>
    </xf>
    <xf numFmtId="0" fontId="5" fillId="0" borderId="3" xfId="0" quotePrefix="1" applyFont="1" applyFill="1" applyBorder="1" applyAlignment="1">
      <alignment horizontal="center" vertical="center" wrapText="1"/>
    </xf>
    <xf numFmtId="0" fontId="5" fillId="0" borderId="3" xfId="0" quotePrefix="1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4" fillId="0" borderId="3" xfId="237" applyFont="1" applyFill="1" applyBorder="1" applyAlignment="1">
      <alignment horizontal="left" vertical="center" wrapText="1"/>
    </xf>
    <xf numFmtId="0" fontId="5" fillId="0" borderId="3" xfId="237" applyNumberFormat="1" applyFont="1" applyFill="1" applyBorder="1" applyAlignment="1">
      <alignment horizontal="left" vertical="center" wrapText="1"/>
    </xf>
    <xf numFmtId="0" fontId="5" fillId="0" borderId="3" xfId="237" applyNumberFormat="1" applyFont="1" applyFill="1" applyBorder="1" applyAlignment="1">
      <alignment horizontal="center" vertical="center" wrapText="1"/>
    </xf>
    <xf numFmtId="0" fontId="5" fillId="0" borderId="3" xfId="237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 shrinkToFi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169" fontId="5" fillId="0" borderId="0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 shrinkToFit="1"/>
    </xf>
    <xf numFmtId="49" fontId="5" fillId="0" borderId="3" xfId="237" applyNumberFormat="1" applyFont="1" applyFill="1" applyBorder="1" applyAlignment="1">
      <alignment horizontal="left" vertical="center" wrapText="1"/>
    </xf>
    <xf numFmtId="170" fontId="5" fillId="0" borderId="3" xfId="237" applyNumberFormat="1" applyFont="1" applyFill="1" applyBorder="1" applyAlignment="1">
      <alignment horizontal="center" vertical="center" wrapText="1"/>
    </xf>
    <xf numFmtId="0" fontId="5" fillId="0" borderId="3" xfId="237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vertical="center" wrapText="1" shrinkToFi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29" borderId="3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vertical="center" wrapText="1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3" xfId="182" applyFont="1" applyFill="1" applyBorder="1" applyAlignment="1" applyProtection="1">
      <alignment vertical="center" wrapText="1"/>
    </xf>
    <xf numFmtId="173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182" applyFont="1" applyFill="1" applyBorder="1" applyAlignment="1" applyProtection="1">
      <alignment vertical="center" wrapText="1"/>
    </xf>
    <xf numFmtId="0" fontId="4" fillId="0" borderId="3" xfId="0" applyFont="1" applyFill="1" applyBorder="1" applyAlignment="1" applyProtection="1">
      <alignment vertical="center" wrapText="1"/>
    </xf>
    <xf numFmtId="0" fontId="5" fillId="0" borderId="3" xfId="0" applyFont="1" applyFill="1" applyBorder="1" applyAlignment="1" applyProtection="1">
      <alignment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3" xfId="245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17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70" fillId="0" borderId="0" xfId="0" applyFont="1" applyAlignment="1" applyProtection="1">
      <alignment horizontal="left" vertical="top" wrapText="1"/>
      <protection locked="0"/>
    </xf>
    <xf numFmtId="0" fontId="70" fillId="0" borderId="0" xfId="0" applyFont="1" applyAlignment="1" applyProtection="1">
      <alignment vertical="top" wrapText="1"/>
      <protection locked="0"/>
    </xf>
    <xf numFmtId="0" fontId="71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71" fillId="0" borderId="0" xfId="0" applyFont="1" applyFill="1" applyBorder="1" applyAlignment="1" applyProtection="1">
      <alignment horizontal="right" vertical="center"/>
      <protection locked="0"/>
    </xf>
    <xf numFmtId="0" fontId="71" fillId="0" borderId="0" xfId="0" applyFont="1" applyFill="1" applyBorder="1" applyAlignment="1" applyProtection="1">
      <alignment horizontal="left" vertical="center"/>
      <protection locked="0"/>
    </xf>
    <xf numFmtId="0" fontId="71" fillId="0" borderId="0" xfId="0" applyFont="1" applyFill="1" applyBorder="1" applyAlignment="1" applyProtection="1">
      <alignment horizontal="right" vertical="center" wrapText="1"/>
      <protection locked="0"/>
    </xf>
    <xf numFmtId="0" fontId="71" fillId="0" borderId="0" xfId="0" applyFont="1" applyFill="1" applyBorder="1" applyAlignment="1" applyProtection="1">
      <alignment horizontal="left" vertical="center" wrapText="1"/>
      <protection locked="0"/>
    </xf>
    <xf numFmtId="0" fontId="71" fillId="0" borderId="0" xfId="0" applyFont="1" applyFill="1" applyAlignment="1" applyProtection="1">
      <alignment horizontal="center" vertical="center"/>
      <protection locked="0"/>
    </xf>
    <xf numFmtId="0" fontId="71" fillId="0" borderId="0" xfId="0" applyFont="1" applyFill="1" applyBorder="1" applyAlignment="1" applyProtection="1">
      <alignment horizontal="center" vertical="center"/>
      <protection locked="0"/>
    </xf>
    <xf numFmtId="0" fontId="71" fillId="0" borderId="14" xfId="0" applyFont="1" applyFill="1" applyBorder="1" applyAlignment="1" applyProtection="1">
      <alignment vertical="center"/>
      <protection locked="0"/>
    </xf>
    <xf numFmtId="0" fontId="71" fillId="0" borderId="15" xfId="0" applyFont="1" applyFill="1" applyBorder="1" applyAlignment="1" applyProtection="1">
      <alignment vertical="center"/>
      <protection locked="0"/>
    </xf>
    <xf numFmtId="0" fontId="71" fillId="0" borderId="16" xfId="0" applyFont="1" applyFill="1" applyBorder="1" applyAlignment="1" applyProtection="1">
      <alignment vertical="center"/>
      <protection locked="0"/>
    </xf>
    <xf numFmtId="0" fontId="71" fillId="0" borderId="3" xfId="0" applyFont="1" applyFill="1" applyBorder="1" applyAlignment="1" applyProtection="1">
      <alignment horizontal="left" vertical="center"/>
      <protection locked="0"/>
    </xf>
    <xf numFmtId="0" fontId="71" fillId="0" borderId="3" xfId="0" applyFont="1" applyFill="1" applyBorder="1" applyAlignment="1" applyProtection="1">
      <alignment horizontal="center" vertical="center"/>
      <protection locked="0"/>
    </xf>
    <xf numFmtId="0" fontId="71" fillId="0" borderId="14" xfId="0" applyFont="1" applyFill="1" applyBorder="1" applyAlignment="1" applyProtection="1">
      <alignment horizontal="left" vertical="center" wrapText="1"/>
      <protection locked="0"/>
    </xf>
    <xf numFmtId="0" fontId="71" fillId="0" borderId="15" xfId="0" applyFont="1" applyFill="1" applyBorder="1" applyAlignment="1" applyProtection="1">
      <alignment vertical="center" wrapText="1"/>
      <protection locked="0"/>
    </xf>
    <xf numFmtId="0" fontId="71" fillId="0" borderId="16" xfId="0" applyFont="1" applyFill="1" applyBorder="1" applyAlignment="1" applyProtection="1">
      <alignment vertical="center" wrapText="1"/>
      <protection locked="0"/>
    </xf>
    <xf numFmtId="0" fontId="71" fillId="0" borderId="3" xfId="0" applyFont="1" applyFill="1" applyBorder="1" applyAlignment="1" applyProtection="1">
      <alignment vertical="center"/>
      <protection locked="0"/>
    </xf>
    <xf numFmtId="0" fontId="71" fillId="0" borderId="17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71" fillId="0" borderId="18" xfId="0" applyFont="1" applyFill="1" applyBorder="1" applyAlignment="1" applyProtection="1">
      <alignment vertical="center"/>
      <protection locked="0"/>
    </xf>
    <xf numFmtId="0" fontId="71" fillId="0" borderId="3" xfId="0" applyFont="1" applyFill="1" applyBorder="1" applyAlignment="1" applyProtection="1">
      <alignment vertical="center" wrapText="1"/>
      <protection locked="0"/>
    </xf>
    <xf numFmtId="170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170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0" fontId="5" fillId="0" borderId="0" xfId="0" quotePrefix="1" applyFont="1" applyFill="1" applyBorder="1" applyAlignment="1" applyProtection="1">
      <alignment horizontal="center" vertical="center"/>
      <protection locked="0"/>
    </xf>
    <xf numFmtId="170" fontId="6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alignment horizontal="left" vertical="center"/>
      <protection locked="0"/>
    </xf>
    <xf numFmtId="0" fontId="4" fillId="0" borderId="0" xfId="0" quotePrefix="1" applyFont="1" applyFill="1" applyBorder="1" applyAlignment="1" applyProtection="1">
      <alignment horizontal="center"/>
      <protection locked="0"/>
    </xf>
    <xf numFmtId="170" fontId="4" fillId="0" borderId="0" xfId="0" quotePrefix="1" applyNumberFormat="1" applyFont="1" applyFill="1" applyBorder="1" applyAlignment="1" applyProtection="1">
      <alignment horizontal="center"/>
      <protection locked="0"/>
    </xf>
    <xf numFmtId="170" fontId="4" fillId="0" borderId="0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245" applyFont="1" applyFill="1" applyBorder="1" applyAlignment="1" applyProtection="1">
      <alignment horizontal="left" vertical="center" wrapText="1"/>
      <protection locked="0"/>
    </xf>
    <xf numFmtId="0" fontId="5" fillId="0" borderId="0" xfId="245" applyFont="1" applyFill="1" applyBorder="1" applyAlignment="1" applyProtection="1">
      <alignment horizontal="center" vertical="center"/>
      <protection locked="0"/>
    </xf>
    <xf numFmtId="170" fontId="5" fillId="0" borderId="0" xfId="245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245" applyNumberFormat="1" applyFont="1" applyFill="1" applyBorder="1" applyAlignment="1" applyProtection="1">
      <alignment horizontal="right" vertical="center" wrapText="1"/>
      <protection locked="0"/>
    </xf>
    <xf numFmtId="0" fontId="4" fillId="0" borderId="0" xfId="0" quotePrefix="1" applyFont="1" applyFill="1" applyBorder="1" applyAlignment="1" applyProtection="1">
      <alignment horizontal="center" vertical="center"/>
      <protection locked="0"/>
    </xf>
    <xf numFmtId="16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6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3" fontId="5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49" fontId="5" fillId="0" borderId="3" xfId="237" applyNumberFormat="1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Fill="1" applyProtection="1"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10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0" quotePrefix="1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1" fontId="0" fillId="0" borderId="0" xfId="0" applyNumberFormat="1"/>
    <xf numFmtId="0" fontId="13" fillId="0" borderId="3" xfId="0" applyFont="1" applyFill="1" applyBorder="1" applyAlignment="1">
      <alignment horizontal="left" vertical="center" wrapText="1"/>
    </xf>
    <xf numFmtId="0" fontId="13" fillId="0" borderId="3" xfId="245" applyFont="1" applyFill="1" applyBorder="1" applyAlignment="1">
      <alignment horizontal="left" vertical="center" wrapText="1"/>
    </xf>
    <xf numFmtId="1" fontId="0" fillId="0" borderId="3" xfId="0" applyNumberFormat="1" applyBorder="1"/>
    <xf numFmtId="0" fontId="0" fillId="0" borderId="3" xfId="0" applyBorder="1"/>
    <xf numFmtId="0" fontId="75" fillId="0" borderId="3" xfId="0" applyFont="1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 wrapText="1"/>
    </xf>
    <xf numFmtId="9" fontId="0" fillId="0" borderId="3" xfId="0" applyNumberFormat="1" applyBorder="1" applyAlignment="1">
      <alignment horizontal="center" vertical="center" wrapText="1"/>
    </xf>
    <xf numFmtId="0" fontId="75" fillId="0" borderId="3" xfId="0" applyFont="1" applyBorder="1" applyAlignment="1">
      <alignment horizontal="center" vertical="center" wrapText="1"/>
    </xf>
    <xf numFmtId="0" fontId="75" fillId="30" borderId="3" xfId="0" applyFont="1" applyFill="1" applyBorder="1" applyAlignment="1">
      <alignment horizontal="left" wrapText="1"/>
    </xf>
    <xf numFmtId="0" fontId="75" fillId="31" borderId="3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5" fillId="0" borderId="3" xfId="245" applyFont="1" applyFill="1" applyBorder="1" applyAlignment="1" applyProtection="1">
      <alignment horizontal="left" vertical="center" wrapText="1"/>
      <protection locked="0"/>
    </xf>
    <xf numFmtId="0" fontId="5" fillId="0" borderId="3" xfId="245" applyFont="1" applyFill="1" applyBorder="1" applyAlignment="1" applyProtection="1">
      <alignment horizontal="center" vertical="center" wrapText="1"/>
      <protection locked="0"/>
    </xf>
    <xf numFmtId="0" fontId="4" fillId="0" borderId="3" xfId="245" applyFont="1" applyFill="1" applyBorder="1" applyAlignment="1" applyProtection="1">
      <alignment horizontal="left" vertical="center" wrapText="1"/>
      <protection locked="0"/>
    </xf>
    <xf numFmtId="0" fontId="4" fillId="0" borderId="3" xfId="245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1" fontId="5" fillId="29" borderId="3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1" fontId="5" fillId="29" borderId="3" xfId="0" applyNumberFormat="1" applyFont="1" applyFill="1" applyBorder="1" applyAlignment="1" applyProtection="1">
      <alignment horizontal="center" vertical="center" wrapText="1"/>
    </xf>
    <xf numFmtId="2" fontId="5" fillId="29" borderId="3" xfId="0" applyNumberFormat="1" applyFont="1" applyFill="1" applyBorder="1" applyAlignment="1" applyProtection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2" fontId="5" fillId="29" borderId="3" xfId="237" applyNumberFormat="1" applyFont="1" applyFill="1" applyBorder="1" applyAlignment="1">
      <alignment horizontal="center" vertical="center" wrapText="1"/>
    </xf>
    <xf numFmtId="2" fontId="5" fillId="0" borderId="3" xfId="237" applyNumberFormat="1" applyFont="1" applyFill="1" applyBorder="1" applyAlignment="1" applyProtection="1">
      <alignment horizontal="center" vertical="center" wrapText="1"/>
      <protection locked="0"/>
    </xf>
    <xf numFmtId="2" fontId="5" fillId="0" borderId="3" xfId="237" applyNumberFormat="1" applyFont="1" applyFill="1" applyBorder="1" applyAlignment="1">
      <alignment horizontal="center" vertical="center" wrapText="1"/>
    </xf>
    <xf numFmtId="1" fontId="0" fillId="0" borderId="3" xfId="0" applyNumberFormat="1" applyFill="1" applyBorder="1"/>
    <xf numFmtId="0" fontId="0" fillId="0" borderId="3" xfId="0" applyFill="1" applyBorder="1" applyProtection="1">
      <protection locked="0"/>
    </xf>
    <xf numFmtId="10" fontId="76" fillId="30" borderId="3" xfId="0" applyNumberFormat="1" applyFont="1" applyFill="1" applyBorder="1" applyAlignment="1" applyProtection="1">
      <alignment horizontal="center" vertical="center" wrapText="1"/>
      <protection locked="0"/>
    </xf>
    <xf numFmtId="2" fontId="5" fillId="29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 applyProtection="1">
      <alignment horizontal="center" vertical="center" wrapText="1"/>
    </xf>
    <xf numFmtId="1" fontId="5" fillId="0" borderId="0" xfId="0" applyNumberFormat="1" applyFont="1" applyFill="1" applyBorder="1" applyAlignment="1">
      <alignment vertical="center"/>
    </xf>
    <xf numFmtId="1" fontId="5" fillId="22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left" vertical="center" wrapText="1"/>
    </xf>
    <xf numFmtId="10" fontId="0" fillId="0" borderId="0" xfId="0" applyNumberFormat="1" applyBorder="1" applyAlignment="1">
      <alignment horizontal="center" vertical="center" wrapText="1"/>
    </xf>
    <xf numFmtId="0" fontId="75" fillId="22" borderId="0" xfId="0" applyFont="1" applyFill="1" applyBorder="1" applyAlignment="1">
      <alignment horizontal="left" wrapText="1"/>
    </xf>
    <xf numFmtId="0" fontId="0" fillId="0" borderId="0" xfId="0" applyFill="1" applyBorder="1" applyProtection="1">
      <protection locked="0"/>
    </xf>
    <xf numFmtId="10" fontId="76" fillId="31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center" vertical="center" wrapText="1" shrinkToFit="1"/>
    </xf>
    <xf numFmtId="0" fontId="5" fillId="0" borderId="3" xfId="0" quotePrefix="1" applyFont="1" applyFill="1" applyBorder="1" applyAlignment="1" applyProtection="1">
      <alignment horizontal="center" vertical="center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0" fontId="5" fillId="0" borderId="3" xfId="182" applyFont="1" applyFill="1" applyBorder="1" applyAlignment="1" applyProtection="1">
      <alignment horizontal="left" vertical="center" wrapText="1"/>
    </xf>
    <xf numFmtId="1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quotePrefix="1" applyFont="1" applyFill="1" applyBorder="1" applyAlignment="1" applyProtection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 shrinkToFit="1"/>
      <protection locked="0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quotePrefix="1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left" vertical="center" wrapText="1" shrinkToFit="1"/>
      <protection locked="0"/>
    </xf>
    <xf numFmtId="0" fontId="5" fillId="0" borderId="3" xfId="0" applyFont="1" applyFill="1" applyBorder="1" applyAlignment="1" applyProtection="1">
      <alignment vertical="center"/>
      <protection locked="0"/>
    </xf>
    <xf numFmtId="0" fontId="4" fillId="0" borderId="3" xfId="0" applyFont="1" applyFill="1" applyBorder="1" applyAlignment="1" applyProtection="1">
      <alignment horizontal="center" vertical="center"/>
      <protection locked="0"/>
    </xf>
    <xf numFmtId="1" fontId="5" fillId="29" borderId="3" xfId="0" applyNumberFormat="1" applyFont="1" applyFill="1" applyBorder="1" applyAlignment="1" applyProtection="1">
      <alignment horizontal="center" vertical="center" wrapText="1"/>
      <protection locked="0"/>
    </xf>
    <xf numFmtId="1" fontId="4" fillId="29" borderId="3" xfId="0" applyNumberFormat="1" applyFont="1" applyFill="1" applyBorder="1" applyAlignment="1" applyProtection="1">
      <alignment horizontal="center" vertical="center" wrapText="1"/>
      <protection locked="0"/>
    </xf>
    <xf numFmtId="0" fontId="12" fillId="32" borderId="0" xfId="0" applyFont="1" applyFill="1"/>
    <xf numFmtId="0" fontId="12" fillId="32" borderId="0" xfId="0" applyFont="1" applyFill="1" applyProtection="1">
      <protection locked="0"/>
    </xf>
    <xf numFmtId="3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justify"/>
    </xf>
    <xf numFmtId="0" fontId="10" fillId="0" borderId="19" xfId="0" applyFont="1" applyBorder="1" applyAlignment="1">
      <alignment horizontal="justify" vertical="top" wrapText="1"/>
    </xf>
    <xf numFmtId="0" fontId="10" fillId="0" borderId="20" xfId="0" applyFont="1" applyBorder="1" applyAlignment="1">
      <alignment horizontal="justify" vertical="top" wrapText="1"/>
    </xf>
    <xf numFmtId="0" fontId="10" fillId="0" borderId="20" xfId="0" applyFont="1" applyBorder="1" applyAlignment="1">
      <alignment vertical="top" wrapText="1"/>
    </xf>
    <xf numFmtId="0" fontId="10" fillId="0" borderId="19" xfId="0" applyFont="1" applyBorder="1" applyAlignment="1">
      <alignment vertical="top" wrapText="1"/>
    </xf>
    <xf numFmtId="0" fontId="80" fillId="0" borderId="0" xfId="0" applyFont="1" applyAlignment="1">
      <alignment horizontal="justify"/>
    </xf>
    <xf numFmtId="0" fontId="10" fillId="0" borderId="21" xfId="0" applyFont="1" applyBorder="1" applyAlignment="1">
      <alignment horizontal="justify" vertical="top" wrapText="1"/>
    </xf>
    <xf numFmtId="0" fontId="10" fillId="0" borderId="22" xfId="0" applyFont="1" applyBorder="1" applyAlignment="1">
      <alignment horizontal="justify" vertical="top" wrapText="1"/>
    </xf>
    <xf numFmtId="0" fontId="79" fillId="0" borderId="22" xfId="0" applyFont="1" applyBorder="1" applyAlignment="1">
      <alignment vertical="top" wrapText="1"/>
    </xf>
    <xf numFmtId="0" fontId="10" fillId="0" borderId="22" xfId="0" applyFont="1" applyBorder="1" applyAlignment="1">
      <alignment vertical="top" wrapText="1"/>
    </xf>
    <xf numFmtId="0" fontId="81" fillId="0" borderId="3" xfId="0" applyFont="1" applyBorder="1" applyAlignment="1">
      <alignment wrapText="1"/>
    </xf>
    <xf numFmtId="0" fontId="81" fillId="0" borderId="3" xfId="0" applyFont="1" applyBorder="1"/>
    <xf numFmtId="4" fontId="81" fillId="0" borderId="3" xfId="0" applyNumberFormat="1" applyFont="1" applyBorder="1"/>
    <xf numFmtId="0" fontId="10" fillId="33" borderId="20" xfId="0" applyFont="1" applyFill="1" applyBorder="1" applyAlignment="1">
      <alignment horizontal="justify" vertical="top" wrapText="1"/>
    </xf>
    <xf numFmtId="0" fontId="75" fillId="0" borderId="0" xfId="0" applyFont="1"/>
    <xf numFmtId="179" fontId="75" fillId="0" borderId="0" xfId="323" applyNumberFormat="1" applyFont="1"/>
    <xf numFmtId="179" fontId="0" fillId="0" borderId="0" xfId="323" applyNumberFormat="1" applyFont="1"/>
    <xf numFmtId="179" fontId="75" fillId="0" borderId="0" xfId="0" applyNumberFormat="1" applyFont="1"/>
    <xf numFmtId="0" fontId="82" fillId="0" borderId="0" xfId="0" applyFont="1" applyFill="1" applyBorder="1" applyAlignment="1">
      <alignment vertical="center"/>
    </xf>
    <xf numFmtId="0" fontId="83" fillId="0" borderId="3" xfId="0" applyFont="1" applyBorder="1" applyAlignment="1">
      <alignment horizontal="center" vertical="center" textRotation="90" wrapText="1"/>
    </xf>
    <xf numFmtId="0" fontId="83" fillId="0" borderId="3" xfId="0" applyFont="1" applyBorder="1" applyAlignment="1">
      <alignment horizontal="center" vertical="center" wrapText="1"/>
    </xf>
    <xf numFmtId="0" fontId="83" fillId="0" borderId="3" xfId="0" applyFont="1" applyBorder="1" applyAlignment="1">
      <alignment horizontal="center" vertical="center"/>
    </xf>
    <xf numFmtId="0" fontId="83" fillId="0" borderId="14" xfId="0" applyFont="1" applyBorder="1" applyAlignment="1">
      <alignment horizontal="center" vertical="center" wrapText="1"/>
    </xf>
    <xf numFmtId="0" fontId="83" fillId="0" borderId="15" xfId="0" applyFont="1" applyBorder="1" applyAlignment="1">
      <alignment horizontal="center" vertical="center"/>
    </xf>
    <xf numFmtId="0" fontId="83" fillId="0" borderId="15" xfId="0" applyFont="1" applyBorder="1" applyAlignment="1">
      <alignment horizontal="center" vertical="center" wrapText="1"/>
    </xf>
    <xf numFmtId="0" fontId="83" fillId="0" borderId="16" xfId="0" applyFont="1" applyBorder="1" applyAlignment="1">
      <alignment horizontal="center" vertical="center" wrapText="1"/>
    </xf>
    <xf numFmtId="0" fontId="83" fillId="0" borderId="3" xfId="0" applyFont="1" applyBorder="1" applyAlignment="1">
      <alignment horizontal="center" vertical="center" textRotation="90"/>
    </xf>
    <xf numFmtId="0" fontId="83" fillId="0" borderId="3" xfId="0" applyFont="1" applyBorder="1" applyAlignment="1"/>
    <xf numFmtId="2" fontId="83" fillId="0" borderId="3" xfId="0" applyNumberFormat="1" applyFont="1" applyBorder="1" applyAlignment="1">
      <alignment horizontal="center" vertical="center"/>
    </xf>
    <xf numFmtId="174" fontId="83" fillId="0" borderId="3" xfId="323" applyNumberFormat="1" applyFont="1" applyBorder="1" applyAlignment="1">
      <alignment horizontal="center" vertical="center"/>
    </xf>
    <xf numFmtId="0" fontId="83" fillId="0" borderId="3" xfId="0" applyFont="1" applyBorder="1" applyAlignment="1">
      <alignment horizontal="left" vertical="center"/>
    </xf>
    <xf numFmtId="0" fontId="83" fillId="0" borderId="3" xfId="0" applyFont="1" applyBorder="1" applyAlignment="1">
      <alignment horizontal="left"/>
    </xf>
    <xf numFmtId="0" fontId="83" fillId="0" borderId="3" xfId="0" applyFont="1" applyBorder="1"/>
    <xf numFmtId="0" fontId="83" fillId="0" borderId="3" xfId="0" applyFont="1" applyBorder="1" applyAlignment="1">
      <alignment horizontal="center"/>
    </xf>
    <xf numFmtId="2" fontId="83" fillId="0" borderId="3" xfId="0" applyNumberFormat="1" applyFont="1" applyBorder="1"/>
    <xf numFmtId="0" fontId="0" fillId="22" borderId="0" xfId="0" applyFill="1"/>
    <xf numFmtId="179" fontId="0" fillId="22" borderId="0" xfId="323" applyNumberFormat="1" applyFont="1" applyFill="1"/>
    <xf numFmtId="0" fontId="81" fillId="22" borderId="3" xfId="0" applyFont="1" applyFill="1" applyBorder="1"/>
    <xf numFmtId="0" fontId="81" fillId="34" borderId="3" xfId="0" applyFont="1" applyFill="1" applyBorder="1"/>
    <xf numFmtId="0" fontId="0" fillId="34" borderId="0" xfId="0" applyFill="1"/>
    <xf numFmtId="179" fontId="0" fillId="34" borderId="0" xfId="323" applyNumberFormat="1" applyFont="1" applyFill="1"/>
    <xf numFmtId="179" fontId="75" fillId="34" borderId="0" xfId="323" applyNumberFormat="1" applyFont="1" applyFill="1"/>
    <xf numFmtId="3" fontId="5" fillId="34" borderId="0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0" xfId="0" applyNumberFormat="1" applyFont="1" applyFill="1" applyBorder="1" applyAlignment="1" applyProtection="1">
      <alignment vertical="center"/>
      <protection locked="0"/>
    </xf>
    <xf numFmtId="0" fontId="5" fillId="34" borderId="0" xfId="0" applyFont="1" applyFill="1" applyBorder="1" applyAlignment="1" applyProtection="1">
      <alignment vertical="center"/>
      <protection locked="0"/>
    </xf>
    <xf numFmtId="49" fontId="8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86" fillId="22" borderId="0" xfId="0" applyFont="1" applyFill="1" applyAlignment="1">
      <alignment vertical="center"/>
    </xf>
    <xf numFmtId="1" fontId="5" fillId="33" borderId="0" xfId="0" applyNumberFormat="1" applyFont="1" applyFill="1" applyBorder="1" applyAlignment="1" applyProtection="1">
      <alignment vertical="center"/>
      <protection locked="0"/>
    </xf>
    <xf numFmtId="2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1" fontId="5" fillId="35" borderId="3" xfId="0" applyNumberFormat="1" applyFont="1" applyFill="1" applyBorder="1" applyAlignment="1" applyProtection="1">
      <alignment horizontal="center" vertical="center" wrapText="1"/>
    </xf>
    <xf numFmtId="1" fontId="5" fillId="35" borderId="3" xfId="0" applyNumberFormat="1" applyFont="1" applyFill="1" applyBorder="1" applyAlignment="1">
      <alignment horizontal="center" vertical="center" wrapText="1"/>
    </xf>
    <xf numFmtId="1" fontId="5" fillId="36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36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1" fontId="4" fillId="37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75" fillId="0" borderId="3" xfId="0" applyFont="1" applyBorder="1" applyAlignment="1">
      <alignment horizontal="center" vertical="center" wrapText="1"/>
    </xf>
    <xf numFmtId="0" fontId="75" fillId="0" borderId="0" xfId="0" applyFont="1" applyBorder="1" applyAlignment="1">
      <alignment horizontal="center" vertical="center" wrapText="1"/>
    </xf>
    <xf numFmtId="0" fontId="71" fillId="0" borderId="0" xfId="0" applyFont="1" applyFill="1" applyBorder="1" applyAlignment="1" applyProtection="1">
      <alignment horizontal="left" vertical="center" wrapText="1"/>
      <protection locked="0"/>
    </xf>
    <xf numFmtId="0" fontId="70" fillId="0" borderId="0" xfId="0" applyFont="1" applyAlignment="1" applyProtection="1">
      <alignment horizontal="left" vertical="top" wrapText="1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72" fillId="0" borderId="0" xfId="0" applyFont="1" applyAlignment="1" applyProtection="1">
      <alignment horizontal="left" vertical="top" wrapText="1"/>
      <protection locked="0"/>
    </xf>
    <xf numFmtId="0" fontId="71" fillId="0" borderId="0" xfId="0" applyFont="1" applyFill="1" applyBorder="1" applyAlignment="1" applyProtection="1">
      <alignment horizontal="left" vertical="center"/>
      <protection locked="0"/>
    </xf>
    <xf numFmtId="0" fontId="4" fillId="0" borderId="14" xfId="0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71" fillId="0" borderId="14" xfId="0" applyFont="1" applyFill="1" applyBorder="1" applyAlignment="1" applyProtection="1">
      <alignment horizontal="left" vertical="center" wrapText="1"/>
      <protection locked="0"/>
    </xf>
    <xf numFmtId="0" fontId="71" fillId="0" borderId="15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>
      <alignment horizontal="center" vertical="center"/>
    </xf>
    <xf numFmtId="0" fontId="74" fillId="0" borderId="15" xfId="0" applyFont="1" applyBorder="1" applyAlignment="1" applyProtection="1">
      <alignment horizontal="left" vertical="center" wrapText="1"/>
      <protection locked="0"/>
    </xf>
    <xf numFmtId="0" fontId="74" fillId="0" borderId="16" xfId="0" applyFont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4" fillId="0" borderId="14" xfId="237" applyNumberFormat="1" applyFont="1" applyFill="1" applyBorder="1" applyAlignment="1" applyProtection="1">
      <alignment horizontal="center" vertical="center" wrapText="1"/>
    </xf>
    <xf numFmtId="0" fontId="4" fillId="0" borderId="15" xfId="237" applyNumberFormat="1" applyFont="1" applyFill="1" applyBorder="1" applyAlignment="1" applyProtection="1">
      <alignment horizontal="center" vertical="center" wrapText="1"/>
    </xf>
    <xf numFmtId="0" fontId="4" fillId="0" borderId="16" xfId="237" applyNumberFormat="1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 wrapText="1"/>
    </xf>
    <xf numFmtId="0" fontId="5" fillId="0" borderId="23" xfId="0" applyFont="1" applyFill="1" applyBorder="1" applyAlignment="1" applyProtection="1">
      <alignment horizontal="center" vertical="center" wrapText="1"/>
    </xf>
    <xf numFmtId="170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170" fontId="5" fillId="0" borderId="0" xfId="0" quotePrefix="1" applyNumberFormat="1" applyFont="1" applyFill="1" applyBorder="1" applyAlignment="1" applyProtection="1">
      <alignment horizontal="center" vertical="center" wrapText="1"/>
      <protection locked="0"/>
    </xf>
    <xf numFmtId="0" fontId="5" fillId="0" borderId="18" xfId="0" applyFont="1" applyFill="1" applyBorder="1" applyAlignment="1" applyProtection="1">
      <alignment horizontal="center" vertical="center" wrapText="1" shrinkToFit="1"/>
    </xf>
    <xf numFmtId="0" fontId="5" fillId="0" borderId="23" xfId="0" applyFont="1" applyFill="1" applyBorder="1" applyAlignment="1" applyProtection="1">
      <alignment horizontal="center" vertical="center" wrapText="1" shrinkToFit="1"/>
    </xf>
    <xf numFmtId="0" fontId="5" fillId="0" borderId="0" xfId="0" applyFont="1" applyFill="1" applyBorder="1" applyAlignment="1" applyProtection="1">
      <alignment vertical="center"/>
      <protection locked="0"/>
    </xf>
    <xf numFmtId="0" fontId="4" fillId="0" borderId="14" xfId="0" applyFont="1" applyFill="1" applyBorder="1" applyAlignment="1" applyProtection="1">
      <alignment horizontal="center"/>
    </xf>
    <xf numFmtId="0" fontId="0" fillId="0" borderId="15" xfId="0" applyBorder="1"/>
    <xf numFmtId="0" fontId="0" fillId="0" borderId="16" xfId="0" applyBorder="1"/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170" fontId="5" fillId="0" borderId="0" xfId="0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 shrinkToFit="1"/>
    </xf>
    <xf numFmtId="0" fontId="8" fillId="0" borderId="3" xfId="0" applyFont="1" applyFill="1" applyBorder="1" applyAlignment="1" applyProtection="1">
      <alignment horizontal="center" vertical="center" wrapText="1"/>
    </xf>
    <xf numFmtId="0" fontId="4" fillId="0" borderId="0" xfId="245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245" applyFont="1" applyFill="1" applyBorder="1" applyAlignment="1">
      <alignment horizontal="center" vertical="center" wrapText="1"/>
    </xf>
    <xf numFmtId="0" fontId="4" fillId="0" borderId="15" xfId="245" applyFont="1" applyFill="1" applyBorder="1" applyAlignment="1">
      <alignment horizontal="center" vertical="center" wrapText="1"/>
    </xf>
    <xf numFmtId="0" fontId="4" fillId="0" borderId="16" xfId="245" applyFont="1" applyFill="1" applyBorder="1" applyAlignment="1">
      <alignment horizontal="center" vertical="center" wrapText="1"/>
    </xf>
    <xf numFmtId="170" fontId="5" fillId="0" borderId="0" xfId="0" quotePrefix="1" applyNumberFormat="1" applyFont="1" applyFill="1" applyBorder="1" applyAlignment="1" applyProtection="1">
      <alignment horizontal="left" vertical="center" wrapText="1"/>
      <protection locked="0"/>
    </xf>
    <xf numFmtId="0" fontId="5" fillId="0" borderId="18" xfId="245" applyFont="1" applyFill="1" applyBorder="1" applyAlignment="1">
      <alignment horizontal="center" vertical="center" wrapText="1"/>
    </xf>
    <xf numFmtId="0" fontId="5" fillId="0" borderId="23" xfId="245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4" fillId="0" borderId="0" xfId="237" applyNumberFormat="1" applyFont="1" applyFill="1" applyBorder="1" applyAlignment="1">
      <alignment horizontal="center" vertical="center" wrapText="1"/>
    </xf>
    <xf numFmtId="0" fontId="5" fillId="0" borderId="18" xfId="237" applyNumberFormat="1" applyFont="1" applyFill="1" applyBorder="1" applyAlignment="1">
      <alignment horizontal="center" vertical="center" wrapText="1"/>
    </xf>
    <xf numFmtId="0" fontId="5" fillId="0" borderId="23" xfId="237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 shrinkToFit="1"/>
    </xf>
    <xf numFmtId="0" fontId="5" fillId="0" borderId="23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 applyProtection="1">
      <alignment vertical="center" wrapText="1"/>
      <protection locked="0"/>
    </xf>
    <xf numFmtId="178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178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Alignment="1">
      <alignment vertical="center" wrapText="1"/>
    </xf>
    <xf numFmtId="10" fontId="5" fillId="29" borderId="14" xfId="0" applyNumberFormat="1" applyFont="1" applyFill="1" applyBorder="1" applyAlignment="1" applyProtection="1">
      <alignment horizontal="center" vertical="center" wrapText="1"/>
    </xf>
    <xf numFmtId="10" fontId="5" fillId="29" borderId="16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14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15" xfId="0" applyNumberFormat="1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>
      <alignment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justify" vertical="center" wrapText="1" shrinkToFit="1"/>
    </xf>
    <xf numFmtId="0" fontId="4" fillId="0" borderId="0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49" fontId="5" fillId="0" borderId="16" xfId="0" applyNumberFormat="1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center" vertical="center" wrapText="1"/>
      <protection locked="0"/>
    </xf>
    <xf numFmtId="0" fontId="5" fillId="0" borderId="15" xfId="0" applyFont="1" applyFill="1" applyBorder="1" applyAlignment="1" applyProtection="1">
      <alignment horizontal="center" vertical="center" wrapTex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5" xfId="0" applyNumberFormat="1" applyFont="1" applyFill="1" applyBorder="1" applyAlignment="1" applyProtection="1">
      <alignment horizontal="center" vertical="center" wrapText="1"/>
      <protection locked="0"/>
    </xf>
    <xf numFmtId="178" fontId="5" fillId="0" borderId="15" xfId="0" applyNumberFormat="1" applyFont="1" applyFill="1" applyBorder="1" applyAlignment="1" applyProtection="1">
      <alignment horizontal="center" vertical="center" wrapText="1"/>
      <protection locked="0"/>
    </xf>
    <xf numFmtId="178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29" borderId="14" xfId="0" applyNumberFormat="1" applyFont="1" applyFill="1" applyBorder="1" applyAlignment="1">
      <alignment horizontal="center" vertical="center" wrapText="1"/>
    </xf>
    <xf numFmtId="0" fontId="5" fillId="29" borderId="16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5" xfId="0" applyFont="1" applyFill="1" applyBorder="1" applyAlignment="1" applyProtection="1">
      <alignment horizontal="left" vertical="center" wrapText="1"/>
      <protection locked="0"/>
    </xf>
    <xf numFmtId="0" fontId="5" fillId="0" borderId="16" xfId="0" applyFont="1" applyFill="1" applyBorder="1" applyAlignment="1" applyProtection="1">
      <alignment horizontal="left" vertical="center" wrapText="1"/>
      <protection locked="0"/>
    </xf>
    <xf numFmtId="178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84" fillId="0" borderId="14" xfId="0" applyFont="1" applyBorder="1" applyAlignment="1">
      <alignment horizontal="center" vertical="center"/>
    </xf>
    <xf numFmtId="0" fontId="84" fillId="0" borderId="15" xfId="0" applyFont="1" applyBorder="1" applyAlignment="1">
      <alignment horizontal="center" vertical="center"/>
    </xf>
    <xf numFmtId="0" fontId="84" fillId="0" borderId="16" xfId="0" applyFont="1" applyBorder="1" applyAlignment="1">
      <alignment horizontal="center" vertical="center"/>
    </xf>
    <xf numFmtId="0" fontId="10" fillId="0" borderId="24" xfId="0" applyFont="1" applyBorder="1" applyAlignment="1">
      <alignment horizontal="justify" vertical="top" wrapText="1"/>
    </xf>
    <xf numFmtId="0" fontId="10" fillId="0" borderId="25" xfId="0" applyFont="1" applyBorder="1" applyAlignment="1">
      <alignment horizontal="justify" vertical="top" wrapText="1"/>
    </xf>
    <xf numFmtId="0" fontId="10" fillId="0" borderId="20" xfId="0" applyFont="1" applyBorder="1" applyAlignment="1">
      <alignment horizontal="justify" vertical="top" wrapText="1"/>
    </xf>
    <xf numFmtId="0" fontId="10" fillId="0" borderId="26" xfId="0" applyFont="1" applyBorder="1" applyAlignment="1">
      <alignment horizontal="justify" vertical="top" wrapText="1"/>
    </xf>
    <xf numFmtId="0" fontId="10" fillId="0" borderId="27" xfId="0" applyFont="1" applyBorder="1" applyAlignment="1">
      <alignment horizontal="justify" vertical="top" wrapText="1"/>
    </xf>
    <xf numFmtId="0" fontId="10" fillId="0" borderId="28" xfId="0" applyFont="1" applyBorder="1" applyAlignment="1">
      <alignment horizontal="justify" vertical="top" wrapText="1"/>
    </xf>
    <xf numFmtId="0" fontId="10" fillId="0" borderId="19" xfId="0" applyFont="1" applyBorder="1" applyAlignment="1">
      <alignment horizontal="justify" vertical="top" wrapText="1"/>
    </xf>
    <xf numFmtId="0" fontId="5" fillId="0" borderId="0" xfId="0" applyFont="1" applyFill="1" applyAlignment="1">
      <alignment horizontal="center" vertical="center"/>
    </xf>
    <xf numFmtId="49" fontId="5" fillId="0" borderId="3" xfId="0" applyNumberFormat="1" applyFont="1" applyFill="1" applyBorder="1" applyAlignment="1">
      <alignment horizontal="left" vertical="center" wrapText="1"/>
    </xf>
    <xf numFmtId="0" fontId="5" fillId="29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3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4" xfId="0" applyNumberFormat="1" applyFont="1" applyFill="1" applyBorder="1" applyAlignment="1">
      <alignment horizontal="left" vertical="center" wrapText="1"/>
    </xf>
    <xf numFmtId="3" fontId="5" fillId="0" borderId="15" xfId="0" applyNumberFormat="1" applyFont="1" applyFill="1" applyBorder="1" applyAlignment="1">
      <alignment horizontal="left" vertical="center" wrapText="1"/>
    </xf>
    <xf numFmtId="3" fontId="5" fillId="0" borderId="16" xfId="0" applyNumberFormat="1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49" fontId="10" fillId="0" borderId="3" xfId="0" applyNumberFormat="1" applyFont="1" applyFill="1" applyBorder="1" applyAlignment="1">
      <alignment horizontal="left" vertical="center" wrapText="1"/>
    </xf>
    <xf numFmtId="177" fontId="10" fillId="0" borderId="3" xfId="0" applyNumberFormat="1" applyFont="1" applyFill="1" applyBorder="1" applyAlignment="1">
      <alignment horizontal="center" vertical="center" wrapText="1"/>
    </xf>
    <xf numFmtId="0" fontId="10" fillId="29" borderId="3" xfId="0" applyNumberFormat="1" applyFont="1" applyFill="1" applyBorder="1" applyAlignment="1">
      <alignment horizontal="center" vertical="center" wrapText="1"/>
    </xf>
    <xf numFmtId="49" fontId="10" fillId="0" borderId="14" xfId="0" applyNumberFormat="1" applyFont="1" applyFill="1" applyBorder="1" applyAlignment="1" applyProtection="1">
      <alignment horizontal="left" vertical="center" wrapText="1"/>
      <protection locked="0"/>
    </xf>
    <xf numFmtId="49" fontId="10" fillId="0" borderId="15" xfId="0" applyNumberFormat="1" applyFont="1" applyFill="1" applyBorder="1" applyAlignment="1" applyProtection="1">
      <alignment horizontal="left" vertical="center" wrapText="1"/>
      <protection locked="0"/>
    </xf>
    <xf numFmtId="49" fontId="10" fillId="0" borderId="16" xfId="0" applyNumberFormat="1" applyFont="1" applyFill="1" applyBorder="1" applyAlignment="1" applyProtection="1">
      <alignment horizontal="left" vertical="center" wrapText="1"/>
      <protection locked="0"/>
    </xf>
    <xf numFmtId="0" fontId="10" fillId="29" borderId="14" xfId="0" applyNumberFormat="1" applyFont="1" applyFill="1" applyBorder="1" applyAlignment="1">
      <alignment horizontal="center" vertical="center" wrapText="1"/>
    </xf>
    <xf numFmtId="0" fontId="10" fillId="29" borderId="15" xfId="0" applyNumberFormat="1" applyFont="1" applyFill="1" applyBorder="1" applyAlignment="1">
      <alignment horizontal="center" vertical="center" wrapText="1"/>
    </xf>
    <xf numFmtId="0" fontId="10" fillId="29" borderId="16" xfId="0" applyNumberFormat="1" applyFont="1" applyFill="1" applyBorder="1" applyAlignment="1">
      <alignment horizontal="center" vertical="center" wrapText="1"/>
    </xf>
    <xf numFmtId="0" fontId="10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4" xfId="0" applyFont="1" applyFill="1" applyBorder="1" applyAlignment="1" applyProtection="1">
      <alignment horizontal="center" vertical="center" wrapText="1"/>
      <protection locked="0"/>
    </xf>
    <xf numFmtId="0" fontId="10" fillId="0" borderId="15" xfId="0" applyFont="1" applyFill="1" applyBorder="1" applyAlignment="1" applyProtection="1">
      <alignment horizontal="center" vertical="center" wrapText="1"/>
      <protection locked="0"/>
    </xf>
    <xf numFmtId="0" fontId="10" fillId="0" borderId="16" xfId="0" applyFont="1" applyFill="1" applyBorder="1" applyAlignment="1" applyProtection="1">
      <alignment horizontal="center" vertical="center" wrapText="1"/>
      <protection locked="0"/>
    </xf>
    <xf numFmtId="0" fontId="5" fillId="0" borderId="14" xfId="0" applyFont="1" applyFill="1" applyBorder="1" applyAlignment="1">
      <alignment horizontal="center" vertical="center" wrapText="1" shrinkToFit="1"/>
    </xf>
    <xf numFmtId="0" fontId="5" fillId="0" borderId="15" xfId="0" applyFont="1" applyFill="1" applyBorder="1" applyAlignment="1">
      <alignment horizontal="center" vertical="center" wrapText="1" shrinkToFit="1"/>
    </xf>
    <xf numFmtId="0" fontId="5" fillId="0" borderId="16" xfId="0" applyFont="1" applyFill="1" applyBorder="1" applyAlignment="1">
      <alignment horizontal="center" vertical="center" wrapText="1" shrinkToFi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5" fillId="29" borderId="15" xfId="0" applyNumberFormat="1" applyFont="1" applyFill="1" applyBorder="1" applyAlignment="1">
      <alignment horizontal="center" vertical="center" wrapText="1"/>
    </xf>
  </cellXfs>
  <cellStyles count="354">
    <cellStyle name="_Fakt_2" xfId="1"/>
    <cellStyle name="_rozhufrovka 2009" xfId="2"/>
    <cellStyle name="_АТиСТ 5а МТР липень 2008" xfId="3"/>
    <cellStyle name="_ПРГК сводний_" xfId="4"/>
    <cellStyle name="_УТГ" xfId="5"/>
    <cellStyle name="_Феодосия 5а МТР липень 2008" xfId="6"/>
    <cellStyle name="_ХТГ довідка." xfId="7"/>
    <cellStyle name="_Шебелинка 5а МТР липень 2008" xfId="8"/>
    <cellStyle name="20% - Accent1" xfId="9"/>
    <cellStyle name="20% - Accent2" xfId="10"/>
    <cellStyle name="20% - Accent3" xfId="11"/>
    <cellStyle name="20% - Accent4" xfId="12"/>
    <cellStyle name="20% - Accent5" xfId="13"/>
    <cellStyle name="20% - Accent6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Accent1" xfId="27"/>
    <cellStyle name="40% - Accent2" xfId="28"/>
    <cellStyle name="40% - Accent3" xfId="29"/>
    <cellStyle name="40% - Accent4" xfId="30"/>
    <cellStyle name="40% - Accent5" xfId="31"/>
    <cellStyle name="40% - Accent6" xfId="32"/>
    <cellStyle name="40% - Акцент1 2" xfId="33"/>
    <cellStyle name="40% - Акцент1 3" xfId="34"/>
    <cellStyle name="40% - Акцент2 2" xfId="35"/>
    <cellStyle name="40% - Акцент2 3" xfId="36"/>
    <cellStyle name="40% - Акцент3 2" xfId="37"/>
    <cellStyle name="40% - Акцент3 3" xfId="38"/>
    <cellStyle name="40% - Акцент4 2" xfId="39"/>
    <cellStyle name="40% - Акцент4 3" xfId="40"/>
    <cellStyle name="40% - Акцент5 2" xfId="41"/>
    <cellStyle name="40% - Акцент5 3" xfId="42"/>
    <cellStyle name="40% - Акцент6 2" xfId="43"/>
    <cellStyle name="40% - Акцент6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Акцент1 2" xfId="51"/>
    <cellStyle name="60% - Акцент1 3" xfId="52"/>
    <cellStyle name="60% - Акцент2 2" xfId="53"/>
    <cellStyle name="60% - Акцент2 3" xfId="54"/>
    <cellStyle name="60% - Акцент3 2" xfId="55"/>
    <cellStyle name="60% - Акцент3 3" xfId="56"/>
    <cellStyle name="60% - Акцент4 2" xfId="57"/>
    <cellStyle name="60% - Акцент4 3" xfId="58"/>
    <cellStyle name="60% - Акцент5 2" xfId="59"/>
    <cellStyle name="60% - Акцент5 3" xfId="60"/>
    <cellStyle name="60% - Акцент6 2" xfId="61"/>
    <cellStyle name="60% - Акцент6 3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Bad" xfId="69"/>
    <cellStyle name="Calculation" xfId="70"/>
    <cellStyle name="Check Cell" xfId="71"/>
    <cellStyle name="Column-Header" xfId="72"/>
    <cellStyle name="Column-Header 2" xfId="73"/>
    <cellStyle name="Column-Header 3" xfId="74"/>
    <cellStyle name="Column-Header 4" xfId="75"/>
    <cellStyle name="Column-Header 5" xfId="76"/>
    <cellStyle name="Column-Header 6" xfId="77"/>
    <cellStyle name="Column-Header 7" xfId="78"/>
    <cellStyle name="Column-Header 7 2" xfId="79"/>
    <cellStyle name="Column-Header 8" xfId="80"/>
    <cellStyle name="Column-Header 8 2" xfId="81"/>
    <cellStyle name="Column-Header 9" xfId="82"/>
    <cellStyle name="Column-Header 9 2" xfId="83"/>
    <cellStyle name="Column-Header_Zvit rux-koshtiv 2010 Департамент " xfId="84"/>
    <cellStyle name="Comma_2005_03_15-Финансовый_БГ" xfId="85"/>
    <cellStyle name="Define-Column" xfId="86"/>
    <cellStyle name="Define-Column 10" xfId="87"/>
    <cellStyle name="Define-Column 2" xfId="88"/>
    <cellStyle name="Define-Column 3" xfId="89"/>
    <cellStyle name="Define-Column 4" xfId="90"/>
    <cellStyle name="Define-Column 5" xfId="91"/>
    <cellStyle name="Define-Column 6" xfId="92"/>
    <cellStyle name="Define-Column 7" xfId="93"/>
    <cellStyle name="Define-Column 7 2" xfId="94"/>
    <cellStyle name="Define-Column 7 3" xfId="95"/>
    <cellStyle name="Define-Column 8" xfId="96"/>
    <cellStyle name="Define-Column 8 2" xfId="97"/>
    <cellStyle name="Define-Column 8 3" xfId="98"/>
    <cellStyle name="Define-Column 9" xfId="99"/>
    <cellStyle name="Define-Column 9 2" xfId="100"/>
    <cellStyle name="Define-Column 9 3" xfId="101"/>
    <cellStyle name="Define-Column_Zvit rux-koshtiv 2010 Департамент " xfId="102"/>
    <cellStyle name="Explanatory Text" xfId="103"/>
    <cellStyle name="FS10" xfId="104"/>
    <cellStyle name="Good" xfId="105"/>
    <cellStyle name="Heading 1" xfId="106"/>
    <cellStyle name="Heading 2" xfId="107"/>
    <cellStyle name="Heading 3" xfId="108"/>
    <cellStyle name="Heading 4" xfId="109"/>
    <cellStyle name="Hyperlink 2" xfId="110"/>
    <cellStyle name="Input" xfId="111"/>
    <cellStyle name="Level0" xfId="112"/>
    <cellStyle name="Level0 10" xfId="113"/>
    <cellStyle name="Level0 2" xfId="114"/>
    <cellStyle name="Level0 2 2" xfId="115"/>
    <cellStyle name="Level0 3" xfId="116"/>
    <cellStyle name="Level0 3 2" xfId="117"/>
    <cellStyle name="Level0 4" xfId="118"/>
    <cellStyle name="Level0 4 2" xfId="119"/>
    <cellStyle name="Level0 5" xfId="120"/>
    <cellStyle name="Level0 6" xfId="121"/>
    <cellStyle name="Level0 7" xfId="122"/>
    <cellStyle name="Level0 7 2" xfId="123"/>
    <cellStyle name="Level0 7 3" xfId="124"/>
    <cellStyle name="Level0 8" xfId="125"/>
    <cellStyle name="Level0 8 2" xfId="126"/>
    <cellStyle name="Level0 8 3" xfId="127"/>
    <cellStyle name="Level0 9" xfId="128"/>
    <cellStyle name="Level0 9 2" xfId="129"/>
    <cellStyle name="Level0 9 3" xfId="130"/>
    <cellStyle name="Level0_Zvit rux-koshtiv 2010 Департамент " xfId="131"/>
    <cellStyle name="Level1" xfId="132"/>
    <cellStyle name="Level1 2" xfId="133"/>
    <cellStyle name="Level1-Numbers" xfId="134"/>
    <cellStyle name="Level1-Numbers 2" xfId="135"/>
    <cellStyle name="Level1-Numbers-Hide" xfId="136"/>
    <cellStyle name="Level2" xfId="137"/>
    <cellStyle name="Level2 2" xfId="138"/>
    <cellStyle name="Level2-Hide" xfId="139"/>
    <cellStyle name="Level2-Hide 2" xfId="140"/>
    <cellStyle name="Level2-Numbers" xfId="141"/>
    <cellStyle name="Level2-Numbers 2" xfId="142"/>
    <cellStyle name="Level2-Numbers-Hide" xfId="143"/>
    <cellStyle name="Level3" xfId="144"/>
    <cellStyle name="Level3 2" xfId="145"/>
    <cellStyle name="Level3 3" xfId="146"/>
    <cellStyle name="Level3_План департамент_2010_1207" xfId="147"/>
    <cellStyle name="Level3-Hide" xfId="148"/>
    <cellStyle name="Level3-Hide 2" xfId="149"/>
    <cellStyle name="Level3-Numbers" xfId="150"/>
    <cellStyle name="Level3-Numbers 2" xfId="151"/>
    <cellStyle name="Level3-Numbers 3" xfId="152"/>
    <cellStyle name="Level3-Numbers_План департамент_2010_1207" xfId="153"/>
    <cellStyle name="Level3-Numbers-Hide" xfId="154"/>
    <cellStyle name="Level4" xfId="155"/>
    <cellStyle name="Level4 2" xfId="156"/>
    <cellStyle name="Level4-Hide" xfId="157"/>
    <cellStyle name="Level4-Hide 2" xfId="158"/>
    <cellStyle name="Level4-Numbers" xfId="159"/>
    <cellStyle name="Level4-Numbers 2" xfId="160"/>
    <cellStyle name="Level4-Numbers-Hide" xfId="161"/>
    <cellStyle name="Level5" xfId="162"/>
    <cellStyle name="Level5 2" xfId="163"/>
    <cellStyle name="Level5-Hide" xfId="164"/>
    <cellStyle name="Level5-Hide 2" xfId="165"/>
    <cellStyle name="Level5-Numbers" xfId="166"/>
    <cellStyle name="Level5-Numbers 2" xfId="167"/>
    <cellStyle name="Level5-Numbers-Hide" xfId="168"/>
    <cellStyle name="Level6" xfId="169"/>
    <cellStyle name="Level6 2" xfId="170"/>
    <cellStyle name="Level6-Hide" xfId="171"/>
    <cellStyle name="Level6-Hide 2" xfId="172"/>
    <cellStyle name="Level6-Numbers" xfId="173"/>
    <cellStyle name="Level6-Numbers 2" xfId="174"/>
    <cellStyle name="Level7" xfId="175"/>
    <cellStyle name="Level7-Hide" xfId="176"/>
    <cellStyle name="Level7-Numbers" xfId="177"/>
    <cellStyle name="Linked Cell" xfId="178"/>
    <cellStyle name="Neutral" xfId="179"/>
    <cellStyle name="Normal 2" xfId="180"/>
    <cellStyle name="Normal_2005_03_15-Финансовый_БГ" xfId="181"/>
    <cellStyle name="Normal_GSE DCF_Model_31_07_09 final" xfId="182"/>
    <cellStyle name="Note" xfId="183"/>
    <cellStyle name="Number-Cells" xfId="184"/>
    <cellStyle name="Number-Cells-Column2" xfId="185"/>
    <cellStyle name="Number-Cells-Column5" xfId="186"/>
    <cellStyle name="Output" xfId="187"/>
    <cellStyle name="Row-Header" xfId="188"/>
    <cellStyle name="Row-Header 2" xfId="189"/>
    <cellStyle name="Title" xfId="190"/>
    <cellStyle name="Total" xfId="191"/>
    <cellStyle name="Warning Text" xfId="192"/>
    <cellStyle name="Акцент1 2" xfId="193"/>
    <cellStyle name="Акцент1 3" xfId="194"/>
    <cellStyle name="Акцент2 2" xfId="195"/>
    <cellStyle name="Акцент2 3" xfId="196"/>
    <cellStyle name="Акцент3 2" xfId="197"/>
    <cellStyle name="Акцент3 3" xfId="198"/>
    <cellStyle name="Акцент4 2" xfId="199"/>
    <cellStyle name="Акцент4 3" xfId="200"/>
    <cellStyle name="Акцент5 2" xfId="201"/>
    <cellStyle name="Акцент5 3" xfId="202"/>
    <cellStyle name="Акцент6 2" xfId="203"/>
    <cellStyle name="Акцент6 3" xfId="204"/>
    <cellStyle name="Ввод  2" xfId="205"/>
    <cellStyle name="Ввод  3" xfId="206"/>
    <cellStyle name="Вывод 2" xfId="207"/>
    <cellStyle name="Вывод 3" xfId="208"/>
    <cellStyle name="Вычисление 2" xfId="209"/>
    <cellStyle name="Вычисление 3" xfId="210"/>
    <cellStyle name="Денежный 2" xfId="211"/>
    <cellStyle name="Заголовок 1 2" xfId="212"/>
    <cellStyle name="Заголовок 1 3" xfId="213"/>
    <cellStyle name="Заголовок 2 2" xfId="214"/>
    <cellStyle name="Заголовок 2 3" xfId="215"/>
    <cellStyle name="Заголовок 3 2" xfId="216"/>
    <cellStyle name="Заголовок 3 3" xfId="217"/>
    <cellStyle name="Заголовок 4 2" xfId="218"/>
    <cellStyle name="Заголовок 4 3" xfId="219"/>
    <cellStyle name="Итог 2" xfId="220"/>
    <cellStyle name="Итог 3" xfId="221"/>
    <cellStyle name="Контрольная ячейка 2" xfId="222"/>
    <cellStyle name="Контрольная ячейка 3" xfId="223"/>
    <cellStyle name="Название 2" xfId="224"/>
    <cellStyle name="Название 3" xfId="225"/>
    <cellStyle name="Нейтральный 2" xfId="226"/>
    <cellStyle name="Нейтральный 3" xfId="227"/>
    <cellStyle name="Обычный" xfId="0" builtinId="0"/>
    <cellStyle name="Обычный 10" xfId="228"/>
    <cellStyle name="Обычный 11" xfId="229"/>
    <cellStyle name="Обычный 12" xfId="230"/>
    <cellStyle name="Обычный 13" xfId="231"/>
    <cellStyle name="Обычный 14" xfId="232"/>
    <cellStyle name="Обычный 15" xfId="233"/>
    <cellStyle name="Обычный 16" xfId="234"/>
    <cellStyle name="Обычный 17" xfId="235"/>
    <cellStyle name="Обычный 18" xfId="236"/>
    <cellStyle name="Обычный 2" xfId="237"/>
    <cellStyle name="Обычный 2 10" xfId="238"/>
    <cellStyle name="Обычный 2 11" xfId="239"/>
    <cellStyle name="Обычный 2 12" xfId="240"/>
    <cellStyle name="Обычный 2 13" xfId="241"/>
    <cellStyle name="Обычный 2 14" xfId="242"/>
    <cellStyle name="Обычный 2 15" xfId="243"/>
    <cellStyle name="Обычный 2 16" xfId="244"/>
    <cellStyle name="Обычный 2 2" xfId="245"/>
    <cellStyle name="Обычный 2 2 2" xfId="246"/>
    <cellStyle name="Обычный 2 2 3" xfId="247"/>
    <cellStyle name="Обычный 2 2_Расшифровка прочих" xfId="248"/>
    <cellStyle name="Обычный 2 3" xfId="249"/>
    <cellStyle name="Обычный 2 4" xfId="250"/>
    <cellStyle name="Обычный 2 5" xfId="251"/>
    <cellStyle name="Обычный 2 6" xfId="252"/>
    <cellStyle name="Обычный 2 7" xfId="253"/>
    <cellStyle name="Обычный 2 8" xfId="254"/>
    <cellStyle name="Обычный 2 9" xfId="255"/>
    <cellStyle name="Обычный 2_2604-2010" xfId="256"/>
    <cellStyle name="Обычный 3" xfId="257"/>
    <cellStyle name="Обычный 3 10" xfId="258"/>
    <cellStyle name="Обычный 3 11" xfId="259"/>
    <cellStyle name="Обычный 3 12" xfId="260"/>
    <cellStyle name="Обычный 3 13" xfId="261"/>
    <cellStyle name="Обычный 3 14" xfId="262"/>
    <cellStyle name="Обычный 3 2" xfId="263"/>
    <cellStyle name="Обычный 3 3" xfId="264"/>
    <cellStyle name="Обычный 3 4" xfId="265"/>
    <cellStyle name="Обычный 3 5" xfId="266"/>
    <cellStyle name="Обычный 3 6" xfId="267"/>
    <cellStyle name="Обычный 3 7" xfId="268"/>
    <cellStyle name="Обычный 3 8" xfId="269"/>
    <cellStyle name="Обычный 3 9" xfId="270"/>
    <cellStyle name="Обычный 3_Дефицит_7 млрд_0608_бс" xfId="271"/>
    <cellStyle name="Обычный 4" xfId="272"/>
    <cellStyle name="Обычный 5" xfId="273"/>
    <cellStyle name="Обычный 5 2" xfId="274"/>
    <cellStyle name="Обычный 6" xfId="275"/>
    <cellStyle name="Обычный 6 2" xfId="276"/>
    <cellStyle name="Обычный 6 3" xfId="277"/>
    <cellStyle name="Обычный 6 4" xfId="278"/>
    <cellStyle name="Обычный 6_Дефицит_7 млрд_0608_бс" xfId="279"/>
    <cellStyle name="Обычный 7" xfId="280"/>
    <cellStyle name="Обычный 7 2" xfId="281"/>
    <cellStyle name="Обычный 8" xfId="282"/>
    <cellStyle name="Обычный 9" xfId="283"/>
    <cellStyle name="Обычный 9 2" xfId="284"/>
    <cellStyle name="Плохой 2" xfId="285"/>
    <cellStyle name="Плохой 3" xfId="286"/>
    <cellStyle name="Пояснение 2" xfId="287"/>
    <cellStyle name="Пояснение 3" xfId="288"/>
    <cellStyle name="Примечание 2" xfId="289"/>
    <cellStyle name="Примечание 3" xfId="290"/>
    <cellStyle name="Процентный 2" xfId="291"/>
    <cellStyle name="Процентный 2 10" xfId="292"/>
    <cellStyle name="Процентный 2 11" xfId="293"/>
    <cellStyle name="Процентный 2 12" xfId="294"/>
    <cellStyle name="Процентный 2 13" xfId="295"/>
    <cellStyle name="Процентный 2 14" xfId="296"/>
    <cellStyle name="Процентный 2 15" xfId="297"/>
    <cellStyle name="Процентный 2 16" xfId="298"/>
    <cellStyle name="Процентный 2 2" xfId="299"/>
    <cellStyle name="Процентный 2 3" xfId="300"/>
    <cellStyle name="Процентный 2 4" xfId="301"/>
    <cellStyle name="Процентный 2 5" xfId="302"/>
    <cellStyle name="Процентный 2 6" xfId="303"/>
    <cellStyle name="Процентный 2 7" xfId="304"/>
    <cellStyle name="Процентный 2 8" xfId="305"/>
    <cellStyle name="Процентный 2 9" xfId="306"/>
    <cellStyle name="Процентный 3" xfId="307"/>
    <cellStyle name="Процентный 4" xfId="308"/>
    <cellStyle name="Процентный 4 2" xfId="309"/>
    <cellStyle name="Связанная ячейка 2" xfId="310"/>
    <cellStyle name="Связанная ячейка 3" xfId="311"/>
    <cellStyle name="Стиль 1" xfId="312"/>
    <cellStyle name="Стиль 1 2" xfId="313"/>
    <cellStyle name="Стиль 1 3" xfId="314"/>
    <cellStyle name="Стиль 1 4" xfId="315"/>
    <cellStyle name="Стиль 1 5" xfId="316"/>
    <cellStyle name="Стиль 1 6" xfId="317"/>
    <cellStyle name="Стиль 1 7" xfId="318"/>
    <cellStyle name="Текст предупреждения 2" xfId="319"/>
    <cellStyle name="Текст предупреждения 3" xfId="320"/>
    <cellStyle name="Тысячи [0]_1.62" xfId="321"/>
    <cellStyle name="Тысячи_1.62" xfId="322"/>
    <cellStyle name="Финансовый" xfId="323" builtinId="3"/>
    <cellStyle name="Финансовый 2" xfId="324"/>
    <cellStyle name="Финансовый 2 10" xfId="325"/>
    <cellStyle name="Финансовый 2 11" xfId="326"/>
    <cellStyle name="Финансовый 2 12" xfId="327"/>
    <cellStyle name="Финансовый 2 13" xfId="328"/>
    <cellStyle name="Финансовый 2 14" xfId="329"/>
    <cellStyle name="Финансовый 2 15" xfId="330"/>
    <cellStyle name="Финансовый 2 16" xfId="331"/>
    <cellStyle name="Финансовый 2 17" xfId="332"/>
    <cellStyle name="Финансовый 2 2" xfId="333"/>
    <cellStyle name="Финансовый 2 3" xfId="334"/>
    <cellStyle name="Финансовый 2 4" xfId="335"/>
    <cellStyle name="Финансовый 2 5" xfId="336"/>
    <cellStyle name="Финансовый 2 6" xfId="337"/>
    <cellStyle name="Финансовый 2 7" xfId="338"/>
    <cellStyle name="Финансовый 2 8" xfId="339"/>
    <cellStyle name="Финансовый 2 9" xfId="340"/>
    <cellStyle name="Финансовый 3" xfId="341"/>
    <cellStyle name="Финансовый 3 2" xfId="342"/>
    <cellStyle name="Финансовый 4" xfId="343"/>
    <cellStyle name="Финансовый 4 2" xfId="344"/>
    <cellStyle name="Финансовый 4 3" xfId="345"/>
    <cellStyle name="Финансовый 5" xfId="346"/>
    <cellStyle name="Финансовый 6" xfId="347"/>
    <cellStyle name="Финансовый 7" xfId="348"/>
    <cellStyle name="Хороший 2" xfId="349"/>
    <cellStyle name="Хороший 3" xfId="350"/>
    <cellStyle name="числовой" xfId="351"/>
    <cellStyle name="Ю" xfId="352"/>
    <cellStyle name="Ю-FreeSet_10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externalLink" Target="externalLinks/externalLink16.xml"/><Relationship Id="rId39" Type="http://schemas.openxmlformats.org/officeDocument/2006/relationships/externalLink" Target="externalLinks/externalLink2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1.xml"/><Relationship Id="rId34" Type="http://schemas.openxmlformats.org/officeDocument/2006/relationships/externalLink" Target="externalLinks/externalLink24.xml"/><Relationship Id="rId42" Type="http://schemas.openxmlformats.org/officeDocument/2006/relationships/externalLink" Target="externalLinks/externalLink3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externalLink" Target="externalLinks/externalLink15.xml"/><Relationship Id="rId33" Type="http://schemas.openxmlformats.org/officeDocument/2006/relationships/externalLink" Target="externalLinks/externalLink23.xml"/><Relationship Id="rId38" Type="http://schemas.openxmlformats.org/officeDocument/2006/relationships/externalLink" Target="externalLinks/externalLink2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29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3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externalLink" Target="externalLinks/externalLink14.xml"/><Relationship Id="rId32" Type="http://schemas.openxmlformats.org/officeDocument/2006/relationships/externalLink" Target="externalLinks/externalLink22.xml"/><Relationship Id="rId37" Type="http://schemas.openxmlformats.org/officeDocument/2006/relationships/externalLink" Target="externalLinks/externalLink27.xml"/><Relationship Id="rId40" Type="http://schemas.openxmlformats.org/officeDocument/2006/relationships/externalLink" Target="externalLinks/externalLink30.xml"/><Relationship Id="rId45" Type="http://schemas.openxmlformats.org/officeDocument/2006/relationships/externalLink" Target="externalLinks/externalLink3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externalLink" Target="externalLinks/externalLink13.xml"/><Relationship Id="rId28" Type="http://schemas.openxmlformats.org/officeDocument/2006/relationships/externalLink" Target="externalLinks/externalLink18.xml"/><Relationship Id="rId36" Type="http://schemas.openxmlformats.org/officeDocument/2006/relationships/externalLink" Target="externalLinks/externalLink2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31" Type="http://schemas.openxmlformats.org/officeDocument/2006/relationships/externalLink" Target="externalLinks/externalLink21.xml"/><Relationship Id="rId44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Relationship Id="rId27" Type="http://schemas.openxmlformats.org/officeDocument/2006/relationships/externalLink" Target="externalLinks/externalLink17.xml"/><Relationship Id="rId30" Type="http://schemas.openxmlformats.org/officeDocument/2006/relationships/externalLink" Target="externalLinks/externalLink20.xml"/><Relationship Id="rId35" Type="http://schemas.openxmlformats.org/officeDocument/2006/relationships/externalLink" Target="externalLinks/externalLink25.xml"/><Relationship Id="rId43" Type="http://schemas.openxmlformats.org/officeDocument/2006/relationships/externalLink" Target="externalLinks/externalLink3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riadna/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1_Структура по елементах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Лист1"/>
      <sheetName val="МТР все 2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  <sheetName val="Ф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  <sheetName val="Лист1"/>
      <sheetName val="ТРП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Технич лист"/>
    </sheetNames>
    <sheetDataSet>
      <sheetData sheetId="0" refreshError="1"/>
      <sheetData sheetId="1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База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</sheetPr>
  <dimension ref="A5:F20"/>
  <sheetViews>
    <sheetView windowProtection="1" workbookViewId="0">
      <selection activeCell="C12" sqref="C12"/>
    </sheetView>
  </sheetViews>
  <sheetFormatPr defaultRowHeight="12.75"/>
  <cols>
    <col min="1" max="1" width="17.5703125" customWidth="1"/>
    <col min="2" max="2" width="16" customWidth="1"/>
    <col min="3" max="3" width="13" customWidth="1"/>
    <col min="4" max="4" width="13.140625" customWidth="1"/>
    <col min="5" max="6" width="12.140625" customWidth="1"/>
  </cols>
  <sheetData>
    <row r="5" spans="1:6" ht="25.5">
      <c r="A5" s="296" t="s">
        <v>395</v>
      </c>
      <c r="B5" s="296"/>
      <c r="C5" s="297" t="s">
        <v>396</v>
      </c>
      <c r="D5" s="297"/>
      <c r="E5" s="178" t="s">
        <v>397</v>
      </c>
      <c r="F5" s="178" t="s">
        <v>398</v>
      </c>
    </row>
    <row r="6" spans="1:6" ht="18">
      <c r="A6" s="175" t="s">
        <v>393</v>
      </c>
      <c r="B6" s="199">
        <v>0.22</v>
      </c>
      <c r="C6" s="204"/>
      <c r="D6" s="205"/>
      <c r="E6" s="177">
        <v>0.18</v>
      </c>
      <c r="F6" s="176">
        <v>1.4999999999999999E-2</v>
      </c>
    </row>
    <row r="7" spans="1:6" ht="25.5">
      <c r="A7" s="175" t="s">
        <v>394</v>
      </c>
      <c r="B7" s="208">
        <v>8.4099999999999994E-2</v>
      </c>
      <c r="C7" s="204"/>
      <c r="D7" s="181"/>
      <c r="E7" s="181"/>
      <c r="F7" s="181"/>
    </row>
    <row r="8" spans="1:6" ht="72.75" customHeight="1">
      <c r="A8" s="204"/>
      <c r="B8" s="205"/>
      <c r="C8" s="204"/>
      <c r="D8" s="205"/>
      <c r="E8" s="181"/>
      <c r="F8" s="181"/>
    </row>
    <row r="10" spans="1:6" ht="24" customHeight="1">
      <c r="B10" s="173"/>
      <c r="C10" s="174" t="s">
        <v>380</v>
      </c>
      <c r="D10" s="174" t="s">
        <v>372</v>
      </c>
      <c r="E10" s="174" t="s">
        <v>373</v>
      </c>
      <c r="F10" s="174" t="s">
        <v>87</v>
      </c>
    </row>
    <row r="11" spans="1:6" ht="25.5">
      <c r="B11" s="179" t="s">
        <v>400</v>
      </c>
      <c r="C11" s="197">
        <f>'I. Фін результат'!F110</f>
        <v>8433</v>
      </c>
      <c r="D11" s="197">
        <f>'I. Фін результат'!G110</f>
        <v>14997</v>
      </c>
      <c r="E11" s="197">
        <f>'I. Фін результат'!H110</f>
        <v>22931</v>
      </c>
      <c r="F11" s="197">
        <f>'I. Фін результат'!I110</f>
        <v>30811</v>
      </c>
    </row>
    <row r="12" spans="1:6" ht="26.25" customHeight="1">
      <c r="B12" s="180" t="s">
        <v>399</v>
      </c>
      <c r="C12" s="198">
        <v>219</v>
      </c>
      <c r="D12" s="198">
        <v>438</v>
      </c>
      <c r="E12" s="198">
        <v>658</v>
      </c>
      <c r="F12" s="198">
        <v>877</v>
      </c>
    </row>
    <row r="13" spans="1:6">
      <c r="B13" s="206"/>
      <c r="C13" s="207"/>
      <c r="D13" s="207"/>
      <c r="E13" s="207"/>
      <c r="F13" s="207"/>
    </row>
    <row r="17" spans="2:6" ht="25.5">
      <c r="B17" s="170" t="s">
        <v>6</v>
      </c>
      <c r="C17" s="172">
        <f>(C11-C12)*$B$6+C12*$B$7</f>
        <v>1825.4978999999998</v>
      </c>
      <c r="D17" s="172">
        <f>(D11-D12)*$B$6+D12*$B$7</f>
        <v>3239.8157999999999</v>
      </c>
      <c r="E17" s="172">
        <f>(E11-E12)*$B$6+E12*$B$7</f>
        <v>4955.3978000000006</v>
      </c>
      <c r="F17" s="172">
        <f>(F11-F12)*$B$6+F12*$B$7</f>
        <v>6659.2357000000002</v>
      </c>
    </row>
    <row r="18" spans="2:6" ht="38.25">
      <c r="B18" s="171" t="s">
        <v>401</v>
      </c>
      <c r="C18" s="172">
        <f>C11*$E$6</f>
        <v>1517.94</v>
      </c>
      <c r="D18" s="172">
        <f>D11*$E$6</f>
        <v>2699.46</v>
      </c>
      <c r="E18" s="172">
        <f>E11*$E$6</f>
        <v>4127.58</v>
      </c>
      <c r="F18" s="172">
        <f>F11*$E$6</f>
        <v>5545.98</v>
      </c>
    </row>
    <row r="19" spans="2:6">
      <c r="B19" s="175" t="s">
        <v>398</v>
      </c>
      <c r="C19" s="172">
        <f>C11*$F$6</f>
        <v>126.49499999999999</v>
      </c>
      <c r="D19" s="172">
        <f>D11*$F$6</f>
        <v>224.95499999999998</v>
      </c>
      <c r="E19" s="172">
        <f>E11*$F$6</f>
        <v>343.96499999999997</v>
      </c>
      <c r="F19" s="172">
        <f>F11*$F$6</f>
        <v>462.16499999999996</v>
      </c>
    </row>
    <row r="20" spans="2:6">
      <c r="C20" s="169"/>
      <c r="D20" s="169"/>
      <c r="E20" s="169"/>
      <c r="F20" s="169"/>
    </row>
  </sheetData>
  <sheetProtection password="C6FB" sheet="1"/>
  <mergeCells count="2">
    <mergeCell ref="A5:B5"/>
    <mergeCell ref="C5:D5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56"/>
  <sheetViews>
    <sheetView windowProtection="1" view="pageBreakPreview" topLeftCell="A58" zoomScale="75" zoomScaleNormal="75" zoomScaleSheetLayoutView="75" workbookViewId="0">
      <selection activeCell="F7" sqref="F7:J7"/>
    </sheetView>
  </sheetViews>
  <sheetFormatPr defaultRowHeight="18.75"/>
  <cols>
    <col min="1" max="1" width="50.28515625" style="2" customWidth="1"/>
    <col min="2" max="2" width="16.85546875" style="22" customWidth="1"/>
    <col min="3" max="3" width="14.5703125" style="22" customWidth="1"/>
    <col min="4" max="5" width="15.5703125" style="22" customWidth="1"/>
    <col min="6" max="6" width="14.5703125" style="22" customWidth="1"/>
    <col min="7" max="7" width="13.7109375" style="2" customWidth="1"/>
    <col min="8" max="9" width="14.5703125" style="2" customWidth="1"/>
    <col min="10" max="10" width="15.140625" style="2" customWidth="1"/>
    <col min="11" max="11" width="10" style="2" customWidth="1"/>
    <col min="12" max="12" width="9.5703125" style="2" customWidth="1"/>
    <col min="13" max="14" width="9.140625" style="2"/>
    <col min="15" max="15" width="10.5703125" style="2" customWidth="1"/>
    <col min="16" max="16384" width="9.140625" style="2"/>
  </cols>
  <sheetData>
    <row r="1" spans="1:10">
      <c r="A1" s="110"/>
      <c r="B1" s="111"/>
      <c r="C1" s="111"/>
      <c r="D1" s="111"/>
      <c r="E1" s="111"/>
      <c r="F1" s="111" t="s">
        <v>19</v>
      </c>
      <c r="G1" s="110"/>
      <c r="H1" s="110"/>
      <c r="I1" s="110"/>
      <c r="J1" s="110"/>
    </row>
    <row r="2" spans="1:10" ht="18.75" customHeight="1">
      <c r="A2" s="299" t="s">
        <v>382</v>
      </c>
      <c r="B2" s="299"/>
      <c r="C2" s="113"/>
      <c r="D2" s="114"/>
      <c r="E2" s="114"/>
      <c r="F2" s="300" t="s">
        <v>468</v>
      </c>
      <c r="G2" s="300"/>
      <c r="H2" s="300"/>
      <c r="I2" s="300"/>
      <c r="J2" s="300"/>
    </row>
    <row r="3" spans="1:10" ht="18.75" customHeight="1">
      <c r="A3" s="301" t="s">
        <v>383</v>
      </c>
      <c r="B3" s="301"/>
      <c r="C3" s="113"/>
      <c r="D3" s="116"/>
      <c r="E3" s="116"/>
      <c r="F3" s="300"/>
      <c r="G3" s="300"/>
      <c r="H3" s="300"/>
      <c r="I3" s="300"/>
      <c r="J3" s="300"/>
    </row>
    <row r="4" spans="1:10" ht="18.75" customHeight="1">
      <c r="A4" s="301" t="s">
        <v>383</v>
      </c>
      <c r="B4" s="301"/>
      <c r="C4" s="113"/>
      <c r="D4" s="116"/>
      <c r="E4" s="116"/>
      <c r="F4" s="300"/>
      <c r="G4" s="300"/>
      <c r="H4" s="300"/>
      <c r="I4" s="300"/>
      <c r="J4" s="300"/>
    </row>
    <row r="5" spans="1:10" ht="18.75" customHeight="1">
      <c r="A5" s="301" t="s">
        <v>383</v>
      </c>
      <c r="B5" s="301"/>
      <c r="C5" s="113"/>
      <c r="D5" s="116"/>
      <c r="E5" s="116"/>
      <c r="F5" s="116"/>
      <c r="G5" s="302"/>
      <c r="H5" s="302"/>
      <c r="I5" s="117"/>
      <c r="J5" s="117"/>
    </row>
    <row r="6" spans="1:10" ht="18.75" customHeight="1">
      <c r="A6" s="299" t="s">
        <v>384</v>
      </c>
      <c r="B6" s="299"/>
      <c r="C6" s="113"/>
      <c r="D6" s="118"/>
      <c r="E6" s="118"/>
      <c r="F6" s="298" t="s">
        <v>385</v>
      </c>
      <c r="G6" s="298"/>
      <c r="H6" s="298"/>
      <c r="I6" s="298"/>
      <c r="J6" s="298"/>
    </row>
    <row r="7" spans="1:10" ht="63" customHeight="1">
      <c r="A7" s="299"/>
      <c r="B7" s="299"/>
      <c r="C7" s="113"/>
      <c r="D7" s="118"/>
      <c r="E7" s="118"/>
      <c r="F7" s="298" t="s">
        <v>261</v>
      </c>
      <c r="G7" s="298"/>
      <c r="H7" s="298"/>
      <c r="I7" s="298"/>
      <c r="J7" s="298"/>
    </row>
    <row r="8" spans="1:10" ht="18.75" customHeight="1">
      <c r="A8" s="119" t="s">
        <v>352</v>
      </c>
      <c r="B8" s="112"/>
      <c r="C8" s="113"/>
      <c r="D8" s="118"/>
      <c r="E8" s="118"/>
      <c r="F8" s="298" t="s">
        <v>386</v>
      </c>
      <c r="G8" s="298"/>
      <c r="H8" s="298"/>
      <c r="I8" s="298"/>
      <c r="J8" s="298"/>
    </row>
    <row r="9" spans="1:10" ht="18.75" customHeight="1">
      <c r="A9" s="112"/>
      <c r="B9" s="112"/>
      <c r="C9" s="113"/>
      <c r="D9" s="118"/>
      <c r="E9" s="118"/>
      <c r="F9" s="298" t="s">
        <v>387</v>
      </c>
      <c r="G9" s="298"/>
      <c r="H9" s="298"/>
      <c r="I9" s="298"/>
      <c r="J9" s="298"/>
    </row>
    <row r="10" spans="1:10" ht="20.25">
      <c r="A10" s="112"/>
      <c r="B10" s="112"/>
      <c r="C10" s="113"/>
      <c r="D10" s="118"/>
      <c r="E10" s="118"/>
      <c r="F10" s="114"/>
      <c r="G10" s="114"/>
      <c r="H10" s="114"/>
      <c r="I10" s="114"/>
      <c r="J10" s="114"/>
    </row>
    <row r="11" spans="1:10" ht="61.5" customHeight="1">
      <c r="A11" s="112"/>
      <c r="B11" s="112"/>
      <c r="C11" s="113"/>
      <c r="D11" s="118"/>
      <c r="E11" s="118"/>
      <c r="F11" s="298" t="s">
        <v>388</v>
      </c>
      <c r="G11" s="298"/>
      <c r="H11" s="298"/>
      <c r="I11" s="298"/>
      <c r="J11" s="298"/>
    </row>
    <row r="12" spans="1:10" ht="20.25" customHeight="1">
      <c r="A12" s="112"/>
      <c r="B12" s="112"/>
      <c r="C12" s="113"/>
      <c r="D12" s="118"/>
      <c r="E12" s="118"/>
      <c r="F12" s="119" t="s">
        <v>352</v>
      </c>
      <c r="G12" s="114"/>
      <c r="H12" s="114"/>
      <c r="I12" s="114"/>
      <c r="J12" s="114"/>
    </row>
    <row r="13" spans="1:10" ht="19.5" customHeight="1">
      <c r="A13" s="112"/>
      <c r="B13" s="112"/>
      <c r="C13" s="113"/>
      <c r="D13" s="118"/>
      <c r="E13" s="118"/>
      <c r="F13" s="114"/>
      <c r="G13" s="117"/>
      <c r="H13" s="119"/>
      <c r="I13" s="119"/>
      <c r="J13" s="119"/>
    </row>
    <row r="14" spans="1:10" ht="19.5" customHeight="1">
      <c r="A14" s="114"/>
      <c r="B14" s="120"/>
      <c r="C14" s="120"/>
      <c r="D14" s="120"/>
      <c r="E14" s="120"/>
      <c r="F14" s="120"/>
      <c r="G14" s="121"/>
      <c r="H14" s="121"/>
      <c r="I14" s="121"/>
      <c r="J14" s="121"/>
    </row>
    <row r="15" spans="1:10" ht="41.25" customHeight="1">
      <c r="A15" s="122"/>
      <c r="B15" s="307"/>
      <c r="C15" s="307"/>
      <c r="D15" s="307"/>
      <c r="E15" s="307"/>
      <c r="F15" s="307"/>
      <c r="G15" s="123"/>
      <c r="H15" s="124"/>
      <c r="I15" s="125" t="s">
        <v>708</v>
      </c>
      <c r="J15" s="126" t="s">
        <v>263</v>
      </c>
    </row>
    <row r="16" spans="1:10" ht="57" customHeight="1">
      <c r="A16" s="127" t="s">
        <v>14</v>
      </c>
      <c r="B16" s="307" t="s">
        <v>707</v>
      </c>
      <c r="C16" s="307"/>
      <c r="D16" s="307"/>
      <c r="E16" s="307"/>
      <c r="F16" s="307"/>
      <c r="G16" s="128"/>
      <c r="H16" s="129"/>
      <c r="I16" s="130" t="s">
        <v>408</v>
      </c>
      <c r="J16" s="126"/>
    </row>
    <row r="17" spans="1:10" ht="48.75" customHeight="1">
      <c r="A17" s="127" t="s">
        <v>15</v>
      </c>
      <c r="B17" s="307" t="s">
        <v>409</v>
      </c>
      <c r="C17" s="307"/>
      <c r="D17" s="307"/>
      <c r="E17" s="307"/>
      <c r="F17" s="307"/>
      <c r="G17" s="123"/>
      <c r="H17" s="124"/>
      <c r="I17" s="130" t="s">
        <v>143</v>
      </c>
      <c r="J17" s="126">
        <v>150</v>
      </c>
    </row>
    <row r="18" spans="1:10" ht="61.5" customHeight="1">
      <c r="A18" s="127" t="s">
        <v>20</v>
      </c>
      <c r="B18" s="307" t="s">
        <v>410</v>
      </c>
      <c r="C18" s="307"/>
      <c r="D18" s="307"/>
      <c r="E18" s="307"/>
      <c r="F18" s="307"/>
      <c r="G18" s="123"/>
      <c r="H18" s="124"/>
      <c r="I18" s="130" t="s">
        <v>142</v>
      </c>
      <c r="J18" s="126"/>
    </row>
    <row r="19" spans="1:10" ht="39" customHeight="1">
      <c r="A19" s="127" t="s">
        <v>389</v>
      </c>
      <c r="B19" s="307"/>
      <c r="C19" s="307"/>
      <c r="D19" s="307"/>
      <c r="E19" s="307"/>
      <c r="F19" s="307"/>
      <c r="G19" s="128"/>
      <c r="H19" s="129"/>
      <c r="I19" s="130" t="s">
        <v>9</v>
      </c>
      <c r="J19" s="126">
        <v>90211</v>
      </c>
    </row>
    <row r="20" spans="1:10" ht="34.5" customHeight="1">
      <c r="A20" s="127" t="s">
        <v>17</v>
      </c>
      <c r="B20" s="307"/>
      <c r="C20" s="307"/>
      <c r="D20" s="307"/>
      <c r="E20" s="307"/>
      <c r="F20" s="307"/>
      <c r="G20" s="128"/>
      <c r="H20" s="129"/>
      <c r="I20" s="130" t="s">
        <v>8</v>
      </c>
      <c r="J20" s="126"/>
    </row>
    <row r="21" spans="1:10" ht="52.5" customHeight="1">
      <c r="A21" s="127" t="s">
        <v>16</v>
      </c>
      <c r="B21" s="307" t="s">
        <v>413</v>
      </c>
      <c r="C21" s="307"/>
      <c r="D21" s="307"/>
      <c r="E21" s="307"/>
      <c r="F21" s="307"/>
      <c r="G21" s="128"/>
      <c r="H21" s="131"/>
      <c r="I21" s="133" t="s">
        <v>10</v>
      </c>
      <c r="J21" s="126" t="s">
        <v>411</v>
      </c>
    </row>
    <row r="22" spans="1:10" ht="48" customHeight="1">
      <c r="A22" s="306" t="s">
        <v>390</v>
      </c>
      <c r="B22" s="307"/>
      <c r="C22" s="307"/>
      <c r="D22" s="307"/>
      <c r="E22" s="307"/>
      <c r="F22" s="307"/>
      <c r="G22" s="307" t="s">
        <v>205</v>
      </c>
      <c r="H22" s="310"/>
      <c r="I22" s="311"/>
      <c r="J22" s="134" t="s">
        <v>412</v>
      </c>
    </row>
    <row r="23" spans="1:10" ht="54" customHeight="1">
      <c r="A23" s="127" t="s">
        <v>21</v>
      </c>
      <c r="B23" s="307" t="s">
        <v>414</v>
      </c>
      <c r="C23" s="307"/>
      <c r="D23" s="307"/>
      <c r="E23" s="307"/>
      <c r="F23" s="307"/>
      <c r="G23" s="307" t="s">
        <v>206</v>
      </c>
      <c r="H23" s="310"/>
      <c r="I23" s="311"/>
      <c r="J23" s="134"/>
    </row>
    <row r="24" spans="1:10" ht="52.5" customHeight="1">
      <c r="A24" s="306" t="s">
        <v>459</v>
      </c>
      <c r="B24" s="307"/>
      <c r="C24" s="307"/>
      <c r="D24" s="307"/>
      <c r="E24" s="307"/>
      <c r="F24" s="307"/>
      <c r="G24" s="128"/>
      <c r="H24" s="128"/>
      <c r="I24" s="128"/>
      <c r="J24" s="129"/>
    </row>
    <row r="25" spans="1:10" ht="42.75" customHeight="1">
      <c r="A25" s="127" t="s">
        <v>11</v>
      </c>
      <c r="B25" s="307" t="s">
        <v>467</v>
      </c>
      <c r="C25" s="307"/>
      <c r="D25" s="307"/>
      <c r="E25" s="307"/>
      <c r="F25" s="307"/>
      <c r="G25" s="123"/>
      <c r="H25" s="123"/>
      <c r="I25" s="123"/>
      <c r="J25" s="124"/>
    </row>
    <row r="26" spans="1:10" ht="39" customHeight="1">
      <c r="A26" s="127" t="s">
        <v>12</v>
      </c>
      <c r="B26" s="307" t="s">
        <v>415</v>
      </c>
      <c r="C26" s="307"/>
      <c r="D26" s="307"/>
      <c r="E26" s="307"/>
      <c r="F26" s="307"/>
      <c r="G26" s="128"/>
      <c r="H26" s="128"/>
      <c r="I26" s="128"/>
      <c r="J26" s="129"/>
    </row>
    <row r="27" spans="1:10" ht="42.75" customHeight="1">
      <c r="A27" s="127" t="s">
        <v>13</v>
      </c>
      <c r="B27" s="307" t="s">
        <v>416</v>
      </c>
      <c r="C27" s="307"/>
      <c r="D27" s="307"/>
      <c r="E27" s="307"/>
      <c r="F27" s="307"/>
      <c r="G27" s="123"/>
      <c r="H27" s="123"/>
      <c r="I27" s="123"/>
      <c r="J27" s="124"/>
    </row>
    <row r="28" spans="1:10" ht="20.100000000000001" customHeight="1">
      <c r="A28" s="110"/>
      <c r="B28" s="110"/>
      <c r="C28" s="110"/>
      <c r="D28" s="110"/>
      <c r="E28" s="110"/>
      <c r="F28" s="110"/>
      <c r="G28" s="110"/>
      <c r="H28" s="110"/>
      <c r="I28" s="110"/>
      <c r="J28" s="110"/>
    </row>
    <row r="29" spans="1:10" ht="19.5" customHeight="1">
      <c r="A29" s="97"/>
      <c r="B29" s="110"/>
      <c r="C29" s="111"/>
      <c r="D29" s="110"/>
      <c r="E29" s="110"/>
      <c r="F29" s="110"/>
      <c r="G29" s="110"/>
      <c r="H29" s="110"/>
      <c r="I29" s="110"/>
      <c r="J29" s="110"/>
    </row>
    <row r="30" spans="1:10">
      <c r="A30" s="308" t="s">
        <v>417</v>
      </c>
      <c r="B30" s="308"/>
      <c r="C30" s="308"/>
      <c r="D30" s="308"/>
      <c r="E30" s="308"/>
      <c r="F30" s="308"/>
      <c r="G30" s="308"/>
      <c r="H30" s="308"/>
      <c r="I30" s="308"/>
      <c r="J30" s="308"/>
    </row>
    <row r="31" spans="1:10" ht="9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pans="1:10">
      <c r="A32" s="309" t="s">
        <v>219</v>
      </c>
      <c r="B32" s="309"/>
      <c r="C32" s="309"/>
      <c r="D32" s="309"/>
      <c r="E32" s="309"/>
      <c r="F32" s="309"/>
      <c r="G32" s="309"/>
      <c r="H32" s="309"/>
      <c r="I32" s="309"/>
      <c r="J32" s="309"/>
    </row>
    <row r="33" spans="1:10" ht="12" customHeight="1">
      <c r="B33" s="24"/>
      <c r="C33" s="4"/>
      <c r="D33" s="24"/>
      <c r="E33" s="24"/>
      <c r="F33" s="24"/>
      <c r="G33" s="24"/>
      <c r="H33" s="24"/>
      <c r="I33" s="24"/>
      <c r="J33" s="24"/>
    </row>
    <row r="34" spans="1:10" ht="40.5" customHeight="1">
      <c r="A34" s="314" t="s">
        <v>274</v>
      </c>
      <c r="B34" s="315" t="s">
        <v>18</v>
      </c>
      <c r="C34" s="325" t="s">
        <v>32</v>
      </c>
      <c r="D34" s="325" t="s">
        <v>40</v>
      </c>
      <c r="E34" s="315" t="s">
        <v>148</v>
      </c>
      <c r="F34" s="329" t="s">
        <v>180</v>
      </c>
      <c r="G34" s="316" t="s">
        <v>275</v>
      </c>
      <c r="H34" s="317"/>
      <c r="I34" s="317"/>
      <c r="J34" s="318"/>
    </row>
    <row r="35" spans="1:10" ht="54.75" customHeight="1">
      <c r="A35" s="314"/>
      <c r="B35" s="315"/>
      <c r="C35" s="326"/>
      <c r="D35" s="326"/>
      <c r="E35" s="315"/>
      <c r="F35" s="330"/>
      <c r="G35" s="99" t="s">
        <v>266</v>
      </c>
      <c r="H35" s="99" t="s">
        <v>267</v>
      </c>
      <c r="I35" s="99" t="s">
        <v>268</v>
      </c>
      <c r="J35" s="99" t="s">
        <v>360</v>
      </c>
    </row>
    <row r="36" spans="1:10" ht="20.100000000000001" customHeight="1">
      <c r="A36" s="98">
        <v>1</v>
      </c>
      <c r="B36" s="99">
        <v>2</v>
      </c>
      <c r="C36" s="99">
        <v>3</v>
      </c>
      <c r="D36" s="99">
        <v>4</v>
      </c>
      <c r="E36" s="99">
        <v>5</v>
      </c>
      <c r="F36" s="99">
        <v>6</v>
      </c>
      <c r="G36" s="99">
        <v>7</v>
      </c>
      <c r="H36" s="99">
        <v>8</v>
      </c>
      <c r="I36" s="99">
        <v>9</v>
      </c>
      <c r="J36" s="99">
        <v>10</v>
      </c>
    </row>
    <row r="37" spans="1:10" ht="24.95" customHeight="1">
      <c r="A37" s="319" t="s">
        <v>109</v>
      </c>
      <c r="B37" s="320"/>
      <c r="C37" s="320"/>
      <c r="D37" s="320"/>
      <c r="E37" s="320"/>
      <c r="F37" s="320"/>
      <c r="G37" s="320"/>
      <c r="H37" s="320"/>
      <c r="I37" s="320"/>
      <c r="J37" s="321"/>
    </row>
    <row r="38" spans="1:10" ht="37.5">
      <c r="A38" s="100" t="s">
        <v>220</v>
      </c>
      <c r="B38" s="98">
        <f>'I. Фін результат'!B7</f>
        <v>1000</v>
      </c>
      <c r="C38" s="191">
        <f>'I. Фін результат'!C7</f>
        <v>33417</v>
      </c>
      <c r="D38" s="191">
        <f>'I. Фін результат'!D7</f>
        <v>67273</v>
      </c>
      <c r="E38" s="191">
        <f>'I. Фін результат'!I7</f>
        <v>170261</v>
      </c>
      <c r="F38" s="191">
        <f>'I. Фін результат'!E7</f>
        <v>63275</v>
      </c>
      <c r="G38" s="188">
        <f>E38*1.05</f>
        <v>178774.05000000002</v>
      </c>
      <c r="H38" s="188">
        <f>G38*1.05</f>
        <v>187712.75250000003</v>
      </c>
      <c r="I38" s="188">
        <f t="shared" ref="I38:J38" si="0">H38*1.05</f>
        <v>197098.39012500003</v>
      </c>
      <c r="J38" s="188">
        <f t="shared" si="0"/>
        <v>206953.30963125004</v>
      </c>
    </row>
    <row r="39" spans="1:10" ht="37.5">
      <c r="A39" s="100" t="s">
        <v>188</v>
      </c>
      <c r="B39" s="98">
        <f>'I. Фін результат'!B12</f>
        <v>1010</v>
      </c>
      <c r="C39" s="191">
        <f>'I. Фін результат'!C12</f>
        <v>35387</v>
      </c>
      <c r="D39" s="191">
        <f>'I. Фін результат'!D12</f>
        <v>57127</v>
      </c>
      <c r="E39" s="191">
        <f>'I. Фін результат'!I12</f>
        <v>150334</v>
      </c>
      <c r="F39" s="191">
        <f>'I. Фін результат'!E12</f>
        <v>45045</v>
      </c>
      <c r="G39" s="188">
        <f>E39*1.05</f>
        <v>157850.70000000001</v>
      </c>
      <c r="H39" s="188">
        <f>G39*1.05</f>
        <v>165743.23500000002</v>
      </c>
      <c r="I39" s="188">
        <f>H39*1.05</f>
        <v>174030.39675000001</v>
      </c>
      <c r="J39" s="188">
        <f>I39*1.05</f>
        <v>182731.91658750002</v>
      </c>
    </row>
    <row r="40" spans="1:10" ht="20.100000000000001" customHeight="1">
      <c r="A40" s="102" t="s">
        <v>308</v>
      </c>
      <c r="B40" s="98">
        <f>'I. Фін результат'!B23</f>
        <v>1020</v>
      </c>
      <c r="C40" s="191">
        <f>'I. Фін результат'!C23</f>
        <v>-1970</v>
      </c>
      <c r="D40" s="191">
        <f>'I. Фін результат'!D23</f>
        <v>10146</v>
      </c>
      <c r="E40" s="191">
        <f>'I. Фін результат'!I23</f>
        <v>19927</v>
      </c>
      <c r="F40" s="191">
        <f>'I. Фін результат'!E23</f>
        <v>18230</v>
      </c>
      <c r="G40" s="191">
        <f>G38-G39</f>
        <v>20923.350000000006</v>
      </c>
      <c r="H40" s="191">
        <f>H38-H39</f>
        <v>21969.517500000016</v>
      </c>
      <c r="I40" s="191">
        <f>I38-I39</f>
        <v>23067.99337500002</v>
      </c>
      <c r="J40" s="191">
        <f>J38-J39</f>
        <v>24221.393043750024</v>
      </c>
    </row>
    <row r="41" spans="1:10" ht="20.100000000000001" customHeight="1">
      <c r="A41" s="100" t="s">
        <v>153</v>
      </c>
      <c r="B41" s="98">
        <f>'I. Фін результат'!B27</f>
        <v>1040</v>
      </c>
      <c r="C41" s="191">
        <f>'I. Фін результат'!C27</f>
        <v>4560</v>
      </c>
      <c r="D41" s="191">
        <f>'I. Фін результат'!D27</f>
        <v>7056</v>
      </c>
      <c r="E41" s="191">
        <f>'I. Фін результат'!I27</f>
        <v>10309</v>
      </c>
      <c r="F41" s="191">
        <f>'I. Фін результат'!E27</f>
        <v>30849</v>
      </c>
      <c r="G41" s="188">
        <f>E41*1.05</f>
        <v>10824.45</v>
      </c>
      <c r="H41" s="188">
        <f>G41*1.05</f>
        <v>11365.672500000001</v>
      </c>
      <c r="I41" s="188">
        <f t="shared" ref="I41:J41" si="1">H41*1.05</f>
        <v>11933.956125000001</v>
      </c>
      <c r="J41" s="188">
        <f t="shared" si="1"/>
        <v>12530.653931250001</v>
      </c>
    </row>
    <row r="42" spans="1:10" ht="20.100000000000001" customHeight="1">
      <c r="A42" s="100" t="s">
        <v>150</v>
      </c>
      <c r="B42" s="98">
        <f>'I. Фін результат'!B52</f>
        <v>1070</v>
      </c>
      <c r="C42" s="191">
        <f>'I. Фін результат'!C52</f>
        <v>0</v>
      </c>
      <c r="D42" s="191">
        <f>'I. Фін результат'!D52</f>
        <v>0</v>
      </c>
      <c r="E42" s="191">
        <f>'I. Фін результат'!I52</f>
        <v>0</v>
      </c>
      <c r="F42" s="191">
        <f>'I. Фін результат'!E52</f>
        <v>0</v>
      </c>
      <c r="G42" s="188">
        <f>E42*1.05</f>
        <v>0</v>
      </c>
      <c r="H42" s="188">
        <f t="shared" ref="H42:J43" si="2">G42*1.05</f>
        <v>0</v>
      </c>
      <c r="I42" s="188">
        <f t="shared" si="2"/>
        <v>0</v>
      </c>
      <c r="J42" s="188">
        <f t="shared" si="2"/>
        <v>0</v>
      </c>
    </row>
    <row r="43" spans="1:10" ht="20.100000000000001" customHeight="1">
      <c r="A43" s="100" t="s">
        <v>154</v>
      </c>
      <c r="B43" s="98">
        <f>'I. Фін результат'!B94</f>
        <v>1300</v>
      </c>
      <c r="C43" s="191">
        <f>'I. Фін результат'!C94</f>
        <v>-282</v>
      </c>
      <c r="D43" s="191">
        <f>'I. Фін результат'!D94</f>
        <v>-566</v>
      </c>
      <c r="E43" s="191">
        <f>'I. Фін результат'!I94</f>
        <v>-60927</v>
      </c>
      <c r="F43" s="191">
        <f>'I. Фін результат'!E94</f>
        <v>-586</v>
      </c>
      <c r="G43" s="188">
        <f>E43*1.05</f>
        <v>-63973.350000000006</v>
      </c>
      <c r="H43" s="188">
        <f t="shared" si="2"/>
        <v>-67172.017500000002</v>
      </c>
      <c r="I43" s="188">
        <f t="shared" si="2"/>
        <v>-70530.618375000005</v>
      </c>
      <c r="J43" s="188">
        <f t="shared" si="2"/>
        <v>-74057.149293750015</v>
      </c>
    </row>
    <row r="44" spans="1:10" ht="37.5">
      <c r="A44" s="103" t="s">
        <v>4</v>
      </c>
      <c r="B44" s="98">
        <f>'I. Фін результат'!B71</f>
        <v>1100</v>
      </c>
      <c r="C44" s="191">
        <f>'I. Фін результат'!C71</f>
        <v>-6812</v>
      </c>
      <c r="D44" s="191">
        <f>'I. Фін результат'!D71</f>
        <v>2524</v>
      </c>
      <c r="E44" s="191">
        <f>'I. Фін результат'!I71</f>
        <v>-51309</v>
      </c>
      <c r="F44" s="191">
        <f>'I. Фін результат'!E71</f>
        <v>-13205</v>
      </c>
      <c r="G44" s="191">
        <f>G40-G41-G42+G43</f>
        <v>-53874.45</v>
      </c>
      <c r="H44" s="191">
        <f>H40-H41-H42+H43</f>
        <v>-56568.172499999986</v>
      </c>
      <c r="I44" s="191">
        <f>I40-I41-I42+I43</f>
        <v>-59396.581124999982</v>
      </c>
      <c r="J44" s="191">
        <f>J40-J41-J42+J43</f>
        <v>-62366.410181249994</v>
      </c>
    </row>
    <row r="45" spans="1:10" ht="20.100000000000001" customHeight="1">
      <c r="A45" s="103" t="s">
        <v>155</v>
      </c>
      <c r="B45" s="98">
        <f>'I. Фін результат'!B105</f>
        <v>1410</v>
      </c>
      <c r="C45" s="191">
        <f>'I. Фін результат'!C105</f>
        <v>28957</v>
      </c>
      <c r="D45" s="191">
        <f>'I. Фін результат'!D105</f>
        <v>16507</v>
      </c>
      <c r="E45" s="191">
        <f>'I. Фін результат'!I105</f>
        <v>-31448</v>
      </c>
      <c r="F45" s="191">
        <f>'I. Фін результат'!E105</f>
        <v>-4925</v>
      </c>
      <c r="G45" s="188">
        <f>E45*1.05</f>
        <v>-33020.400000000001</v>
      </c>
      <c r="H45" s="188">
        <f>G45*1.05</f>
        <v>-34671.420000000006</v>
      </c>
      <c r="I45" s="188">
        <f>H45*1.05</f>
        <v>-36404.991000000009</v>
      </c>
      <c r="J45" s="188">
        <f>I45*1.05</f>
        <v>-38225.24055000001</v>
      </c>
    </row>
    <row r="46" spans="1:10" ht="20.100000000000001" customHeight="1">
      <c r="A46" s="104" t="s">
        <v>241</v>
      </c>
      <c r="B46" s="98">
        <f>' V. Коефіцієнти'!B8</f>
        <v>5010</v>
      </c>
      <c r="C46" s="192">
        <f>' V. Коефіцієнти'!D8</f>
        <v>86.653499715713565</v>
      </c>
      <c r="D46" s="192">
        <f>D45*100/D38</f>
        <v>24.537332956758284</v>
      </c>
      <c r="E46" s="192">
        <f>' V. Коефіцієнти'!G8</f>
        <v>-18.4704659317166</v>
      </c>
      <c r="F46" s="192">
        <f>' V. Коефіцієнти'!F8</f>
        <v>-7.7834847886210987</v>
      </c>
      <c r="G46" s="200">
        <f>G45*100/G38</f>
        <v>-18.470465931716596</v>
      </c>
      <c r="H46" s="200">
        <f>H45*100/H38</f>
        <v>-18.4704659317166</v>
      </c>
      <c r="I46" s="200">
        <f>I45*100/I38</f>
        <v>-18.470465931716603</v>
      </c>
      <c r="J46" s="200">
        <f>J45*100/J38</f>
        <v>-18.4704659317166</v>
      </c>
    </row>
    <row r="47" spans="1:10" ht="37.5">
      <c r="A47" s="104" t="s">
        <v>156</v>
      </c>
      <c r="B47" s="98">
        <f>'I. Фін результат'!B95</f>
        <v>1310</v>
      </c>
      <c r="C47" s="191">
        <f>'I. Фін результат'!C95</f>
        <v>6842</v>
      </c>
      <c r="D47" s="191">
        <f>'I. Фін результат'!D95</f>
        <v>0</v>
      </c>
      <c r="E47" s="191">
        <f>'I. Фін результат'!I95</f>
        <v>-2598</v>
      </c>
      <c r="F47" s="191">
        <f>'I. Фін результат'!E95</f>
        <v>370</v>
      </c>
      <c r="G47" s="188">
        <f>E47*1.05</f>
        <v>-2727.9</v>
      </c>
      <c r="H47" s="188">
        <f>G47*1.05</f>
        <v>-2864.2950000000001</v>
      </c>
      <c r="I47" s="188">
        <f t="shared" ref="I47:J47" si="3">H47*1.05</f>
        <v>-3007.5097500000002</v>
      </c>
      <c r="J47" s="188">
        <f t="shared" si="3"/>
        <v>-3157.8852375000001</v>
      </c>
    </row>
    <row r="48" spans="1:10" ht="20.100000000000001" customHeight="1">
      <c r="A48" s="100" t="s">
        <v>246</v>
      </c>
      <c r="B48" s="98">
        <f>'I. Фін результат'!B96</f>
        <v>1320</v>
      </c>
      <c r="C48" s="191">
        <f>'I. Фін результат'!C96</f>
        <v>0</v>
      </c>
      <c r="D48" s="191">
        <f>'I. Фін результат'!D96</f>
        <v>0</v>
      </c>
      <c r="E48" s="191">
        <f>'I. Фін результат'!I96</f>
        <v>60136</v>
      </c>
      <c r="F48" s="191">
        <f>'I. Фін результат'!E96</f>
        <v>-32</v>
      </c>
      <c r="G48" s="188">
        <f>E48*1.05</f>
        <v>63142.8</v>
      </c>
      <c r="H48" s="188">
        <f>G48*1.05</f>
        <v>66299.94</v>
      </c>
      <c r="I48" s="188">
        <f t="shared" ref="I48:J48" si="4">H48*1.05</f>
        <v>69614.937000000005</v>
      </c>
      <c r="J48" s="188">
        <f t="shared" si="4"/>
        <v>73095.683850000016</v>
      </c>
    </row>
    <row r="49" spans="1:10" ht="37.5">
      <c r="A49" s="103" t="s">
        <v>107</v>
      </c>
      <c r="B49" s="98">
        <f>'I. Фін результат'!B86</f>
        <v>1170</v>
      </c>
      <c r="C49" s="191">
        <f>'I. Фін результат'!C86</f>
        <v>30</v>
      </c>
      <c r="D49" s="191">
        <f>'I. Фін результат'!D86</f>
        <v>2524</v>
      </c>
      <c r="E49" s="191">
        <f>'I. Фін результат'!I86</f>
        <v>6229</v>
      </c>
      <c r="F49" s="191">
        <f>'I. Фін результат'!E86</f>
        <v>-12867</v>
      </c>
      <c r="G49" s="191">
        <f>G44+G47+G48</f>
        <v>6540.4500000000044</v>
      </c>
      <c r="H49" s="191">
        <f>H44+H47+H48</f>
        <v>6867.472500000018</v>
      </c>
      <c r="I49" s="191">
        <f>I44+I47+I48</f>
        <v>7210.8461250000255</v>
      </c>
      <c r="J49" s="191">
        <f>J44+J47+J48</f>
        <v>7571.3884312500231</v>
      </c>
    </row>
    <row r="50" spans="1:10" ht="20.100000000000001" customHeight="1">
      <c r="A50" s="104" t="s">
        <v>151</v>
      </c>
      <c r="B50" s="98">
        <f>'I. Фін результат'!B87</f>
        <v>1180</v>
      </c>
      <c r="C50" s="191">
        <f>'I. Фін результат'!C87</f>
        <v>0</v>
      </c>
      <c r="D50" s="191">
        <f>'I. Фін результат'!D87</f>
        <v>454</v>
      </c>
      <c r="E50" s="191">
        <f>'I. Фін результат'!I87</f>
        <v>1121</v>
      </c>
      <c r="F50" s="191">
        <f>'I. Фін результат'!E87</f>
        <v>0</v>
      </c>
      <c r="G50" s="191">
        <f>IF(G49&gt;0,G49*18%,0)</f>
        <v>1177.2810000000006</v>
      </c>
      <c r="H50" s="191">
        <f>IF(H49&gt;0,H49*18%,0)</f>
        <v>1236.1450500000033</v>
      </c>
      <c r="I50" s="191">
        <f>IF(I49&gt;0,I49*18%,0)</f>
        <v>1297.9523025000046</v>
      </c>
      <c r="J50" s="191">
        <f>IF(J49&gt;0,J49*18%,0)</f>
        <v>1362.8499176250041</v>
      </c>
    </row>
    <row r="51" spans="1:10" ht="20.100000000000001" customHeight="1">
      <c r="A51" s="103" t="s">
        <v>242</v>
      </c>
      <c r="B51" s="98">
        <f>'I. Фін результат'!B89</f>
        <v>1200</v>
      </c>
      <c r="C51" s="191">
        <f>'I. Фін результат'!C89</f>
        <v>30</v>
      </c>
      <c r="D51" s="191">
        <f>'I. Фін результат'!D89</f>
        <v>2070</v>
      </c>
      <c r="E51" s="191">
        <f>'I. Фін результат'!I89</f>
        <v>5108</v>
      </c>
      <c r="F51" s="191">
        <f>'I. Фін результат'!E89</f>
        <v>-12867</v>
      </c>
      <c r="G51" s="191">
        <f>G49-G50</f>
        <v>5363.1690000000035</v>
      </c>
      <c r="H51" s="191">
        <f>H49-H50</f>
        <v>5631.3274500000152</v>
      </c>
      <c r="I51" s="191">
        <f>I49-I50</f>
        <v>5912.8938225000211</v>
      </c>
      <c r="J51" s="191">
        <f>J49-J50</f>
        <v>6208.5385136250188</v>
      </c>
    </row>
    <row r="52" spans="1:10" ht="20.100000000000001" customHeight="1">
      <c r="A52" s="104" t="s">
        <v>243</v>
      </c>
      <c r="B52" s="98">
        <f>' V. Коефіцієнти'!B11</f>
        <v>5040</v>
      </c>
      <c r="C52" s="192">
        <f>' V. Коефіцієнти'!D11</f>
        <v>8.977466558937068E-4</v>
      </c>
      <c r="D52" s="192">
        <f>D51/D38</f>
        <v>3.0770145526437056E-2</v>
      </c>
      <c r="E52" s="192">
        <f>' V. Коефіцієнти'!G11</f>
        <v>3.0000998467059396E-2</v>
      </c>
      <c r="F52" s="192">
        <f>' V. Коефіцієнти'!F11</f>
        <v>-0.2033504543658633</v>
      </c>
      <c r="G52" s="192">
        <f>G51/G38</f>
        <v>2.999970633321784E-2</v>
      </c>
      <c r="H52" s="192">
        <f>H51/H38</f>
        <v>2.9999706333217902E-2</v>
      </c>
      <c r="I52" s="192">
        <f>I51/I38</f>
        <v>2.9999706333217926E-2</v>
      </c>
      <c r="J52" s="192">
        <f>J51/J38</f>
        <v>2.9999706333217909E-2</v>
      </c>
    </row>
    <row r="53" spans="1:10" ht="24.95" customHeight="1">
      <c r="A53" s="303" t="s">
        <v>168</v>
      </c>
      <c r="B53" s="304"/>
      <c r="C53" s="304"/>
      <c r="D53" s="304"/>
      <c r="E53" s="304"/>
      <c r="F53" s="304"/>
      <c r="G53" s="304"/>
      <c r="H53" s="304"/>
      <c r="I53" s="304"/>
      <c r="J53" s="305"/>
    </row>
    <row r="54" spans="1:10" ht="20.100000000000001" customHeight="1">
      <c r="A54" s="105" t="s">
        <v>365</v>
      </c>
      <c r="B54" s="98">
        <f>'ІІ. Розр. з бюджетом'!B19</f>
        <v>2100</v>
      </c>
      <c r="C54" s="191">
        <f>'ІІ. Розр. з бюджетом'!C19</f>
        <v>20</v>
      </c>
      <c r="D54" s="191">
        <f>'ІІ. Розр. з бюджетом'!D19</f>
        <v>1366</v>
      </c>
      <c r="E54" s="191">
        <f>'ІІ. Розр. з бюджетом'!I19</f>
        <v>3371</v>
      </c>
      <c r="F54" s="191">
        <f>'ІІ. Розр. з бюджетом'!E19</f>
        <v>0</v>
      </c>
      <c r="G54" s="188">
        <f>G51*66%</f>
        <v>3539.6915400000025</v>
      </c>
      <c r="H54" s="188">
        <f t="shared" ref="H54:J54" si="5">H51*66%</f>
        <v>3716.6761170000104</v>
      </c>
      <c r="I54" s="188">
        <f t="shared" si="5"/>
        <v>3902.5099228500139</v>
      </c>
      <c r="J54" s="188">
        <f t="shared" si="5"/>
        <v>4097.6354189925123</v>
      </c>
    </row>
    <row r="55" spans="1:10" ht="20.100000000000001" customHeight="1">
      <c r="A55" s="106" t="s">
        <v>167</v>
      </c>
      <c r="B55" s="98">
        <f>'ІІ. Розр. з бюджетом'!B22</f>
        <v>2110</v>
      </c>
      <c r="C55" s="191">
        <f>'ІІ. Розр. з бюджетом'!C22</f>
        <v>0</v>
      </c>
      <c r="D55" s="191">
        <f>'ІІ. Розр. з бюджетом'!D22</f>
        <v>454</v>
      </c>
      <c r="E55" s="191">
        <f>'ІІ. Розр. з бюджетом'!I22</f>
        <v>1121</v>
      </c>
      <c r="F55" s="191">
        <f>'ІІ. Розр. з бюджетом'!E22</f>
        <v>0</v>
      </c>
      <c r="G55" s="191">
        <f>G50</f>
        <v>1177.2810000000006</v>
      </c>
      <c r="H55" s="191">
        <f>H50</f>
        <v>1236.1450500000033</v>
      </c>
      <c r="I55" s="191">
        <f>I50</f>
        <v>1297.9523025000046</v>
      </c>
      <c r="J55" s="191">
        <f>J50</f>
        <v>1362.8499176250041</v>
      </c>
    </row>
    <row r="56" spans="1:10" ht="56.25">
      <c r="A56" s="106" t="s">
        <v>361</v>
      </c>
      <c r="B56" s="98" t="s">
        <v>244</v>
      </c>
      <c r="C56" s="191">
        <f>SUM('ІІ. Розр. з бюджетом'!C23,'ІІ. Розр. з бюджетом'!C24)</f>
        <v>0</v>
      </c>
      <c r="D56" s="191">
        <f>SUM('ІІ. Розр. з бюджетом'!D23,'ІІ. Розр. з бюджетом'!D24)</f>
        <v>0</v>
      </c>
      <c r="E56" s="191">
        <f>'ІІ. Розр. з бюджетом'!I23+'ІІ. Розр. з бюджетом'!I24</f>
        <v>0</v>
      </c>
      <c r="F56" s="191">
        <f>SUM('ІІ. Розр. з бюджетом'!E23,'ІІ. Розр. з бюджетом'!E24)</f>
        <v>0</v>
      </c>
      <c r="G56" s="188">
        <v>3390</v>
      </c>
      <c r="H56" s="188">
        <v>3566</v>
      </c>
      <c r="I56" s="188">
        <v>3751</v>
      </c>
      <c r="J56" s="188">
        <v>3938</v>
      </c>
    </row>
    <row r="57" spans="1:10" ht="56.25">
      <c r="A57" s="105" t="s">
        <v>366</v>
      </c>
      <c r="B57" s="98">
        <f>'ІІ. Розр. з бюджетом'!B25</f>
        <v>2140</v>
      </c>
      <c r="C57" s="191">
        <f>'ІІ. Розр. з бюджетом'!C25</f>
        <v>4216</v>
      </c>
      <c r="D57" s="191">
        <f>'ІІ. Розр. з бюджетом'!D25</f>
        <v>5971</v>
      </c>
      <c r="E57" s="191">
        <f>'ІІ. Розр. з бюджетом'!I25</f>
        <v>6008</v>
      </c>
      <c r="F57" s="191">
        <f>'ІІ. Розр. з бюджетом'!E25</f>
        <v>6733</v>
      </c>
      <c r="G57" s="188">
        <v>2240</v>
      </c>
      <c r="H57" s="188">
        <v>2356</v>
      </c>
      <c r="I57" s="188">
        <v>2479</v>
      </c>
      <c r="J57" s="188">
        <v>2603</v>
      </c>
    </row>
    <row r="58" spans="1:10" ht="39" customHeight="1">
      <c r="A58" s="105" t="s">
        <v>91</v>
      </c>
      <c r="B58" s="98">
        <f>'ІІ. Розр. з бюджетом'!B36</f>
        <v>2150</v>
      </c>
      <c r="C58" s="191">
        <f>'ІІ. Розр. з бюджетом'!C36</f>
        <v>3663</v>
      </c>
      <c r="D58" s="191">
        <f>'ІІ. Розр. з бюджетом'!D36</f>
        <v>5557</v>
      </c>
      <c r="E58" s="191">
        <f>'ІІ. Розр. з бюджетом'!I36</f>
        <v>6659</v>
      </c>
      <c r="F58" s="191">
        <f>'ІІ. Розр. з бюджетом'!E36</f>
        <v>5862</v>
      </c>
      <c r="G58" s="188">
        <v>4457</v>
      </c>
      <c r="H58" s="188">
        <v>4689</v>
      </c>
      <c r="I58" s="188">
        <v>4932</v>
      </c>
      <c r="J58" s="188">
        <v>5178</v>
      </c>
    </row>
    <row r="59" spans="1:10" ht="20.100000000000001" customHeight="1">
      <c r="A59" s="107" t="s">
        <v>367</v>
      </c>
      <c r="B59" s="98">
        <f>'ІІ. Розр. з бюджетом'!B37</f>
        <v>2200</v>
      </c>
      <c r="C59" s="191">
        <f>'ІІ. Розр. з бюджетом'!C37</f>
        <v>7899</v>
      </c>
      <c r="D59" s="191">
        <f>'ІІ. Розр. з бюджетом'!D37</f>
        <v>13348</v>
      </c>
      <c r="E59" s="191">
        <f>'ІІ. Розр. з бюджетом'!I37</f>
        <v>17159</v>
      </c>
      <c r="F59" s="191">
        <f>'ІІ. Розр. з бюджетом'!E37</f>
        <v>12595</v>
      </c>
      <c r="G59" s="191">
        <f>SUM(G54:G58)</f>
        <v>14803.972540000002</v>
      </c>
      <c r="H59" s="191">
        <f>SUM(H54:H58)</f>
        <v>15563.821167000013</v>
      </c>
      <c r="I59" s="191">
        <f>SUM(I54:I58)</f>
        <v>16362.462225350018</v>
      </c>
      <c r="J59" s="191">
        <f>SUM(J54:J58)</f>
        <v>17179.485336617516</v>
      </c>
    </row>
    <row r="60" spans="1:10" ht="24.95" customHeight="1">
      <c r="A60" s="303" t="s">
        <v>166</v>
      </c>
      <c r="B60" s="304"/>
      <c r="C60" s="304"/>
      <c r="D60" s="304"/>
      <c r="E60" s="304"/>
      <c r="F60" s="304"/>
      <c r="G60" s="304"/>
      <c r="H60" s="304"/>
      <c r="I60" s="304"/>
      <c r="J60" s="305"/>
    </row>
    <row r="61" spans="1:10" ht="20.100000000000001" customHeight="1">
      <c r="A61" s="107" t="s">
        <v>157</v>
      </c>
      <c r="B61" s="98">
        <f>'ІІІ. Рух грош. коштів'!B74</f>
        <v>3600</v>
      </c>
      <c r="C61" s="191">
        <f>'ІІІ. Рух грош. коштів'!C74</f>
        <v>860</v>
      </c>
      <c r="D61" s="191">
        <f>'ІІІ. Рух грош. коштів'!D74</f>
        <v>26526</v>
      </c>
      <c r="E61" s="191">
        <f>'ІІІ. Рух грош. коштів'!I74</f>
        <v>48543</v>
      </c>
      <c r="F61" s="191">
        <f>'ІІІ. Рух грош. коштів'!E74</f>
        <v>26526</v>
      </c>
      <c r="G61" s="191">
        <f>E66</f>
        <v>59342</v>
      </c>
      <c r="H61" s="191">
        <f>G66</f>
        <v>62555</v>
      </c>
      <c r="I61" s="191">
        <f>H66</f>
        <v>65936</v>
      </c>
      <c r="J61" s="191">
        <f>I66</f>
        <v>69492</v>
      </c>
    </row>
    <row r="62" spans="1:10" ht="37.5">
      <c r="A62" s="105" t="s">
        <v>158</v>
      </c>
      <c r="B62" s="98">
        <f>'ІІІ. Рух грош. коштів'!B26</f>
        <v>3090</v>
      </c>
      <c r="C62" s="191">
        <f>'ІІІ. Рух грош. коштів'!C26</f>
        <v>-27840</v>
      </c>
      <c r="D62" s="191">
        <f>'ІІІ. Рух грош. коштів'!D26</f>
        <v>16053</v>
      </c>
      <c r="E62" s="191">
        <f>'ІІІ. Рух грош. коштів'!I26</f>
        <v>24969</v>
      </c>
      <c r="F62" s="191">
        <f>'ІІІ. Рух грош. коштів'!E26</f>
        <v>209461</v>
      </c>
      <c r="G62" s="188">
        <v>3328</v>
      </c>
      <c r="H62" s="188">
        <v>3501</v>
      </c>
      <c r="I62" s="188">
        <v>3683</v>
      </c>
      <c r="J62" s="188">
        <v>3867</v>
      </c>
    </row>
    <row r="63" spans="1:10" ht="37.5">
      <c r="A63" s="105" t="s">
        <v>247</v>
      </c>
      <c r="B63" s="98">
        <f>'ІІІ. Рух грош. коштів'!B44</f>
        <v>3320</v>
      </c>
      <c r="C63" s="191">
        <f>'ІІІ. Рух грош. коштів'!C44</f>
        <v>-16132</v>
      </c>
      <c r="D63" s="191">
        <f>'ІІІ. Рух грош. коштів'!D44</f>
        <v>-25000</v>
      </c>
      <c r="E63" s="191">
        <f>'ІІІ. Рух грош. коштів'!I44</f>
        <v>-26870</v>
      </c>
      <c r="F63" s="191">
        <f>'ІІІ. Рух грош. коштів'!E44</f>
        <v>-178711</v>
      </c>
      <c r="G63" s="188">
        <v>-22125</v>
      </c>
      <c r="H63" s="188">
        <v>-23275</v>
      </c>
      <c r="I63" s="188">
        <v>-24486</v>
      </c>
      <c r="J63" s="188">
        <v>-25710</v>
      </c>
    </row>
    <row r="64" spans="1:10" ht="37.5">
      <c r="A64" s="105" t="s">
        <v>159</v>
      </c>
      <c r="B64" s="98">
        <f>'ІІІ. Рух грош. коштів'!B72</f>
        <v>3580</v>
      </c>
      <c r="C64" s="191">
        <f>'ІІІ. Рух грош. коштів'!C72</f>
        <v>69638</v>
      </c>
      <c r="D64" s="191">
        <f>'ІІІ. Рух грош. коштів'!D72</f>
        <v>23634</v>
      </c>
      <c r="E64" s="191">
        <f>'ІІІ. Рух грош. коштів'!I72</f>
        <v>12700</v>
      </c>
      <c r="F64" s="191">
        <f>'ІІІ. Рух грош. коштів'!E72</f>
        <v>-8733</v>
      </c>
      <c r="G64" s="188">
        <v>22010</v>
      </c>
      <c r="H64" s="188">
        <v>23155</v>
      </c>
      <c r="I64" s="188">
        <v>24359</v>
      </c>
      <c r="J64" s="188">
        <v>25577</v>
      </c>
    </row>
    <row r="65" spans="1:10" ht="37.5">
      <c r="A65" s="105" t="s">
        <v>183</v>
      </c>
      <c r="B65" s="98">
        <f>'ІІІ. Рух грош. коштів'!B75</f>
        <v>3610</v>
      </c>
      <c r="C65" s="191">
        <f>'ІІІ. Рух грош. коштів'!C75</f>
        <v>0</v>
      </c>
      <c r="D65" s="191">
        <f>'ІІІ. Рух грош. коштів'!D75</f>
        <v>0</v>
      </c>
      <c r="E65" s="191">
        <f>'ІІІ. Рух грош. коштів'!I75</f>
        <v>0</v>
      </c>
      <c r="F65" s="191">
        <f>'ІІІ. Рух грош. коштів'!E75</f>
        <v>0</v>
      </c>
      <c r="G65" s="188">
        <v>0</v>
      </c>
      <c r="H65" s="188">
        <v>0</v>
      </c>
      <c r="I65" s="188">
        <v>0</v>
      </c>
      <c r="J65" s="188">
        <v>0</v>
      </c>
    </row>
    <row r="66" spans="1:10" ht="20.100000000000001" customHeight="1">
      <c r="A66" s="107" t="s">
        <v>160</v>
      </c>
      <c r="B66" s="98">
        <f>'ІІІ. Рух грош. коштів'!B76</f>
        <v>3620</v>
      </c>
      <c r="C66" s="191">
        <f>'ІІІ. Рух грош. коштів'!C76</f>
        <v>26526</v>
      </c>
      <c r="D66" s="191">
        <f>'ІІІ. Рух грош. коштів'!D76</f>
        <v>41213</v>
      </c>
      <c r="E66" s="191">
        <f>'ІІІ. Рух грош. коштів'!I76</f>
        <v>59342</v>
      </c>
      <c r="F66" s="191">
        <f>'ІІІ. Рух грош. коштів'!E76</f>
        <v>48543</v>
      </c>
      <c r="G66" s="191">
        <f>SUM(G61:G65)</f>
        <v>62555</v>
      </c>
      <c r="H66" s="191">
        <f>SUM(H61:H65)</f>
        <v>65936</v>
      </c>
      <c r="I66" s="191">
        <f>SUM(I61:I65)</f>
        <v>69492</v>
      </c>
      <c r="J66" s="191">
        <f>SUM(J61:J65)</f>
        <v>73226</v>
      </c>
    </row>
    <row r="67" spans="1:10" ht="24.95" customHeight="1">
      <c r="A67" s="332" t="s">
        <v>227</v>
      </c>
      <c r="B67" s="333"/>
      <c r="C67" s="333"/>
      <c r="D67" s="333"/>
      <c r="E67" s="333"/>
      <c r="F67" s="333"/>
      <c r="G67" s="333"/>
      <c r="H67" s="333"/>
      <c r="I67" s="333"/>
      <c r="J67" s="334"/>
    </row>
    <row r="68" spans="1:10" ht="20.100000000000001" customHeight="1">
      <c r="A68" s="105" t="s">
        <v>226</v>
      </c>
      <c r="B68" s="98">
        <f>'IV. Кап. інвестиції'!B6</f>
        <v>4000</v>
      </c>
      <c r="C68" s="191">
        <f>'IV. Кап. інвестиції'!C6</f>
        <v>13443</v>
      </c>
      <c r="D68" s="191">
        <f>'IV. Кап. інвестиції'!D6</f>
        <v>20833</v>
      </c>
      <c r="E68" s="191">
        <f>'IV. Кап. інвестиції'!I6</f>
        <v>22388</v>
      </c>
      <c r="F68" s="191">
        <f>'IV. Кап. інвестиції'!E6</f>
        <v>21875</v>
      </c>
      <c r="G68" s="188">
        <v>18437</v>
      </c>
      <c r="H68" s="188">
        <v>19396</v>
      </c>
      <c r="I68" s="188">
        <v>20405</v>
      </c>
      <c r="J68" s="188">
        <v>21425</v>
      </c>
    </row>
    <row r="69" spans="1:10" ht="24.95" customHeight="1">
      <c r="A69" s="322" t="s">
        <v>230</v>
      </c>
      <c r="B69" s="323"/>
      <c r="C69" s="323"/>
      <c r="D69" s="323"/>
      <c r="E69" s="323"/>
      <c r="F69" s="323"/>
      <c r="G69" s="323"/>
      <c r="H69" s="323"/>
      <c r="I69" s="323"/>
      <c r="J69" s="324"/>
    </row>
    <row r="70" spans="1:10" ht="20.100000000000001" customHeight="1">
      <c r="A70" s="105" t="s">
        <v>186</v>
      </c>
      <c r="B70" s="98">
        <f>' V. Коефіцієнти'!B9</f>
        <v>5020</v>
      </c>
      <c r="C70" s="192">
        <f>' V. Коефіцієнти'!D9</f>
        <v>3.7442806113661382E-5</v>
      </c>
      <c r="D70" s="192">
        <f>D51/D77</f>
        <v>2.4608990484523679E-3</v>
      </c>
      <c r="E70" s="192">
        <f>' V. Коефіцієнти'!G9</f>
        <v>5.7483294058334067E-3</v>
      </c>
      <c r="F70" s="192">
        <f>' V. Коефіцієнти'!F9</f>
        <v>-1.392698264944961E-2</v>
      </c>
      <c r="G70" s="101" t="s">
        <v>238</v>
      </c>
      <c r="H70" s="101" t="s">
        <v>238</v>
      </c>
      <c r="I70" s="101" t="s">
        <v>238</v>
      </c>
      <c r="J70" s="101" t="s">
        <v>238</v>
      </c>
    </row>
    <row r="71" spans="1:10" ht="37.5">
      <c r="A71" s="105" t="s">
        <v>182</v>
      </c>
      <c r="B71" s="98">
        <f>' V. Коефіцієнти'!B10</f>
        <v>5030</v>
      </c>
      <c r="C71" s="192">
        <f>' V. Коефіцієнти'!D10</f>
        <v>3.7838655970939913E-5</v>
      </c>
      <c r="D71" s="192">
        <f>D51/D83</f>
        <v>2.6085510066234511E-3</v>
      </c>
      <c r="E71" s="192">
        <f>' V. Коефіцієнти'!G10</f>
        <v>6.867797585514702E-3</v>
      </c>
      <c r="F71" s="192">
        <f>' V. Коефіцієнти'!F10</f>
        <v>-1.7340409474626159E-2</v>
      </c>
      <c r="G71" s="101" t="s">
        <v>238</v>
      </c>
      <c r="H71" s="101" t="s">
        <v>238</v>
      </c>
      <c r="I71" s="101" t="s">
        <v>238</v>
      </c>
      <c r="J71" s="101" t="s">
        <v>238</v>
      </c>
    </row>
    <row r="72" spans="1:10" ht="20.100000000000001" customHeight="1">
      <c r="A72" s="105" t="s">
        <v>245</v>
      </c>
      <c r="B72" s="98">
        <f>' V. Коефіцієнти'!B14</f>
        <v>5110</v>
      </c>
      <c r="C72" s="192">
        <f>' V. Коефіцієнти'!D14</f>
        <v>94.588403722261987</v>
      </c>
      <c r="D72" s="192">
        <f>D83/(D78+D79)</f>
        <v>16.666890699823576</v>
      </c>
      <c r="E72" s="192">
        <f>' V. Коефіцієнти'!G14</f>
        <v>5.1348752114329113</v>
      </c>
      <c r="F72" s="192">
        <f>' V. Коефіцієнти'!F14</f>
        <v>4.0800589444975968</v>
      </c>
      <c r="G72" s="101" t="s">
        <v>238</v>
      </c>
      <c r="H72" s="101" t="s">
        <v>238</v>
      </c>
      <c r="I72" s="101" t="s">
        <v>238</v>
      </c>
      <c r="J72" s="101" t="s">
        <v>238</v>
      </c>
    </row>
    <row r="73" spans="1:10" ht="24.95" customHeight="1">
      <c r="A73" s="303" t="s">
        <v>229</v>
      </c>
      <c r="B73" s="304"/>
      <c r="C73" s="304"/>
      <c r="D73" s="304"/>
      <c r="E73" s="304"/>
      <c r="F73" s="304"/>
      <c r="G73" s="304"/>
      <c r="H73" s="304"/>
      <c r="I73" s="304"/>
      <c r="J73" s="305"/>
    </row>
    <row r="74" spans="1:10" ht="20.100000000000001" customHeight="1">
      <c r="A74" s="105" t="s">
        <v>161</v>
      </c>
      <c r="B74" s="98">
        <v>6000</v>
      </c>
      <c r="C74" s="188">
        <v>710630</v>
      </c>
      <c r="D74" s="203">
        <v>717480</v>
      </c>
      <c r="E74" s="216">
        <f>F74+E68-'I. Фін результат'!I112</f>
        <v>800093</v>
      </c>
      <c r="F74" s="188">
        <v>797566</v>
      </c>
      <c r="G74" s="108" t="s">
        <v>238</v>
      </c>
      <c r="H74" s="108" t="s">
        <v>238</v>
      </c>
      <c r="I74" s="108" t="s">
        <v>238</v>
      </c>
      <c r="J74" s="108" t="s">
        <v>238</v>
      </c>
    </row>
    <row r="75" spans="1:10" ht="20.100000000000001" customHeight="1">
      <c r="A75" s="105" t="s">
        <v>162</v>
      </c>
      <c r="B75" s="98">
        <v>6010</v>
      </c>
      <c r="C75" s="188">
        <v>90592</v>
      </c>
      <c r="D75" s="203">
        <v>123675</v>
      </c>
      <c r="E75" s="188">
        <v>88513</v>
      </c>
      <c r="F75" s="188">
        <v>126324</v>
      </c>
      <c r="G75" s="108" t="s">
        <v>238</v>
      </c>
      <c r="H75" s="108" t="s">
        <v>238</v>
      </c>
      <c r="I75" s="108" t="s">
        <v>238</v>
      </c>
      <c r="J75" s="108" t="s">
        <v>238</v>
      </c>
    </row>
    <row r="76" spans="1:10" ht="37.5">
      <c r="A76" s="105" t="s">
        <v>276</v>
      </c>
      <c r="B76" s="98">
        <v>6020</v>
      </c>
      <c r="C76" s="188">
        <f>'ІІІ. Рух грош. коштів'!C76</f>
        <v>26526</v>
      </c>
      <c r="D76" s="203">
        <v>13812</v>
      </c>
      <c r="E76" s="188">
        <f>'ІІІ. Рух грош. коштів'!I76</f>
        <v>59342</v>
      </c>
      <c r="F76" s="188">
        <f>'ІІІ. Рух грош. коштів'!E76</f>
        <v>48543</v>
      </c>
      <c r="G76" s="108" t="s">
        <v>238</v>
      </c>
      <c r="H76" s="108" t="s">
        <v>238</v>
      </c>
      <c r="I76" s="108" t="s">
        <v>238</v>
      </c>
      <c r="J76" s="108" t="s">
        <v>238</v>
      </c>
    </row>
    <row r="77" spans="1:10" s="5" customFormat="1" ht="20.100000000000001" customHeight="1">
      <c r="A77" s="107" t="s">
        <v>280</v>
      </c>
      <c r="B77" s="98">
        <v>6030</v>
      </c>
      <c r="C77" s="188">
        <f>C74+C75</f>
        <v>801222</v>
      </c>
      <c r="D77" s="188">
        <f>D74+D75+1</f>
        <v>841156</v>
      </c>
      <c r="E77" s="188">
        <f>E74+E75</f>
        <v>888606</v>
      </c>
      <c r="F77" s="188">
        <f>F74+F75</f>
        <v>923890</v>
      </c>
      <c r="G77" s="108" t="s">
        <v>238</v>
      </c>
      <c r="H77" s="108" t="s">
        <v>238</v>
      </c>
      <c r="I77" s="108" t="s">
        <v>238</v>
      </c>
      <c r="J77" s="108" t="s">
        <v>238</v>
      </c>
    </row>
    <row r="78" spans="1:10" ht="20.100000000000001" customHeight="1">
      <c r="A78" s="105" t="s">
        <v>184</v>
      </c>
      <c r="B78" s="98">
        <v>6040</v>
      </c>
      <c r="C78" s="188">
        <v>0</v>
      </c>
      <c r="D78" s="188">
        <v>6251</v>
      </c>
      <c r="E78" s="188">
        <v>0</v>
      </c>
      <c r="F78" s="188">
        <v>0</v>
      </c>
      <c r="G78" s="108" t="s">
        <v>238</v>
      </c>
      <c r="H78" s="108" t="s">
        <v>238</v>
      </c>
      <c r="I78" s="108" t="s">
        <v>238</v>
      </c>
      <c r="J78" s="108" t="s">
        <v>238</v>
      </c>
    </row>
    <row r="79" spans="1:10" ht="20.100000000000001" customHeight="1">
      <c r="A79" s="105" t="s">
        <v>185</v>
      </c>
      <c r="B79" s="98">
        <v>6050</v>
      </c>
      <c r="C79" s="188">
        <v>8382</v>
      </c>
      <c r="D79" s="188">
        <v>41361</v>
      </c>
      <c r="E79" s="188">
        <v>144845</v>
      </c>
      <c r="F79" s="188">
        <v>181866</v>
      </c>
      <c r="G79" s="108" t="s">
        <v>238</v>
      </c>
      <c r="H79" s="108" t="s">
        <v>238</v>
      </c>
      <c r="I79" s="108" t="s">
        <v>238</v>
      </c>
      <c r="J79" s="108" t="s">
        <v>238</v>
      </c>
    </row>
    <row r="80" spans="1:10" s="5" customFormat="1" ht="20.100000000000001" customHeight="1">
      <c r="A80" s="107" t="s">
        <v>279</v>
      </c>
      <c r="B80" s="98">
        <v>6060</v>
      </c>
      <c r="C80" s="216">
        <f>SUM(C78:C79)</f>
        <v>8382</v>
      </c>
      <c r="D80" s="216">
        <f>SUM(D78:D79)</f>
        <v>47612</v>
      </c>
      <c r="E80" s="216">
        <f>SUM(E78:E79)</f>
        <v>144845</v>
      </c>
      <c r="F80" s="216">
        <f>SUM(F78:F79)</f>
        <v>181866</v>
      </c>
      <c r="G80" s="108" t="s">
        <v>238</v>
      </c>
      <c r="H80" s="108" t="s">
        <v>238</v>
      </c>
      <c r="I80" s="108" t="s">
        <v>238</v>
      </c>
      <c r="J80" s="108" t="s">
        <v>238</v>
      </c>
    </row>
    <row r="81" spans="1:10" ht="20.100000000000001" customHeight="1">
      <c r="A81" s="105" t="s">
        <v>277</v>
      </c>
      <c r="B81" s="98">
        <v>6070</v>
      </c>
      <c r="C81" s="188">
        <v>0</v>
      </c>
      <c r="D81" s="203">
        <v>0</v>
      </c>
      <c r="E81" s="188">
        <v>0</v>
      </c>
      <c r="F81" s="188">
        <v>0</v>
      </c>
      <c r="G81" s="108" t="s">
        <v>238</v>
      </c>
      <c r="H81" s="108" t="s">
        <v>238</v>
      </c>
      <c r="I81" s="108" t="s">
        <v>238</v>
      </c>
      <c r="J81" s="108" t="s">
        <v>238</v>
      </c>
    </row>
    <row r="82" spans="1:10" ht="20.100000000000001" customHeight="1">
      <c r="A82" s="105" t="s">
        <v>278</v>
      </c>
      <c r="B82" s="98">
        <v>6080</v>
      </c>
      <c r="C82" s="188">
        <v>0</v>
      </c>
      <c r="D82" s="203">
        <v>0</v>
      </c>
      <c r="E82" s="188">
        <v>0</v>
      </c>
      <c r="F82" s="188">
        <v>0</v>
      </c>
      <c r="G82" s="108" t="s">
        <v>238</v>
      </c>
      <c r="H82" s="108" t="s">
        <v>238</v>
      </c>
      <c r="I82" s="108" t="s">
        <v>238</v>
      </c>
      <c r="J82" s="108" t="s">
        <v>238</v>
      </c>
    </row>
    <row r="83" spans="1:10" s="5" customFormat="1" ht="20.100000000000001" customHeight="1">
      <c r="A83" s="107" t="s">
        <v>163</v>
      </c>
      <c r="B83" s="98">
        <v>6090</v>
      </c>
      <c r="C83" s="188">
        <v>792840</v>
      </c>
      <c r="D83" s="203">
        <f>D77-D80</f>
        <v>793544</v>
      </c>
      <c r="E83" s="216">
        <f>F83+E51-E54</f>
        <v>743761</v>
      </c>
      <c r="F83" s="188">
        <v>742024</v>
      </c>
      <c r="G83" s="108" t="s">
        <v>238</v>
      </c>
      <c r="H83" s="108" t="s">
        <v>238</v>
      </c>
      <c r="I83" s="108" t="s">
        <v>238</v>
      </c>
      <c r="J83" s="108" t="s">
        <v>238</v>
      </c>
    </row>
    <row r="84" spans="1:10" s="5" customFormat="1" ht="24.95" customHeight="1">
      <c r="A84" s="64"/>
      <c r="B84" s="111"/>
      <c r="C84" s="135"/>
      <c r="D84" s="136"/>
      <c r="E84" s="136"/>
      <c r="F84" s="136"/>
      <c r="G84" s="137"/>
      <c r="H84" s="137"/>
      <c r="I84" s="137"/>
      <c r="J84" s="137"/>
    </row>
    <row r="85" spans="1:10" ht="24.95" customHeight="1">
      <c r="A85" s="115"/>
      <c r="B85" s="111"/>
      <c r="C85" s="137"/>
      <c r="D85" s="138"/>
      <c r="E85" s="138"/>
      <c r="F85" s="138"/>
      <c r="G85" s="138"/>
      <c r="H85" s="138"/>
      <c r="I85" s="138"/>
      <c r="J85" s="138"/>
    </row>
    <row r="86" spans="1:10" ht="56.25">
      <c r="A86" s="139" t="s">
        <v>466</v>
      </c>
      <c r="B86" s="140"/>
      <c r="C86" s="327" t="s">
        <v>120</v>
      </c>
      <c r="D86" s="328"/>
      <c r="E86" s="328"/>
      <c r="F86" s="328"/>
      <c r="G86" s="141"/>
      <c r="H86" s="331" t="s">
        <v>416</v>
      </c>
      <c r="I86" s="331"/>
      <c r="J86" s="331"/>
    </row>
    <row r="87" spans="1:10" s="1" customFormat="1" ht="21" customHeight="1">
      <c r="A87" s="111" t="s">
        <v>84</v>
      </c>
      <c r="B87" s="110"/>
      <c r="C87" s="312" t="s">
        <v>85</v>
      </c>
      <c r="D87" s="312"/>
      <c r="E87" s="312"/>
      <c r="F87" s="312"/>
      <c r="G87" s="142"/>
      <c r="H87" s="313" t="s">
        <v>116</v>
      </c>
      <c r="I87" s="313"/>
      <c r="J87" s="313"/>
    </row>
    <row r="89" spans="1:10">
      <c r="A89" s="48"/>
    </row>
    <row r="90" spans="1:10">
      <c r="A90" s="48"/>
    </row>
    <row r="91" spans="1:10">
      <c r="A91" s="48"/>
    </row>
    <row r="92" spans="1:10" s="22" customFormat="1">
      <c r="A92" s="48"/>
      <c r="G92" s="2"/>
      <c r="H92" s="2"/>
      <c r="I92" s="2"/>
      <c r="J92" s="2"/>
    </row>
    <row r="93" spans="1:10" s="22" customFormat="1">
      <c r="A93" s="48"/>
      <c r="G93" s="2"/>
      <c r="H93" s="2"/>
      <c r="I93" s="2"/>
      <c r="J93" s="2"/>
    </row>
    <row r="94" spans="1:10" s="22" customFormat="1">
      <c r="A94" s="48"/>
      <c r="G94" s="2"/>
      <c r="H94" s="2"/>
      <c r="I94" s="2"/>
      <c r="J94" s="2"/>
    </row>
    <row r="95" spans="1:10" s="22" customFormat="1">
      <c r="A95" s="48"/>
      <c r="G95" s="2"/>
      <c r="H95" s="2"/>
      <c r="I95" s="2"/>
      <c r="J95" s="2"/>
    </row>
    <row r="96" spans="1:10" s="22" customFormat="1">
      <c r="A96" s="48"/>
      <c r="G96" s="2"/>
      <c r="H96" s="2"/>
      <c r="I96" s="2"/>
      <c r="J96" s="2"/>
    </row>
    <row r="97" spans="1:10" s="22" customFormat="1">
      <c r="A97" s="48"/>
      <c r="G97" s="2"/>
      <c r="H97" s="2"/>
      <c r="I97" s="2"/>
      <c r="J97" s="2"/>
    </row>
    <row r="98" spans="1:10" s="22" customFormat="1">
      <c r="A98" s="48"/>
      <c r="G98" s="2"/>
      <c r="H98" s="2"/>
      <c r="I98" s="2"/>
      <c r="J98" s="2"/>
    </row>
    <row r="99" spans="1:10" s="22" customFormat="1">
      <c r="A99" s="48"/>
      <c r="G99" s="2"/>
      <c r="H99" s="2"/>
      <c r="I99" s="2"/>
      <c r="J99" s="2"/>
    </row>
    <row r="100" spans="1:10" s="22" customFormat="1">
      <c r="A100" s="48"/>
      <c r="G100" s="2"/>
      <c r="H100" s="2"/>
      <c r="I100" s="2"/>
      <c r="J100" s="2"/>
    </row>
    <row r="101" spans="1:10" s="22" customFormat="1">
      <c r="A101" s="48"/>
      <c r="G101" s="2"/>
      <c r="H101" s="2"/>
      <c r="I101" s="2"/>
      <c r="J101" s="2"/>
    </row>
    <row r="102" spans="1:10" s="22" customFormat="1">
      <c r="A102" s="48"/>
      <c r="G102" s="2"/>
      <c r="H102" s="2"/>
      <c r="I102" s="2"/>
      <c r="J102" s="2"/>
    </row>
    <row r="103" spans="1:10" s="22" customFormat="1">
      <c r="A103" s="48"/>
      <c r="G103" s="2"/>
      <c r="H103" s="2"/>
      <c r="I103" s="2"/>
      <c r="J103" s="2"/>
    </row>
    <row r="104" spans="1:10" s="22" customFormat="1">
      <c r="A104" s="48"/>
      <c r="G104" s="2"/>
      <c r="H104" s="2"/>
      <c r="I104" s="2"/>
      <c r="J104" s="2"/>
    </row>
    <row r="105" spans="1:10" s="22" customFormat="1">
      <c r="A105" s="48"/>
      <c r="G105" s="2"/>
      <c r="H105" s="2"/>
      <c r="I105" s="2"/>
      <c r="J105" s="2"/>
    </row>
    <row r="106" spans="1:10" s="22" customFormat="1">
      <c r="A106" s="48"/>
      <c r="G106" s="2"/>
      <c r="H106" s="2"/>
      <c r="I106" s="2"/>
      <c r="J106" s="2"/>
    </row>
    <row r="107" spans="1:10" s="22" customFormat="1">
      <c r="A107" s="48"/>
      <c r="G107" s="2"/>
      <c r="H107" s="2"/>
      <c r="I107" s="2"/>
      <c r="J107" s="2"/>
    </row>
    <row r="108" spans="1:10" s="22" customFormat="1">
      <c r="A108" s="48"/>
      <c r="G108" s="2"/>
      <c r="H108" s="2"/>
      <c r="I108" s="2"/>
      <c r="J108" s="2"/>
    </row>
    <row r="109" spans="1:10" s="22" customFormat="1">
      <c r="A109" s="48"/>
      <c r="G109" s="2"/>
      <c r="H109" s="2"/>
      <c r="I109" s="2"/>
      <c r="J109" s="2"/>
    </row>
    <row r="110" spans="1:10" s="22" customFormat="1">
      <c r="A110" s="48"/>
      <c r="G110" s="2"/>
      <c r="H110" s="2"/>
      <c r="I110" s="2"/>
      <c r="J110" s="2"/>
    </row>
    <row r="111" spans="1:10" s="22" customFormat="1">
      <c r="A111" s="48"/>
      <c r="G111" s="2"/>
      <c r="H111" s="2"/>
      <c r="I111" s="2"/>
      <c r="J111" s="2"/>
    </row>
    <row r="112" spans="1:10" s="22" customFormat="1">
      <c r="A112" s="48"/>
      <c r="G112" s="2"/>
      <c r="H112" s="2"/>
      <c r="I112" s="2"/>
      <c r="J112" s="2"/>
    </row>
    <row r="113" spans="1:10" s="22" customFormat="1">
      <c r="A113" s="48"/>
      <c r="G113" s="2"/>
      <c r="H113" s="2"/>
      <c r="I113" s="2"/>
      <c r="J113" s="2"/>
    </row>
    <row r="114" spans="1:10" s="22" customFormat="1">
      <c r="A114" s="48"/>
      <c r="G114" s="2"/>
      <c r="H114" s="2"/>
      <c r="I114" s="2"/>
      <c r="J114" s="2"/>
    </row>
    <row r="115" spans="1:10" s="22" customFormat="1">
      <c r="A115" s="48"/>
      <c r="G115" s="2"/>
      <c r="H115" s="2"/>
      <c r="I115" s="2"/>
      <c r="J115" s="2"/>
    </row>
    <row r="116" spans="1:10" s="22" customFormat="1">
      <c r="A116" s="48"/>
      <c r="G116" s="2"/>
      <c r="H116" s="2"/>
      <c r="I116" s="2"/>
      <c r="J116" s="2"/>
    </row>
    <row r="117" spans="1:10" s="22" customFormat="1">
      <c r="A117" s="48"/>
      <c r="G117" s="2"/>
      <c r="H117" s="2"/>
      <c r="I117" s="2"/>
      <c r="J117" s="2"/>
    </row>
    <row r="118" spans="1:10" s="22" customFormat="1">
      <c r="A118" s="48"/>
      <c r="G118" s="2"/>
      <c r="H118" s="2"/>
      <c r="I118" s="2"/>
      <c r="J118" s="2"/>
    </row>
    <row r="119" spans="1:10" s="22" customFormat="1">
      <c r="A119" s="48"/>
      <c r="G119" s="2"/>
      <c r="H119" s="2"/>
      <c r="I119" s="2"/>
      <c r="J119" s="2"/>
    </row>
    <row r="120" spans="1:10" s="22" customFormat="1">
      <c r="A120" s="48"/>
      <c r="G120" s="2"/>
      <c r="H120" s="2"/>
      <c r="I120" s="2"/>
      <c r="J120" s="2"/>
    </row>
    <row r="121" spans="1:10" s="22" customFormat="1">
      <c r="A121" s="48"/>
      <c r="G121" s="2"/>
      <c r="H121" s="2"/>
      <c r="I121" s="2"/>
      <c r="J121" s="2"/>
    </row>
    <row r="122" spans="1:10" s="22" customFormat="1">
      <c r="A122" s="48"/>
      <c r="G122" s="2"/>
      <c r="H122" s="2"/>
      <c r="I122" s="2"/>
      <c r="J122" s="2"/>
    </row>
    <row r="123" spans="1:10" s="22" customFormat="1">
      <c r="A123" s="48"/>
      <c r="G123" s="2"/>
      <c r="H123" s="2"/>
      <c r="I123" s="2"/>
      <c r="J123" s="2"/>
    </row>
    <row r="124" spans="1:10" s="22" customFormat="1">
      <c r="A124" s="48"/>
      <c r="G124" s="2"/>
      <c r="H124" s="2"/>
      <c r="I124" s="2"/>
      <c r="J124" s="2"/>
    </row>
    <row r="125" spans="1:10" s="22" customFormat="1">
      <c r="A125" s="48"/>
      <c r="G125" s="2"/>
      <c r="H125" s="2"/>
      <c r="I125" s="2"/>
      <c r="J125" s="2"/>
    </row>
    <row r="126" spans="1:10" s="22" customFormat="1">
      <c r="A126" s="48"/>
      <c r="G126" s="2"/>
      <c r="H126" s="2"/>
      <c r="I126" s="2"/>
      <c r="J126" s="2"/>
    </row>
    <row r="127" spans="1:10" s="22" customFormat="1">
      <c r="A127" s="48"/>
      <c r="G127" s="2"/>
      <c r="H127" s="2"/>
      <c r="I127" s="2"/>
      <c r="J127" s="2"/>
    </row>
    <row r="128" spans="1:10" s="22" customFormat="1">
      <c r="A128" s="48"/>
      <c r="G128" s="2"/>
      <c r="H128" s="2"/>
      <c r="I128" s="2"/>
      <c r="J128" s="2"/>
    </row>
    <row r="129" spans="1:10" s="22" customFormat="1">
      <c r="A129" s="48"/>
      <c r="G129" s="2"/>
      <c r="H129" s="2"/>
      <c r="I129" s="2"/>
      <c r="J129" s="2"/>
    </row>
    <row r="130" spans="1:10" s="22" customFormat="1">
      <c r="A130" s="48"/>
      <c r="G130" s="2"/>
      <c r="H130" s="2"/>
      <c r="I130" s="2"/>
      <c r="J130" s="2"/>
    </row>
    <row r="131" spans="1:10" s="22" customFormat="1">
      <c r="A131" s="48"/>
      <c r="G131" s="2"/>
      <c r="H131" s="2"/>
      <c r="I131" s="2"/>
      <c r="J131" s="2"/>
    </row>
    <row r="132" spans="1:10" s="22" customFormat="1">
      <c r="A132" s="48"/>
      <c r="G132" s="2"/>
      <c r="H132" s="2"/>
      <c r="I132" s="2"/>
      <c r="J132" s="2"/>
    </row>
    <row r="133" spans="1:10" s="22" customFormat="1">
      <c r="A133" s="48"/>
      <c r="G133" s="2"/>
      <c r="H133" s="2"/>
      <c r="I133" s="2"/>
      <c r="J133" s="2"/>
    </row>
    <row r="134" spans="1:10" s="22" customFormat="1">
      <c r="A134" s="48"/>
      <c r="G134" s="2"/>
      <c r="H134" s="2"/>
      <c r="I134" s="2"/>
      <c r="J134" s="2"/>
    </row>
    <row r="135" spans="1:10" s="22" customFormat="1">
      <c r="A135" s="48"/>
      <c r="G135" s="2"/>
      <c r="H135" s="2"/>
      <c r="I135" s="2"/>
      <c r="J135" s="2"/>
    </row>
    <row r="136" spans="1:10" s="22" customFormat="1">
      <c r="A136" s="48"/>
      <c r="G136" s="2"/>
      <c r="H136" s="2"/>
      <c r="I136" s="2"/>
      <c r="J136" s="2"/>
    </row>
    <row r="137" spans="1:10" s="22" customFormat="1">
      <c r="A137" s="48"/>
      <c r="G137" s="2"/>
      <c r="H137" s="2"/>
      <c r="I137" s="2"/>
      <c r="J137" s="2"/>
    </row>
    <row r="138" spans="1:10" s="22" customFormat="1">
      <c r="A138" s="48"/>
      <c r="G138" s="2"/>
      <c r="H138" s="2"/>
      <c r="I138" s="2"/>
      <c r="J138" s="2"/>
    </row>
    <row r="139" spans="1:10" s="22" customFormat="1">
      <c r="A139" s="48"/>
      <c r="G139" s="2"/>
      <c r="H139" s="2"/>
      <c r="I139" s="2"/>
      <c r="J139" s="2"/>
    </row>
    <row r="140" spans="1:10" s="22" customFormat="1">
      <c r="A140" s="48"/>
      <c r="G140" s="2"/>
      <c r="H140" s="2"/>
      <c r="I140" s="2"/>
      <c r="J140" s="2"/>
    </row>
    <row r="141" spans="1:10" s="22" customFormat="1">
      <c r="A141" s="48"/>
      <c r="G141" s="2"/>
      <c r="H141" s="2"/>
      <c r="I141" s="2"/>
      <c r="J141" s="2"/>
    </row>
    <row r="142" spans="1:10" s="22" customFormat="1">
      <c r="A142" s="48"/>
      <c r="G142" s="2"/>
      <c r="H142" s="2"/>
      <c r="I142" s="2"/>
      <c r="J142" s="2"/>
    </row>
    <row r="143" spans="1:10" s="22" customFormat="1">
      <c r="A143" s="48"/>
      <c r="G143" s="2"/>
      <c r="H143" s="2"/>
      <c r="I143" s="2"/>
      <c r="J143" s="2"/>
    </row>
    <row r="144" spans="1:10" s="22" customFormat="1">
      <c r="A144" s="48"/>
      <c r="G144" s="2"/>
      <c r="H144" s="2"/>
      <c r="I144" s="2"/>
      <c r="J144" s="2"/>
    </row>
    <row r="145" spans="1:10" s="22" customFormat="1">
      <c r="A145" s="48"/>
      <c r="G145" s="2"/>
      <c r="H145" s="2"/>
      <c r="I145" s="2"/>
      <c r="J145" s="2"/>
    </row>
    <row r="146" spans="1:10" s="22" customFormat="1">
      <c r="A146" s="48"/>
      <c r="G146" s="2"/>
      <c r="H146" s="2"/>
      <c r="I146" s="2"/>
      <c r="J146" s="2"/>
    </row>
    <row r="147" spans="1:10" s="22" customFormat="1">
      <c r="A147" s="48"/>
      <c r="G147" s="2"/>
      <c r="H147" s="2"/>
      <c r="I147" s="2"/>
      <c r="J147" s="2"/>
    </row>
    <row r="148" spans="1:10" s="22" customFormat="1">
      <c r="A148" s="48"/>
      <c r="G148" s="2"/>
      <c r="H148" s="2"/>
      <c r="I148" s="2"/>
      <c r="J148" s="2"/>
    </row>
    <row r="149" spans="1:10" s="22" customFormat="1">
      <c r="A149" s="48"/>
      <c r="G149" s="2"/>
      <c r="H149" s="2"/>
      <c r="I149" s="2"/>
      <c r="J149" s="2"/>
    </row>
    <row r="150" spans="1:10" s="22" customFormat="1">
      <c r="A150" s="48"/>
      <c r="G150" s="2"/>
      <c r="H150" s="2"/>
      <c r="I150" s="2"/>
      <c r="J150" s="2"/>
    </row>
    <row r="151" spans="1:10" s="22" customFormat="1">
      <c r="A151" s="48"/>
      <c r="G151" s="2"/>
      <c r="H151" s="2"/>
      <c r="I151" s="2"/>
      <c r="J151" s="2"/>
    </row>
    <row r="152" spans="1:10" s="22" customFormat="1">
      <c r="A152" s="48"/>
      <c r="G152" s="2"/>
      <c r="H152" s="2"/>
      <c r="I152" s="2"/>
      <c r="J152" s="2"/>
    </row>
    <row r="153" spans="1:10" s="22" customFormat="1">
      <c r="A153" s="48"/>
      <c r="G153" s="2"/>
      <c r="H153" s="2"/>
      <c r="I153" s="2"/>
      <c r="J153" s="2"/>
    </row>
    <row r="154" spans="1:10" s="22" customFormat="1">
      <c r="A154" s="48"/>
      <c r="G154" s="2"/>
      <c r="H154" s="2"/>
      <c r="I154" s="2"/>
      <c r="J154" s="2"/>
    </row>
    <row r="155" spans="1:10" s="22" customFormat="1">
      <c r="A155" s="48"/>
      <c r="G155" s="2"/>
      <c r="H155" s="2"/>
      <c r="I155" s="2"/>
      <c r="J155" s="2"/>
    </row>
    <row r="156" spans="1:10" s="22" customFormat="1">
      <c r="A156" s="48"/>
      <c r="G156" s="2"/>
      <c r="H156" s="2"/>
      <c r="I156" s="2"/>
      <c r="J156" s="2"/>
    </row>
    <row r="157" spans="1:10" s="22" customFormat="1">
      <c r="A157" s="48"/>
      <c r="G157" s="2"/>
      <c r="H157" s="2"/>
      <c r="I157" s="2"/>
      <c r="J157" s="2"/>
    </row>
    <row r="158" spans="1:10" s="22" customFormat="1">
      <c r="A158" s="48"/>
      <c r="G158" s="2"/>
      <c r="H158" s="2"/>
      <c r="I158" s="2"/>
      <c r="J158" s="2"/>
    </row>
    <row r="159" spans="1:10" s="22" customFormat="1">
      <c r="A159" s="48"/>
      <c r="G159" s="2"/>
      <c r="H159" s="2"/>
      <c r="I159" s="2"/>
      <c r="J159" s="2"/>
    </row>
    <row r="160" spans="1:10" s="22" customFormat="1">
      <c r="A160" s="48"/>
      <c r="G160" s="2"/>
      <c r="H160" s="2"/>
      <c r="I160" s="2"/>
      <c r="J160" s="2"/>
    </row>
    <row r="161" spans="1:10" s="22" customFormat="1">
      <c r="A161" s="48"/>
      <c r="G161" s="2"/>
      <c r="H161" s="2"/>
      <c r="I161" s="2"/>
      <c r="J161" s="2"/>
    </row>
    <row r="162" spans="1:10" s="22" customFormat="1">
      <c r="A162" s="48"/>
      <c r="G162" s="2"/>
      <c r="H162" s="2"/>
      <c r="I162" s="2"/>
      <c r="J162" s="2"/>
    </row>
    <row r="163" spans="1:10" s="22" customFormat="1">
      <c r="A163" s="48"/>
      <c r="G163" s="2"/>
      <c r="H163" s="2"/>
      <c r="I163" s="2"/>
      <c r="J163" s="2"/>
    </row>
    <row r="164" spans="1:10" s="22" customFormat="1">
      <c r="A164" s="48"/>
      <c r="G164" s="2"/>
      <c r="H164" s="2"/>
      <c r="I164" s="2"/>
      <c r="J164" s="2"/>
    </row>
    <row r="165" spans="1:10" s="22" customFormat="1">
      <c r="A165" s="48"/>
      <c r="G165" s="2"/>
      <c r="H165" s="2"/>
      <c r="I165" s="2"/>
      <c r="J165" s="2"/>
    </row>
    <row r="166" spans="1:10" s="22" customFormat="1">
      <c r="A166" s="48"/>
      <c r="G166" s="2"/>
      <c r="H166" s="2"/>
      <c r="I166" s="2"/>
      <c r="J166" s="2"/>
    </row>
    <row r="167" spans="1:10" s="22" customFormat="1">
      <c r="A167" s="48"/>
      <c r="G167" s="2"/>
      <c r="H167" s="2"/>
      <c r="I167" s="2"/>
      <c r="J167" s="2"/>
    </row>
    <row r="168" spans="1:10" s="22" customFormat="1">
      <c r="A168" s="48"/>
      <c r="G168" s="2"/>
      <c r="H168" s="2"/>
      <c r="I168" s="2"/>
      <c r="J168" s="2"/>
    </row>
    <row r="169" spans="1:10" s="22" customFormat="1">
      <c r="A169" s="48"/>
      <c r="G169" s="2"/>
      <c r="H169" s="2"/>
      <c r="I169" s="2"/>
      <c r="J169" s="2"/>
    </row>
    <row r="170" spans="1:10" s="22" customFormat="1">
      <c r="A170" s="48"/>
      <c r="G170" s="2"/>
      <c r="H170" s="2"/>
      <c r="I170" s="2"/>
      <c r="J170" s="2"/>
    </row>
    <row r="171" spans="1:10" s="22" customFormat="1">
      <c r="A171" s="48"/>
      <c r="G171" s="2"/>
      <c r="H171" s="2"/>
      <c r="I171" s="2"/>
      <c r="J171" s="2"/>
    </row>
    <row r="172" spans="1:10" s="22" customFormat="1">
      <c r="A172" s="48"/>
      <c r="G172" s="2"/>
      <c r="H172" s="2"/>
      <c r="I172" s="2"/>
      <c r="J172" s="2"/>
    </row>
    <row r="173" spans="1:10" s="22" customFormat="1">
      <c r="A173" s="48"/>
      <c r="G173" s="2"/>
      <c r="H173" s="2"/>
      <c r="I173" s="2"/>
      <c r="J173" s="2"/>
    </row>
    <row r="174" spans="1:10" s="22" customFormat="1">
      <c r="A174" s="48"/>
      <c r="G174" s="2"/>
      <c r="H174" s="2"/>
      <c r="I174" s="2"/>
      <c r="J174" s="2"/>
    </row>
    <row r="175" spans="1:10" s="22" customFormat="1">
      <c r="A175" s="48"/>
      <c r="G175" s="2"/>
      <c r="H175" s="2"/>
      <c r="I175" s="2"/>
      <c r="J175" s="2"/>
    </row>
    <row r="176" spans="1:10" s="22" customFormat="1">
      <c r="A176" s="48"/>
      <c r="G176" s="2"/>
      <c r="H176" s="2"/>
      <c r="I176" s="2"/>
      <c r="J176" s="2"/>
    </row>
    <row r="177" spans="1:10" s="22" customFormat="1">
      <c r="A177" s="48"/>
      <c r="G177" s="2"/>
      <c r="H177" s="2"/>
      <c r="I177" s="2"/>
      <c r="J177" s="2"/>
    </row>
    <row r="178" spans="1:10" s="22" customFormat="1">
      <c r="A178" s="48"/>
      <c r="G178" s="2"/>
      <c r="H178" s="2"/>
      <c r="I178" s="2"/>
      <c r="J178" s="2"/>
    </row>
    <row r="179" spans="1:10" s="22" customFormat="1">
      <c r="A179" s="48"/>
      <c r="G179" s="2"/>
      <c r="H179" s="2"/>
      <c r="I179" s="2"/>
      <c r="J179" s="2"/>
    </row>
    <row r="180" spans="1:10" s="22" customFormat="1">
      <c r="A180" s="48"/>
      <c r="G180" s="2"/>
      <c r="H180" s="2"/>
      <c r="I180" s="2"/>
      <c r="J180" s="2"/>
    </row>
    <row r="181" spans="1:10" s="22" customFormat="1">
      <c r="A181" s="48"/>
      <c r="G181" s="2"/>
      <c r="H181" s="2"/>
      <c r="I181" s="2"/>
      <c r="J181" s="2"/>
    </row>
    <row r="182" spans="1:10" s="22" customFormat="1">
      <c r="A182" s="48"/>
      <c r="G182" s="2"/>
      <c r="H182" s="2"/>
      <c r="I182" s="2"/>
      <c r="J182" s="2"/>
    </row>
    <row r="183" spans="1:10" s="22" customFormat="1">
      <c r="A183" s="48"/>
      <c r="G183" s="2"/>
      <c r="H183" s="2"/>
      <c r="I183" s="2"/>
      <c r="J183" s="2"/>
    </row>
    <row r="184" spans="1:10" s="22" customFormat="1">
      <c r="A184" s="48"/>
      <c r="G184" s="2"/>
      <c r="H184" s="2"/>
      <c r="I184" s="2"/>
      <c r="J184" s="2"/>
    </row>
    <row r="185" spans="1:10" s="22" customFormat="1">
      <c r="A185" s="48"/>
      <c r="G185" s="2"/>
      <c r="H185" s="2"/>
      <c r="I185" s="2"/>
      <c r="J185" s="2"/>
    </row>
    <row r="186" spans="1:10" s="22" customFormat="1">
      <c r="A186" s="48"/>
      <c r="G186" s="2"/>
      <c r="H186" s="2"/>
      <c r="I186" s="2"/>
      <c r="J186" s="2"/>
    </row>
    <row r="187" spans="1:10" s="22" customFormat="1">
      <c r="A187" s="48"/>
      <c r="G187" s="2"/>
      <c r="H187" s="2"/>
      <c r="I187" s="2"/>
      <c r="J187" s="2"/>
    </row>
    <row r="188" spans="1:10" s="22" customFormat="1">
      <c r="A188" s="48"/>
      <c r="G188" s="2"/>
      <c r="H188" s="2"/>
      <c r="I188" s="2"/>
      <c r="J188" s="2"/>
    </row>
    <row r="189" spans="1:10" s="22" customFormat="1">
      <c r="A189" s="48"/>
      <c r="G189" s="2"/>
      <c r="H189" s="2"/>
      <c r="I189" s="2"/>
      <c r="J189" s="2"/>
    </row>
    <row r="190" spans="1:10" s="22" customFormat="1">
      <c r="A190" s="48"/>
      <c r="G190" s="2"/>
      <c r="H190" s="2"/>
      <c r="I190" s="2"/>
      <c r="J190" s="2"/>
    </row>
    <row r="191" spans="1:10" s="22" customFormat="1">
      <c r="A191" s="48"/>
      <c r="G191" s="2"/>
      <c r="H191" s="2"/>
      <c r="I191" s="2"/>
      <c r="J191" s="2"/>
    </row>
    <row r="192" spans="1:10" s="22" customFormat="1">
      <c r="A192" s="48"/>
      <c r="G192" s="2"/>
      <c r="H192" s="2"/>
      <c r="I192" s="2"/>
      <c r="J192" s="2"/>
    </row>
    <row r="193" spans="1:10" s="22" customFormat="1">
      <c r="A193" s="48"/>
      <c r="G193" s="2"/>
      <c r="H193" s="2"/>
      <c r="I193" s="2"/>
      <c r="J193" s="2"/>
    </row>
    <row r="194" spans="1:10" s="22" customFormat="1">
      <c r="A194" s="48"/>
      <c r="G194" s="2"/>
      <c r="H194" s="2"/>
      <c r="I194" s="2"/>
      <c r="J194" s="2"/>
    </row>
    <row r="195" spans="1:10" s="22" customFormat="1">
      <c r="A195" s="48"/>
      <c r="G195" s="2"/>
      <c r="H195" s="2"/>
      <c r="I195" s="2"/>
      <c r="J195" s="2"/>
    </row>
    <row r="196" spans="1:10" s="22" customFormat="1">
      <c r="A196" s="48"/>
      <c r="G196" s="2"/>
      <c r="H196" s="2"/>
      <c r="I196" s="2"/>
      <c r="J196" s="2"/>
    </row>
    <row r="197" spans="1:10" s="22" customFormat="1">
      <c r="A197" s="48"/>
      <c r="G197" s="2"/>
      <c r="H197" s="2"/>
      <c r="I197" s="2"/>
      <c r="J197" s="2"/>
    </row>
    <row r="198" spans="1:10" s="22" customFormat="1">
      <c r="A198" s="48"/>
      <c r="G198" s="2"/>
      <c r="H198" s="2"/>
      <c r="I198" s="2"/>
      <c r="J198" s="2"/>
    </row>
    <row r="199" spans="1:10" s="22" customFormat="1">
      <c r="A199" s="48"/>
      <c r="G199" s="2"/>
      <c r="H199" s="2"/>
      <c r="I199" s="2"/>
      <c r="J199" s="2"/>
    </row>
    <row r="200" spans="1:10" s="22" customFormat="1">
      <c r="A200" s="48"/>
      <c r="G200" s="2"/>
      <c r="H200" s="2"/>
      <c r="I200" s="2"/>
      <c r="J200" s="2"/>
    </row>
    <row r="201" spans="1:10" s="22" customFormat="1">
      <c r="A201" s="48"/>
      <c r="G201" s="2"/>
      <c r="H201" s="2"/>
      <c r="I201" s="2"/>
      <c r="J201" s="2"/>
    </row>
    <row r="202" spans="1:10" s="22" customFormat="1">
      <c r="A202" s="48"/>
      <c r="G202" s="2"/>
      <c r="H202" s="2"/>
      <c r="I202" s="2"/>
      <c r="J202" s="2"/>
    </row>
    <row r="203" spans="1:10" s="22" customFormat="1">
      <c r="A203" s="48"/>
      <c r="G203" s="2"/>
      <c r="H203" s="2"/>
      <c r="I203" s="2"/>
      <c r="J203" s="2"/>
    </row>
    <row r="204" spans="1:10" s="22" customFormat="1">
      <c r="A204" s="48"/>
      <c r="G204" s="2"/>
      <c r="H204" s="2"/>
      <c r="I204" s="2"/>
      <c r="J204" s="2"/>
    </row>
    <row r="205" spans="1:10" s="22" customFormat="1">
      <c r="A205" s="48"/>
      <c r="G205" s="2"/>
      <c r="H205" s="2"/>
      <c r="I205" s="2"/>
      <c r="J205" s="2"/>
    </row>
    <row r="206" spans="1:10" s="22" customFormat="1">
      <c r="A206" s="48"/>
      <c r="G206" s="2"/>
      <c r="H206" s="2"/>
      <c r="I206" s="2"/>
      <c r="J206" s="2"/>
    </row>
    <row r="207" spans="1:10" s="22" customFormat="1">
      <c r="A207" s="48"/>
      <c r="G207" s="2"/>
      <c r="H207" s="2"/>
      <c r="I207" s="2"/>
      <c r="J207" s="2"/>
    </row>
    <row r="208" spans="1:10" s="22" customFormat="1">
      <c r="A208" s="48"/>
      <c r="G208" s="2"/>
      <c r="H208" s="2"/>
      <c r="I208" s="2"/>
      <c r="J208" s="2"/>
    </row>
    <row r="209" spans="1:10" s="22" customFormat="1">
      <c r="A209" s="48"/>
      <c r="G209" s="2"/>
      <c r="H209" s="2"/>
      <c r="I209" s="2"/>
      <c r="J209" s="2"/>
    </row>
    <row r="210" spans="1:10" s="22" customFormat="1">
      <c r="A210" s="48"/>
      <c r="G210" s="2"/>
      <c r="H210" s="2"/>
      <c r="I210" s="2"/>
      <c r="J210" s="2"/>
    </row>
    <row r="211" spans="1:10" s="22" customFormat="1">
      <c r="A211" s="48"/>
      <c r="G211" s="2"/>
      <c r="H211" s="2"/>
      <c r="I211" s="2"/>
      <c r="J211" s="2"/>
    </row>
    <row r="212" spans="1:10" s="22" customFormat="1">
      <c r="A212" s="48"/>
      <c r="G212" s="2"/>
      <c r="H212" s="2"/>
      <c r="I212" s="2"/>
      <c r="J212" s="2"/>
    </row>
    <row r="213" spans="1:10" s="22" customFormat="1">
      <c r="A213" s="48"/>
      <c r="G213" s="2"/>
      <c r="H213" s="2"/>
      <c r="I213" s="2"/>
      <c r="J213" s="2"/>
    </row>
    <row r="214" spans="1:10" s="22" customFormat="1">
      <c r="A214" s="48"/>
      <c r="G214" s="2"/>
      <c r="H214" s="2"/>
      <c r="I214" s="2"/>
      <c r="J214" s="2"/>
    </row>
    <row r="215" spans="1:10" s="22" customFormat="1">
      <c r="A215" s="48"/>
      <c r="G215" s="2"/>
      <c r="H215" s="2"/>
      <c r="I215" s="2"/>
      <c r="J215" s="2"/>
    </row>
    <row r="216" spans="1:10" s="22" customFormat="1">
      <c r="A216" s="48"/>
      <c r="G216" s="2"/>
      <c r="H216" s="2"/>
      <c r="I216" s="2"/>
      <c r="J216" s="2"/>
    </row>
    <row r="217" spans="1:10" s="22" customFormat="1">
      <c r="A217" s="48"/>
      <c r="G217" s="2"/>
      <c r="H217" s="2"/>
      <c r="I217" s="2"/>
      <c r="J217" s="2"/>
    </row>
    <row r="218" spans="1:10" s="22" customFormat="1">
      <c r="A218" s="48"/>
      <c r="G218" s="2"/>
      <c r="H218" s="2"/>
      <c r="I218" s="2"/>
      <c r="J218" s="2"/>
    </row>
    <row r="219" spans="1:10" s="22" customFormat="1">
      <c r="A219" s="48"/>
      <c r="G219" s="2"/>
      <c r="H219" s="2"/>
      <c r="I219" s="2"/>
      <c r="J219" s="2"/>
    </row>
    <row r="220" spans="1:10" s="22" customFormat="1">
      <c r="A220" s="48"/>
      <c r="G220" s="2"/>
      <c r="H220" s="2"/>
      <c r="I220" s="2"/>
      <c r="J220" s="2"/>
    </row>
    <row r="221" spans="1:10" s="22" customFormat="1">
      <c r="A221" s="48"/>
      <c r="G221" s="2"/>
      <c r="H221" s="2"/>
      <c r="I221" s="2"/>
      <c r="J221" s="2"/>
    </row>
    <row r="222" spans="1:10" s="22" customFormat="1">
      <c r="A222" s="48"/>
      <c r="G222" s="2"/>
      <c r="H222" s="2"/>
      <c r="I222" s="2"/>
      <c r="J222" s="2"/>
    </row>
    <row r="223" spans="1:10" s="22" customFormat="1">
      <c r="A223" s="48"/>
      <c r="G223" s="2"/>
      <c r="H223" s="2"/>
      <c r="I223" s="2"/>
      <c r="J223" s="2"/>
    </row>
    <row r="224" spans="1:10" s="22" customFormat="1">
      <c r="A224" s="48"/>
      <c r="G224" s="2"/>
      <c r="H224" s="2"/>
      <c r="I224" s="2"/>
      <c r="J224" s="2"/>
    </row>
    <row r="225" spans="1:10" s="22" customFormat="1">
      <c r="A225" s="48"/>
      <c r="G225" s="2"/>
      <c r="H225" s="2"/>
      <c r="I225" s="2"/>
      <c r="J225" s="2"/>
    </row>
    <row r="226" spans="1:10" s="22" customFormat="1">
      <c r="A226" s="48"/>
      <c r="G226" s="2"/>
      <c r="H226" s="2"/>
      <c r="I226" s="2"/>
      <c r="J226" s="2"/>
    </row>
    <row r="227" spans="1:10" s="22" customFormat="1">
      <c r="A227" s="48"/>
      <c r="G227" s="2"/>
      <c r="H227" s="2"/>
      <c r="I227" s="2"/>
      <c r="J227" s="2"/>
    </row>
    <row r="228" spans="1:10" s="22" customFormat="1">
      <c r="A228" s="48"/>
      <c r="G228" s="2"/>
      <c r="H228" s="2"/>
      <c r="I228" s="2"/>
      <c r="J228" s="2"/>
    </row>
    <row r="229" spans="1:10" s="22" customFormat="1">
      <c r="A229" s="48"/>
      <c r="G229" s="2"/>
      <c r="H229" s="2"/>
      <c r="I229" s="2"/>
      <c r="J229" s="2"/>
    </row>
    <row r="230" spans="1:10" s="22" customFormat="1">
      <c r="A230" s="48"/>
      <c r="G230" s="2"/>
      <c r="H230" s="2"/>
      <c r="I230" s="2"/>
      <c r="J230" s="2"/>
    </row>
    <row r="231" spans="1:10" s="22" customFormat="1">
      <c r="A231" s="48"/>
      <c r="G231" s="2"/>
      <c r="H231" s="2"/>
      <c r="I231" s="2"/>
      <c r="J231" s="2"/>
    </row>
    <row r="232" spans="1:10" s="22" customFormat="1">
      <c r="A232" s="48"/>
      <c r="G232" s="2"/>
      <c r="H232" s="2"/>
      <c r="I232" s="2"/>
      <c r="J232" s="2"/>
    </row>
    <row r="233" spans="1:10" s="22" customFormat="1">
      <c r="A233" s="48"/>
      <c r="G233" s="2"/>
      <c r="H233" s="2"/>
      <c r="I233" s="2"/>
      <c r="J233" s="2"/>
    </row>
    <row r="234" spans="1:10" s="22" customFormat="1">
      <c r="A234" s="48"/>
      <c r="G234" s="2"/>
      <c r="H234" s="2"/>
      <c r="I234" s="2"/>
      <c r="J234" s="2"/>
    </row>
    <row r="235" spans="1:10" s="22" customFormat="1">
      <c r="A235" s="48"/>
      <c r="G235" s="2"/>
      <c r="H235" s="2"/>
      <c r="I235" s="2"/>
      <c r="J235" s="2"/>
    </row>
    <row r="236" spans="1:10" s="22" customFormat="1">
      <c r="A236" s="48"/>
      <c r="G236" s="2"/>
      <c r="H236" s="2"/>
      <c r="I236" s="2"/>
      <c r="J236" s="2"/>
    </row>
    <row r="237" spans="1:10" s="22" customFormat="1">
      <c r="A237" s="48"/>
      <c r="G237" s="2"/>
      <c r="H237" s="2"/>
      <c r="I237" s="2"/>
      <c r="J237" s="2"/>
    </row>
    <row r="238" spans="1:10" s="22" customFormat="1">
      <c r="A238" s="48"/>
      <c r="G238" s="2"/>
      <c r="H238" s="2"/>
      <c r="I238" s="2"/>
      <c r="J238" s="2"/>
    </row>
    <row r="239" spans="1:10" s="22" customFormat="1">
      <c r="A239" s="48"/>
      <c r="G239" s="2"/>
      <c r="H239" s="2"/>
      <c r="I239" s="2"/>
      <c r="J239" s="2"/>
    </row>
    <row r="240" spans="1:10" s="22" customFormat="1">
      <c r="A240" s="48"/>
      <c r="G240" s="2"/>
      <c r="H240" s="2"/>
      <c r="I240" s="2"/>
      <c r="J240" s="2"/>
    </row>
    <row r="241" spans="1:10" s="22" customFormat="1">
      <c r="A241" s="48"/>
      <c r="G241" s="2"/>
      <c r="H241" s="2"/>
      <c r="I241" s="2"/>
      <c r="J241" s="2"/>
    </row>
    <row r="242" spans="1:10" s="22" customFormat="1">
      <c r="A242" s="48"/>
      <c r="G242" s="2"/>
      <c r="H242" s="2"/>
      <c r="I242" s="2"/>
      <c r="J242" s="2"/>
    </row>
    <row r="243" spans="1:10" s="22" customFormat="1">
      <c r="A243" s="48"/>
      <c r="G243" s="2"/>
      <c r="H243" s="2"/>
      <c r="I243" s="2"/>
      <c r="J243" s="2"/>
    </row>
    <row r="244" spans="1:10" s="22" customFormat="1">
      <c r="A244" s="48"/>
      <c r="G244" s="2"/>
      <c r="H244" s="2"/>
      <c r="I244" s="2"/>
      <c r="J244" s="2"/>
    </row>
    <row r="245" spans="1:10" s="22" customFormat="1">
      <c r="A245" s="48"/>
      <c r="G245" s="2"/>
      <c r="H245" s="2"/>
      <c r="I245" s="2"/>
      <c r="J245" s="2"/>
    </row>
    <row r="246" spans="1:10" s="22" customFormat="1">
      <c r="A246" s="48"/>
      <c r="G246" s="2"/>
      <c r="H246" s="2"/>
      <c r="I246" s="2"/>
      <c r="J246" s="2"/>
    </row>
    <row r="247" spans="1:10" s="22" customFormat="1">
      <c r="A247" s="48"/>
      <c r="G247" s="2"/>
      <c r="H247" s="2"/>
      <c r="I247" s="2"/>
      <c r="J247" s="2"/>
    </row>
    <row r="248" spans="1:10" s="22" customFormat="1">
      <c r="A248" s="48"/>
      <c r="G248" s="2"/>
      <c r="H248" s="2"/>
      <c r="I248" s="2"/>
      <c r="J248" s="2"/>
    </row>
    <row r="249" spans="1:10" s="22" customFormat="1">
      <c r="A249" s="48"/>
      <c r="G249" s="2"/>
      <c r="H249" s="2"/>
      <c r="I249" s="2"/>
      <c r="J249" s="2"/>
    </row>
    <row r="250" spans="1:10" s="22" customFormat="1">
      <c r="A250" s="48"/>
      <c r="G250" s="2"/>
      <c r="H250" s="2"/>
      <c r="I250" s="2"/>
      <c r="J250" s="2"/>
    </row>
    <row r="251" spans="1:10" s="22" customFormat="1">
      <c r="A251" s="48"/>
      <c r="G251" s="2"/>
      <c r="H251" s="2"/>
      <c r="I251" s="2"/>
      <c r="J251" s="2"/>
    </row>
    <row r="252" spans="1:10" s="22" customFormat="1">
      <c r="A252" s="48"/>
      <c r="G252" s="2"/>
      <c r="H252" s="2"/>
      <c r="I252" s="2"/>
      <c r="J252" s="2"/>
    </row>
    <row r="253" spans="1:10" s="22" customFormat="1">
      <c r="A253" s="48"/>
      <c r="G253" s="2"/>
      <c r="H253" s="2"/>
      <c r="I253" s="2"/>
      <c r="J253" s="2"/>
    </row>
    <row r="254" spans="1:10" s="22" customFormat="1">
      <c r="A254" s="48"/>
      <c r="G254" s="2"/>
      <c r="H254" s="2"/>
      <c r="I254" s="2"/>
      <c r="J254" s="2"/>
    </row>
    <row r="255" spans="1:10" s="22" customFormat="1">
      <c r="A255" s="48"/>
      <c r="G255" s="2"/>
      <c r="H255" s="2"/>
      <c r="I255" s="2"/>
      <c r="J255" s="2"/>
    </row>
    <row r="256" spans="1:10" s="22" customFormat="1">
      <c r="A256" s="48"/>
      <c r="G256" s="2"/>
      <c r="H256" s="2"/>
      <c r="I256" s="2"/>
      <c r="J256" s="2"/>
    </row>
  </sheetData>
  <sheetProtection password="C6FB" sheet="1" formatCells="0" formatColumns="0" formatRows="0"/>
  <mergeCells count="46">
    <mergeCell ref="C87:F87"/>
    <mergeCell ref="H87:J87"/>
    <mergeCell ref="A34:A35"/>
    <mergeCell ref="B34:B35"/>
    <mergeCell ref="E34:E35"/>
    <mergeCell ref="G34:J34"/>
    <mergeCell ref="A37:J37"/>
    <mergeCell ref="A69:J69"/>
    <mergeCell ref="C34:C35"/>
    <mergeCell ref="C86:F86"/>
    <mergeCell ref="F34:F35"/>
    <mergeCell ref="H86:J86"/>
    <mergeCell ref="D34:D35"/>
    <mergeCell ref="A67:J67"/>
    <mergeCell ref="A60:J60"/>
    <mergeCell ref="A73:J73"/>
    <mergeCell ref="B23:F23"/>
    <mergeCell ref="B17:F17"/>
    <mergeCell ref="F6:J6"/>
    <mergeCell ref="F8:J8"/>
    <mergeCell ref="F9:J9"/>
    <mergeCell ref="F11:J11"/>
    <mergeCell ref="G23:I23"/>
    <mergeCell ref="B18:F18"/>
    <mergeCell ref="B19:F19"/>
    <mergeCell ref="B20:F20"/>
    <mergeCell ref="B21:F21"/>
    <mergeCell ref="A22:F22"/>
    <mergeCell ref="G22:I22"/>
    <mergeCell ref="B16:F16"/>
    <mergeCell ref="B15:F15"/>
    <mergeCell ref="A6:B7"/>
    <mergeCell ref="A53:J53"/>
    <mergeCell ref="A24:F24"/>
    <mergeCell ref="B25:F25"/>
    <mergeCell ref="B26:F26"/>
    <mergeCell ref="B27:F27"/>
    <mergeCell ref="A30:J30"/>
    <mergeCell ref="A32:J32"/>
    <mergeCell ref="F7:J7"/>
    <mergeCell ref="A2:B2"/>
    <mergeCell ref="F2:J4"/>
    <mergeCell ref="A3:B3"/>
    <mergeCell ref="A5:B5"/>
    <mergeCell ref="G5:H5"/>
    <mergeCell ref="A4:B4"/>
  </mergeCells>
  <phoneticPr fontId="3" type="noConversion"/>
  <pageMargins left="0.78740157480314965" right="0.39370078740157483" top="0.59055118110236227" bottom="0.59055118110236227" header="0.39370078740157483" footer="0.19685039370078741"/>
  <pageSetup paperSize="9" scale="49" orientation="portrait" horizontalDpi="300" verticalDpi="300" r:id="rId1"/>
  <headerFooter alignWithMargins="0">
    <oddHeader xml:space="preserve">&amp;C&amp;"Times New Roman,обычный"&amp;14
&amp;R&amp;"Times New Roman,обычный"&amp;14 
</oddHeader>
  </headerFooter>
  <rowBreaks count="1" manualBreakCount="1">
    <brk id="2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P344"/>
  <sheetViews>
    <sheetView windowProtection="1" view="pageBreakPreview" zoomScale="65" zoomScaleNormal="65" zoomScaleSheetLayoutView="65" workbookViewId="0">
      <selection activeCell="J10" sqref="J10"/>
    </sheetView>
  </sheetViews>
  <sheetFormatPr defaultRowHeight="18.75"/>
  <cols>
    <col min="1" max="1" width="48.42578125" style="2" customWidth="1"/>
    <col min="2" max="2" width="14.85546875" style="22" customWidth="1"/>
    <col min="3" max="3" width="13.42578125" style="22" customWidth="1"/>
    <col min="4" max="4" width="13.7109375" style="22" customWidth="1"/>
    <col min="5" max="5" width="13.42578125" style="22" customWidth="1"/>
    <col min="6" max="6" width="13" style="2" customWidth="1"/>
    <col min="7" max="7" width="13.85546875" style="2" customWidth="1"/>
    <col min="8" max="9" width="13.140625" style="2" customWidth="1"/>
    <col min="10" max="10" width="21" style="2" customWidth="1"/>
    <col min="11" max="11" width="25.42578125" style="2" customWidth="1"/>
    <col min="12" max="16384" width="9.140625" style="2"/>
  </cols>
  <sheetData>
    <row r="1" spans="1:10">
      <c r="A1" s="335" t="s">
        <v>375</v>
      </c>
      <c r="B1" s="335"/>
      <c r="C1" s="335"/>
      <c r="D1" s="335"/>
      <c r="E1" s="335"/>
      <c r="F1" s="335"/>
      <c r="G1" s="335"/>
      <c r="H1" s="335"/>
      <c r="I1" s="335"/>
      <c r="J1" s="335"/>
    </row>
    <row r="2" spans="1:10">
      <c r="A2" s="209"/>
      <c r="B2" s="210"/>
      <c r="C2" s="209"/>
      <c r="D2" s="209"/>
      <c r="E2" s="210"/>
      <c r="F2" s="209"/>
      <c r="G2" s="209"/>
      <c r="H2" s="209"/>
      <c r="I2" s="209"/>
      <c r="J2" s="211"/>
    </row>
    <row r="3" spans="1:10" ht="36" customHeight="1">
      <c r="A3" s="314" t="s">
        <v>274</v>
      </c>
      <c r="B3" s="315" t="s">
        <v>18</v>
      </c>
      <c r="C3" s="315" t="s">
        <v>32</v>
      </c>
      <c r="D3" s="342" t="s">
        <v>40</v>
      </c>
      <c r="E3" s="341" t="s">
        <v>180</v>
      </c>
      <c r="F3" s="315" t="s">
        <v>370</v>
      </c>
      <c r="G3" s="315"/>
      <c r="H3" s="315"/>
      <c r="I3" s="315"/>
      <c r="J3" s="315" t="s">
        <v>248</v>
      </c>
    </row>
    <row r="4" spans="1:10" ht="69.75" customHeight="1">
      <c r="A4" s="314"/>
      <c r="B4" s="315"/>
      <c r="C4" s="315"/>
      <c r="D4" s="342"/>
      <c r="E4" s="341"/>
      <c r="F4" s="212" t="s">
        <v>371</v>
      </c>
      <c r="G4" s="212" t="s">
        <v>372</v>
      </c>
      <c r="H4" s="212" t="s">
        <v>373</v>
      </c>
      <c r="I4" s="212" t="s">
        <v>87</v>
      </c>
      <c r="J4" s="315"/>
    </row>
    <row r="5" spans="1:10" ht="18" customHeight="1">
      <c r="A5" s="98">
        <v>1</v>
      </c>
      <c r="B5" s="99">
        <v>2</v>
      </c>
      <c r="C5" s="99">
        <v>3</v>
      </c>
      <c r="D5" s="99">
        <v>4</v>
      </c>
      <c r="E5" s="99">
        <v>5</v>
      </c>
      <c r="F5" s="99">
        <v>6</v>
      </c>
      <c r="G5" s="99">
        <v>7</v>
      </c>
      <c r="H5" s="99">
        <v>8</v>
      </c>
      <c r="I5" s="99">
        <v>9</v>
      </c>
      <c r="J5" s="99">
        <v>10</v>
      </c>
    </row>
    <row r="6" spans="1:10" s="5" customFormat="1" ht="20.100000000000001" customHeight="1">
      <c r="A6" s="319" t="s">
        <v>281</v>
      </c>
      <c r="B6" s="320"/>
      <c r="C6" s="320"/>
      <c r="D6" s="320"/>
      <c r="E6" s="320"/>
      <c r="F6" s="320"/>
      <c r="G6" s="320"/>
      <c r="H6" s="320"/>
      <c r="I6" s="320"/>
      <c r="J6" s="321"/>
    </row>
    <row r="7" spans="1:10" s="5" customFormat="1" ht="42" customHeight="1">
      <c r="A7" s="72" t="s">
        <v>122</v>
      </c>
      <c r="B7" s="167">
        <v>1000</v>
      </c>
      <c r="C7" s="191">
        <f>SUM(C8:C11)</f>
        <v>33417</v>
      </c>
      <c r="D7" s="191">
        <f t="shared" ref="D7:I7" si="0">SUM(D8:D11)</f>
        <v>67273</v>
      </c>
      <c r="E7" s="191">
        <f t="shared" si="0"/>
        <v>63275</v>
      </c>
      <c r="F7" s="191">
        <f t="shared" si="0"/>
        <v>51205</v>
      </c>
      <c r="G7" s="191">
        <f t="shared" si="0"/>
        <v>99168</v>
      </c>
      <c r="H7" s="191">
        <f t="shared" si="0"/>
        <v>135138</v>
      </c>
      <c r="I7" s="191">
        <f t="shared" si="0"/>
        <v>170261</v>
      </c>
      <c r="J7" s="214"/>
    </row>
    <row r="8" spans="1:10" s="5" customFormat="1" ht="24.75" customHeight="1">
      <c r="A8" s="72" t="s">
        <v>418</v>
      </c>
      <c r="B8" s="186" t="s">
        <v>403</v>
      </c>
      <c r="C8" s="188">
        <v>25756</v>
      </c>
      <c r="D8" s="188">
        <v>64150</v>
      </c>
      <c r="E8" s="188">
        <v>51900</v>
      </c>
      <c r="F8" s="188">
        <v>51590</v>
      </c>
      <c r="G8" s="188">
        <f>101496-6021-4000</f>
        <v>91475</v>
      </c>
      <c r="H8" s="188">
        <v>122474</v>
      </c>
      <c r="I8" s="188">
        <v>155473</v>
      </c>
      <c r="J8" s="149"/>
    </row>
    <row r="9" spans="1:10" s="5" customFormat="1" ht="24.75" customHeight="1">
      <c r="A9" s="72" t="s">
        <v>419</v>
      </c>
      <c r="B9" s="186" t="s">
        <v>420</v>
      </c>
      <c r="C9" s="188">
        <v>902</v>
      </c>
      <c r="D9" s="188">
        <v>792</v>
      </c>
      <c r="E9" s="188">
        <v>1573</v>
      </c>
      <c r="F9" s="188">
        <v>554</v>
      </c>
      <c r="G9" s="282">
        <v>1560</v>
      </c>
      <c r="H9" s="188">
        <v>2295</v>
      </c>
      <c r="I9" s="188">
        <v>2501</v>
      </c>
      <c r="J9" s="149"/>
    </row>
    <row r="10" spans="1:10" s="5" customFormat="1" ht="35.25" customHeight="1">
      <c r="A10" s="72" t="s">
        <v>670</v>
      </c>
      <c r="B10" s="186" t="s">
        <v>422</v>
      </c>
      <c r="C10" s="188">
        <v>418</v>
      </c>
      <c r="D10" s="188">
        <v>215</v>
      </c>
      <c r="E10" s="188">
        <v>7499</v>
      </c>
      <c r="F10" s="188">
        <v>-939</v>
      </c>
      <c r="G10" s="188">
        <v>112</v>
      </c>
      <c r="H10" s="188">
        <v>168</v>
      </c>
      <c r="I10" s="188">
        <v>227</v>
      </c>
      <c r="J10" s="149"/>
    </row>
    <row r="11" spans="1:10" s="5" customFormat="1" ht="24.75" customHeight="1">
      <c r="A11" s="72" t="s">
        <v>424</v>
      </c>
      <c r="B11" s="186" t="s">
        <v>423</v>
      </c>
      <c r="C11" s="188">
        <v>6341</v>
      </c>
      <c r="D11" s="188">
        <v>2116</v>
      </c>
      <c r="E11" s="188">
        <v>2303</v>
      </c>
      <c r="F11" s="188">
        <v>0</v>
      </c>
      <c r="G11" s="188">
        <v>6021</v>
      </c>
      <c r="H11" s="188">
        <v>10201</v>
      </c>
      <c r="I11" s="188">
        <v>12060</v>
      </c>
      <c r="J11" s="149"/>
    </row>
    <row r="12" spans="1:10" ht="35.25" customHeight="1">
      <c r="A12" s="72" t="s">
        <v>138</v>
      </c>
      <c r="B12" s="167">
        <v>1010</v>
      </c>
      <c r="C12" s="191">
        <f>SUM(C13:C20)</f>
        <v>35387</v>
      </c>
      <c r="D12" s="191">
        <f t="shared" ref="D12:I12" si="1">SUM(D13:D20)</f>
        <v>57127</v>
      </c>
      <c r="E12" s="280">
        <f t="shared" si="1"/>
        <v>45045</v>
      </c>
      <c r="F12" s="191">
        <f t="shared" si="1"/>
        <v>49004</v>
      </c>
      <c r="G12" s="191">
        <f t="shared" si="1"/>
        <v>93489</v>
      </c>
      <c r="H12" s="191">
        <f>SUM(H13:H20)</f>
        <v>120021</v>
      </c>
      <c r="I12" s="191">
        <f t="shared" si="1"/>
        <v>150334</v>
      </c>
      <c r="J12" s="148"/>
    </row>
    <row r="13" spans="1:10" s="1" customFormat="1" ht="20.100000000000001" customHeight="1">
      <c r="A13" s="72" t="s">
        <v>309</v>
      </c>
      <c r="B13" s="168">
        <v>1011</v>
      </c>
      <c r="C13" s="188">
        <v>6242</v>
      </c>
      <c r="D13" s="188">
        <v>9785</v>
      </c>
      <c r="E13" s="188">
        <f>13330-94</f>
        <v>13236</v>
      </c>
      <c r="F13" s="188">
        <f>11252+19953</f>
        <v>31205</v>
      </c>
      <c r="G13" s="282">
        <v>31300</v>
      </c>
      <c r="H13" s="282">
        <v>33506</v>
      </c>
      <c r="I13" s="282">
        <v>40056</v>
      </c>
      <c r="J13" s="148"/>
    </row>
    <row r="14" spans="1:10" s="1" customFormat="1" ht="20.100000000000001" customHeight="1">
      <c r="A14" s="72" t="s">
        <v>69</v>
      </c>
      <c r="B14" s="168">
        <v>1012</v>
      </c>
      <c r="C14" s="188">
        <v>9285</v>
      </c>
      <c r="D14" s="188">
        <v>13776</v>
      </c>
      <c r="E14" s="188">
        <v>13278</v>
      </c>
      <c r="F14" s="188">
        <v>4970</v>
      </c>
      <c r="G14" s="188">
        <f>F14*2-1000</f>
        <v>8940</v>
      </c>
      <c r="H14" s="188">
        <f>F14*3</f>
        <v>14910</v>
      </c>
      <c r="I14" s="188">
        <f>F14*4</f>
        <v>19880</v>
      </c>
      <c r="J14" s="148"/>
    </row>
    <row r="15" spans="1:10" s="1" customFormat="1" ht="20.100000000000001" customHeight="1">
      <c r="A15" s="72" t="s">
        <v>68</v>
      </c>
      <c r="B15" s="168">
        <v>1013</v>
      </c>
      <c r="C15" s="188">
        <v>385</v>
      </c>
      <c r="D15" s="188">
        <v>596</v>
      </c>
      <c r="E15" s="188">
        <v>360</v>
      </c>
      <c r="F15" s="188">
        <v>112</v>
      </c>
      <c r="G15" s="188">
        <v>314</v>
      </c>
      <c r="H15" s="188">
        <v>471</v>
      </c>
      <c r="I15" s="188">
        <v>629</v>
      </c>
      <c r="J15" s="148"/>
    </row>
    <row r="16" spans="1:10" s="1" customFormat="1" ht="20.100000000000001" customHeight="1">
      <c r="A16" s="72" t="s">
        <v>43</v>
      </c>
      <c r="B16" s="168">
        <v>1014</v>
      </c>
      <c r="C16" s="188">
        <v>13160</v>
      </c>
      <c r="D16" s="188">
        <v>20100</v>
      </c>
      <c r="E16" s="188">
        <v>1675</v>
      </c>
      <c r="F16" s="188">
        <v>6113</v>
      </c>
      <c r="G16" s="188">
        <v>11704</v>
      </c>
      <c r="H16" s="188">
        <v>18003</v>
      </c>
      <c r="I16" s="188">
        <v>24225</v>
      </c>
      <c r="J16" s="148"/>
    </row>
    <row r="17" spans="1:10" s="1" customFormat="1" ht="20.100000000000001" customHeight="1">
      <c r="A17" s="72" t="s">
        <v>44</v>
      </c>
      <c r="B17" s="168">
        <v>1015</v>
      </c>
      <c r="C17" s="188">
        <v>2841</v>
      </c>
      <c r="D17" s="188">
        <v>4641</v>
      </c>
      <c r="E17" s="188">
        <f>364-92</f>
        <v>272</v>
      </c>
      <c r="F17" s="188">
        <v>1352</v>
      </c>
      <c r="G17" s="188">
        <v>2516</v>
      </c>
      <c r="H17" s="188">
        <v>3870</v>
      </c>
      <c r="I17" s="188">
        <v>5210</v>
      </c>
      <c r="J17" s="148"/>
    </row>
    <row r="18" spans="1:10" s="1" customFormat="1" ht="93.75">
      <c r="A18" s="72" t="s">
        <v>264</v>
      </c>
      <c r="B18" s="168">
        <v>1016</v>
      </c>
      <c r="C18" s="188"/>
      <c r="D18" s="188">
        <v>569</v>
      </c>
      <c r="E18" s="188">
        <f>457+255</f>
        <v>712</v>
      </c>
      <c r="F18" s="188">
        <v>443</v>
      </c>
      <c r="G18" s="282">
        <v>845</v>
      </c>
      <c r="H18" s="282">
        <v>1250</v>
      </c>
      <c r="I18" s="282">
        <v>1803</v>
      </c>
      <c r="J18" s="148"/>
    </row>
    <row r="19" spans="1:10" s="1" customFormat="1" ht="37.5">
      <c r="A19" s="72" t="s">
        <v>67</v>
      </c>
      <c r="B19" s="168">
        <v>1017</v>
      </c>
      <c r="C19" s="188">
        <v>3474</v>
      </c>
      <c r="D19" s="188">
        <v>7660</v>
      </c>
      <c r="E19" s="188">
        <f>8264-69</f>
        <v>8195</v>
      </c>
      <c r="F19" s="188">
        <v>4685</v>
      </c>
      <c r="G19" s="282">
        <f>F19*2</f>
        <v>9370</v>
      </c>
      <c r="H19" s="282">
        <f>F19*3</f>
        <v>14055</v>
      </c>
      <c r="I19" s="282">
        <f>F19*4</f>
        <v>18740</v>
      </c>
      <c r="J19" s="148"/>
    </row>
    <row r="20" spans="1:10" s="1" customFormat="1" ht="38.25" customHeight="1">
      <c r="A20" s="293" t="s">
        <v>690</v>
      </c>
      <c r="B20" s="168">
        <v>1018</v>
      </c>
      <c r="C20" s="188"/>
      <c r="D20" s="188"/>
      <c r="E20" s="188">
        <f>E21+E22</f>
        <v>7317</v>
      </c>
      <c r="F20" s="188">
        <f>F21+F22</f>
        <v>124</v>
      </c>
      <c r="G20" s="282">
        <f>G21+G22</f>
        <v>28500</v>
      </c>
      <c r="H20" s="282">
        <f>H21+H22</f>
        <v>33956</v>
      </c>
      <c r="I20" s="282">
        <f>I21+I22</f>
        <v>39791</v>
      </c>
      <c r="J20" s="148"/>
    </row>
    <row r="21" spans="1:10" s="1" customFormat="1" ht="38.25" customHeight="1">
      <c r="A21" s="293" t="s">
        <v>688</v>
      </c>
      <c r="B21" s="286" t="s">
        <v>686</v>
      </c>
      <c r="C21" s="188"/>
      <c r="D21" s="188"/>
      <c r="E21" s="188">
        <v>518</v>
      </c>
      <c r="F21" s="188">
        <v>9</v>
      </c>
      <c r="G21" s="282">
        <v>2379</v>
      </c>
      <c r="H21" s="282">
        <v>3476</v>
      </c>
      <c r="I21" s="282">
        <v>4331</v>
      </c>
      <c r="J21" s="285"/>
    </row>
    <row r="22" spans="1:10" s="1" customFormat="1" ht="38.25" customHeight="1">
      <c r="A22" s="293" t="s">
        <v>689</v>
      </c>
      <c r="B22" s="286" t="s">
        <v>687</v>
      </c>
      <c r="C22" s="188"/>
      <c r="D22" s="188"/>
      <c r="E22" s="188">
        <v>6799</v>
      </c>
      <c r="F22" s="188">
        <v>115</v>
      </c>
      <c r="G22" s="282">
        <v>26121</v>
      </c>
      <c r="H22" s="282">
        <v>30480</v>
      </c>
      <c r="I22" s="282">
        <v>35460</v>
      </c>
      <c r="J22" s="285"/>
    </row>
    <row r="23" spans="1:10" s="5" customFormat="1" ht="20.100000000000001" customHeight="1">
      <c r="A23" s="166" t="s">
        <v>24</v>
      </c>
      <c r="B23" s="221">
        <v>1020</v>
      </c>
      <c r="C23" s="201">
        <f t="shared" ref="C23:I23" si="2">C7-C12</f>
        <v>-1970</v>
      </c>
      <c r="D23" s="201">
        <f t="shared" si="2"/>
        <v>10146</v>
      </c>
      <c r="E23" s="201">
        <f t="shared" si="2"/>
        <v>18230</v>
      </c>
      <c r="F23" s="201">
        <f t="shared" si="2"/>
        <v>2201</v>
      </c>
      <c r="G23" s="201">
        <f t="shared" si="2"/>
        <v>5679</v>
      </c>
      <c r="H23" s="201">
        <f t="shared" si="2"/>
        <v>15117</v>
      </c>
      <c r="I23" s="201">
        <f t="shared" si="2"/>
        <v>19927</v>
      </c>
      <c r="J23" s="149"/>
    </row>
    <row r="24" spans="1:10" ht="37.5">
      <c r="A24" s="284" t="s">
        <v>681</v>
      </c>
      <c r="B24" s="167">
        <v>1030</v>
      </c>
      <c r="C24" s="188">
        <v>45</v>
      </c>
      <c r="D24" s="188"/>
      <c r="E24" s="203">
        <v>5051</v>
      </c>
      <c r="F24" s="188">
        <v>1</v>
      </c>
      <c r="G24" s="282">
        <v>1</v>
      </c>
      <c r="H24" s="282">
        <v>1</v>
      </c>
      <c r="I24" s="282">
        <v>1</v>
      </c>
      <c r="J24" s="148"/>
    </row>
    <row r="25" spans="1:10">
      <c r="A25" s="72" t="s">
        <v>425</v>
      </c>
      <c r="B25" s="167" t="s">
        <v>426</v>
      </c>
      <c r="C25" s="188">
        <v>45</v>
      </c>
      <c r="D25" s="188"/>
      <c r="E25" s="188"/>
      <c r="F25" s="188"/>
      <c r="G25" s="188"/>
      <c r="H25" s="188"/>
      <c r="I25" s="188"/>
      <c r="J25" s="148"/>
    </row>
    <row r="26" spans="1:10" ht="20.100000000000001" customHeight="1">
      <c r="A26" s="72" t="s">
        <v>232</v>
      </c>
      <c r="B26" s="167">
        <v>1031</v>
      </c>
      <c r="C26" s="188"/>
      <c r="D26" s="188"/>
      <c r="E26" s="188"/>
      <c r="F26" s="188"/>
      <c r="G26" s="188"/>
      <c r="H26" s="188"/>
      <c r="I26" s="188"/>
      <c r="J26" s="148"/>
    </row>
    <row r="27" spans="1:10" ht="20.100000000000001" customHeight="1">
      <c r="A27" s="72" t="s">
        <v>239</v>
      </c>
      <c r="B27" s="167">
        <v>1040</v>
      </c>
      <c r="C27" s="191">
        <f>SUM(C28:C47)+C49</f>
        <v>4560</v>
      </c>
      <c r="D27" s="191">
        <f t="shared" ref="D27:I27" si="3">SUM(D28:D47)+D49</f>
        <v>7056</v>
      </c>
      <c r="E27" s="280">
        <f t="shared" si="3"/>
        <v>30849</v>
      </c>
      <c r="F27" s="191">
        <f t="shared" si="3"/>
        <v>3530</v>
      </c>
      <c r="G27" s="191">
        <f t="shared" si="3"/>
        <v>5254</v>
      </c>
      <c r="H27" s="191">
        <f t="shared" si="3"/>
        <v>7786</v>
      </c>
      <c r="I27" s="191">
        <f t="shared" si="3"/>
        <v>10309</v>
      </c>
      <c r="J27" s="148"/>
    </row>
    <row r="28" spans="1:10" ht="37.5">
      <c r="A28" s="72" t="s">
        <v>121</v>
      </c>
      <c r="B28" s="167">
        <v>1041</v>
      </c>
      <c r="C28" s="188">
        <v>3</v>
      </c>
      <c r="D28" s="188">
        <v>900</v>
      </c>
      <c r="E28" s="188">
        <v>870</v>
      </c>
      <c r="F28" s="282">
        <v>258</v>
      </c>
      <c r="G28" s="203">
        <v>435</v>
      </c>
      <c r="H28" s="203">
        <v>626</v>
      </c>
      <c r="I28" s="203">
        <v>870</v>
      </c>
      <c r="J28" s="148"/>
    </row>
    <row r="29" spans="1:10" ht="20.100000000000001" customHeight="1">
      <c r="A29" s="72" t="s">
        <v>222</v>
      </c>
      <c r="B29" s="167">
        <v>1042</v>
      </c>
      <c r="C29" s="188"/>
      <c r="D29" s="188"/>
      <c r="E29" s="188"/>
      <c r="F29" s="188"/>
      <c r="G29" s="188"/>
      <c r="H29" s="188"/>
      <c r="I29" s="188"/>
      <c r="J29" s="148"/>
    </row>
    <row r="30" spans="1:10" ht="20.100000000000001" customHeight="1">
      <c r="A30" s="72" t="s">
        <v>66</v>
      </c>
      <c r="B30" s="167">
        <v>1043</v>
      </c>
      <c r="C30" s="188"/>
      <c r="D30" s="188"/>
      <c r="E30" s="188"/>
      <c r="F30" s="188"/>
      <c r="G30" s="188"/>
      <c r="H30" s="188"/>
      <c r="I30" s="188"/>
      <c r="J30" s="148"/>
    </row>
    <row r="31" spans="1:10" ht="20.100000000000001" customHeight="1">
      <c r="A31" s="72" t="s">
        <v>22</v>
      </c>
      <c r="B31" s="167">
        <v>1044</v>
      </c>
      <c r="C31" s="188"/>
      <c r="D31" s="188"/>
      <c r="E31" s="188"/>
      <c r="F31" s="188"/>
      <c r="G31" s="188"/>
      <c r="H31" s="188"/>
      <c r="I31" s="188"/>
      <c r="J31" s="148"/>
    </row>
    <row r="32" spans="1:10" ht="20.100000000000001" customHeight="1">
      <c r="A32" s="72" t="s">
        <v>23</v>
      </c>
      <c r="B32" s="167">
        <v>1045</v>
      </c>
      <c r="C32" s="188"/>
      <c r="D32" s="188"/>
      <c r="E32" s="188"/>
      <c r="F32" s="188">
        <v>83</v>
      </c>
      <c r="G32" s="282">
        <v>83</v>
      </c>
      <c r="H32" s="282">
        <v>83</v>
      </c>
      <c r="I32" s="282">
        <v>83</v>
      </c>
      <c r="J32" s="148"/>
    </row>
    <row r="33" spans="1:10" s="1" customFormat="1" ht="20.100000000000001" customHeight="1">
      <c r="A33" s="72" t="s">
        <v>41</v>
      </c>
      <c r="B33" s="167">
        <v>1046</v>
      </c>
      <c r="C33" s="188"/>
      <c r="D33" s="188"/>
      <c r="E33" s="188">
        <v>4</v>
      </c>
      <c r="F33" s="188"/>
      <c r="G33" s="282"/>
      <c r="H33" s="282"/>
      <c r="I33" s="282"/>
      <c r="J33" s="148"/>
    </row>
    <row r="34" spans="1:10" s="1" customFormat="1" ht="20.100000000000001" customHeight="1">
      <c r="A34" s="72" t="s">
        <v>42</v>
      </c>
      <c r="B34" s="167">
        <v>1047</v>
      </c>
      <c r="C34" s="188">
        <v>20</v>
      </c>
      <c r="D34" s="188">
        <v>13</v>
      </c>
      <c r="E34" s="188">
        <v>27</v>
      </c>
      <c r="F34" s="188">
        <v>16</v>
      </c>
      <c r="G34" s="282">
        <v>20</v>
      </c>
      <c r="H34" s="282">
        <v>25</v>
      </c>
      <c r="I34" s="282">
        <v>32</v>
      </c>
      <c r="J34" s="148"/>
    </row>
    <row r="35" spans="1:10" s="1" customFormat="1" ht="20.100000000000001" customHeight="1">
      <c r="A35" s="72" t="s">
        <v>43</v>
      </c>
      <c r="B35" s="167">
        <v>1048</v>
      </c>
      <c r="C35" s="188">
        <v>3712</v>
      </c>
      <c r="D35" s="188">
        <v>5031</v>
      </c>
      <c r="E35" s="188">
        <f>23070-468</f>
        <v>22602</v>
      </c>
      <c r="F35" s="188">
        <f>2104+91</f>
        <v>2195</v>
      </c>
      <c r="G35" s="282">
        <v>3044</v>
      </c>
      <c r="H35" s="282">
        <v>4566</v>
      </c>
      <c r="I35" s="282">
        <v>6089</v>
      </c>
      <c r="J35" s="148"/>
    </row>
    <row r="36" spans="1:10" s="1" customFormat="1" ht="20.100000000000001" customHeight="1">
      <c r="A36" s="72" t="s">
        <v>44</v>
      </c>
      <c r="B36" s="167">
        <v>1049</v>
      </c>
      <c r="C36" s="188">
        <v>817</v>
      </c>
      <c r="D36" s="188">
        <v>1107</v>
      </c>
      <c r="E36" s="188">
        <v>5015</v>
      </c>
      <c r="F36" s="188">
        <f>459+14</f>
        <v>473</v>
      </c>
      <c r="G36" s="282">
        <v>670</v>
      </c>
      <c r="H36" s="282">
        <v>1004</v>
      </c>
      <c r="I36" s="282">
        <v>1340</v>
      </c>
      <c r="J36" s="148"/>
    </row>
    <row r="37" spans="1:10" s="1" customFormat="1" ht="56.25">
      <c r="A37" s="72" t="s">
        <v>45</v>
      </c>
      <c r="B37" s="167">
        <v>1050</v>
      </c>
      <c r="C37" s="188">
        <v>8</v>
      </c>
      <c r="D37" s="188">
        <v>5</v>
      </c>
      <c r="E37" s="188">
        <v>16</v>
      </c>
      <c r="F37" s="188">
        <f>290-27</f>
        <v>263</v>
      </c>
      <c r="G37" s="282">
        <f>F37*2</f>
        <v>526</v>
      </c>
      <c r="H37" s="282">
        <f>F37*3</f>
        <v>789</v>
      </c>
      <c r="I37" s="282">
        <f>F37*4</f>
        <v>1052</v>
      </c>
      <c r="J37" s="148"/>
    </row>
    <row r="38" spans="1:10" s="1" customFormat="1" ht="56.25">
      <c r="A38" s="72" t="s">
        <v>46</v>
      </c>
      <c r="B38" s="167">
        <v>1051</v>
      </c>
      <c r="C38" s="188"/>
      <c r="D38" s="188"/>
      <c r="E38" s="188"/>
      <c r="F38" s="188">
        <v>5</v>
      </c>
      <c r="G38" s="282">
        <v>7</v>
      </c>
      <c r="H38" s="282">
        <v>9</v>
      </c>
      <c r="I38" s="282">
        <v>12</v>
      </c>
      <c r="J38" s="148"/>
    </row>
    <row r="39" spans="1:10" s="1" customFormat="1" ht="37.5">
      <c r="A39" s="72" t="s">
        <v>47</v>
      </c>
      <c r="B39" s="167">
        <v>1052</v>
      </c>
      <c r="C39" s="188"/>
      <c r="D39" s="188"/>
      <c r="E39" s="188">
        <v>219</v>
      </c>
      <c r="F39" s="188"/>
      <c r="G39" s="282"/>
      <c r="H39" s="282"/>
      <c r="I39" s="282"/>
      <c r="J39" s="148"/>
    </row>
    <row r="40" spans="1:10" s="1" customFormat="1" ht="37.5">
      <c r="A40" s="72" t="s">
        <v>48</v>
      </c>
      <c r="B40" s="167">
        <v>1053</v>
      </c>
      <c r="C40" s="188"/>
      <c r="D40" s="188"/>
      <c r="E40" s="188"/>
      <c r="F40" s="188"/>
      <c r="G40" s="282"/>
      <c r="H40" s="282"/>
      <c r="I40" s="282"/>
      <c r="J40" s="148"/>
    </row>
    <row r="41" spans="1:10" s="1" customFormat="1" ht="20.100000000000001" customHeight="1">
      <c r="A41" s="72" t="s">
        <v>49</v>
      </c>
      <c r="B41" s="167">
        <v>1054</v>
      </c>
      <c r="C41" s="188"/>
      <c r="D41" s="188"/>
      <c r="E41" s="188"/>
      <c r="F41" s="188"/>
      <c r="G41" s="282"/>
      <c r="H41" s="282"/>
      <c r="I41" s="282"/>
      <c r="J41" s="148"/>
    </row>
    <row r="42" spans="1:10" s="1" customFormat="1" ht="20.100000000000001" customHeight="1">
      <c r="A42" s="72" t="s">
        <v>70</v>
      </c>
      <c r="B42" s="167">
        <v>1055</v>
      </c>
      <c r="C42" s="188"/>
      <c r="D42" s="188"/>
      <c r="E42" s="188">
        <v>95</v>
      </c>
      <c r="F42" s="188">
        <v>85</v>
      </c>
      <c r="G42" s="282">
        <f>160</f>
        <v>160</v>
      </c>
      <c r="H42" s="282">
        <v>241</v>
      </c>
      <c r="I42" s="282">
        <v>250</v>
      </c>
      <c r="J42" s="148"/>
    </row>
    <row r="43" spans="1:10" s="1" customFormat="1" ht="20.100000000000001" customHeight="1">
      <c r="A43" s="72" t="s">
        <v>50</v>
      </c>
      <c r="B43" s="167">
        <v>1056</v>
      </c>
      <c r="C43" s="188"/>
      <c r="D43" s="188"/>
      <c r="E43" s="188"/>
      <c r="F43" s="188"/>
      <c r="G43" s="282"/>
      <c r="H43" s="282"/>
      <c r="I43" s="282"/>
      <c r="J43" s="148"/>
    </row>
    <row r="44" spans="1:10" s="1" customFormat="1" ht="20.100000000000001" customHeight="1">
      <c r="A44" s="72" t="s">
        <v>51</v>
      </c>
      <c r="B44" s="167">
        <v>1057</v>
      </c>
      <c r="C44" s="188"/>
      <c r="D44" s="188"/>
      <c r="E44" s="188"/>
      <c r="F44" s="188"/>
      <c r="G44" s="282"/>
      <c r="H44" s="282"/>
      <c r="I44" s="282"/>
      <c r="J44" s="148"/>
    </row>
    <row r="45" spans="1:10" s="1" customFormat="1" ht="37.5">
      <c r="A45" s="72" t="s">
        <v>52</v>
      </c>
      <c r="B45" s="167">
        <v>1058</v>
      </c>
      <c r="C45" s="188"/>
      <c r="D45" s="188"/>
      <c r="E45" s="188">
        <v>28</v>
      </c>
      <c r="F45" s="188">
        <v>19</v>
      </c>
      <c r="G45" s="282">
        <v>21</v>
      </c>
      <c r="H45" s="282">
        <v>23</v>
      </c>
      <c r="I45" s="282">
        <v>25</v>
      </c>
      <c r="J45" s="148"/>
    </row>
    <row r="46" spans="1:10" s="1" customFormat="1" ht="37.5">
      <c r="A46" s="72" t="s">
        <v>53</v>
      </c>
      <c r="B46" s="167">
        <v>1059</v>
      </c>
      <c r="C46" s="188"/>
      <c r="D46" s="188"/>
      <c r="E46" s="188"/>
      <c r="F46" s="188"/>
      <c r="G46" s="188"/>
      <c r="H46" s="188"/>
      <c r="I46" s="188"/>
      <c r="J46" s="148"/>
    </row>
    <row r="47" spans="1:10" s="1" customFormat="1" ht="75">
      <c r="A47" s="72" t="s">
        <v>83</v>
      </c>
      <c r="B47" s="167">
        <v>1060</v>
      </c>
      <c r="C47" s="188"/>
      <c r="D47" s="188"/>
      <c r="E47" s="188">
        <f>267+468</f>
        <v>735</v>
      </c>
      <c r="F47" s="188">
        <f>136-78</f>
        <v>58</v>
      </c>
      <c r="G47" s="282">
        <v>138</v>
      </c>
      <c r="H47" s="282">
        <v>195</v>
      </c>
      <c r="I47" s="282">
        <v>256</v>
      </c>
      <c r="J47" s="148"/>
    </row>
    <row r="48" spans="1:10" s="1" customFormat="1" ht="20.100000000000001" customHeight="1">
      <c r="A48" s="72" t="s">
        <v>54</v>
      </c>
      <c r="B48" s="167">
        <v>1061</v>
      </c>
      <c r="C48" s="188"/>
      <c r="D48" s="188"/>
      <c r="E48" s="188"/>
      <c r="F48" s="188"/>
      <c r="G48" s="282"/>
      <c r="H48" s="282"/>
      <c r="I48" s="282"/>
      <c r="J48" s="148"/>
    </row>
    <row r="49" spans="1:10" s="1" customFormat="1" ht="37.5">
      <c r="A49" s="293" t="s">
        <v>693</v>
      </c>
      <c r="B49" s="167">
        <v>1062</v>
      </c>
      <c r="C49" s="188"/>
      <c r="D49" s="188"/>
      <c r="E49" s="188">
        <f>E50+E51</f>
        <v>1238</v>
      </c>
      <c r="F49" s="188">
        <f>F50</f>
        <v>75</v>
      </c>
      <c r="G49" s="188">
        <f t="shared" ref="G49:I49" si="4">G50</f>
        <v>150</v>
      </c>
      <c r="H49" s="188">
        <f t="shared" si="4"/>
        <v>225</v>
      </c>
      <c r="I49" s="188">
        <f t="shared" si="4"/>
        <v>300</v>
      </c>
      <c r="J49" s="148"/>
    </row>
    <row r="50" spans="1:10" s="1" customFormat="1">
      <c r="A50" s="293" t="s">
        <v>691</v>
      </c>
      <c r="B50" s="167" t="s">
        <v>694</v>
      </c>
      <c r="C50" s="188"/>
      <c r="D50" s="188"/>
      <c r="E50" s="188">
        <v>961</v>
      </c>
      <c r="F50" s="188">
        <v>75</v>
      </c>
      <c r="G50" s="282">
        <v>150</v>
      </c>
      <c r="H50" s="282">
        <v>225</v>
      </c>
      <c r="I50" s="282">
        <v>300</v>
      </c>
      <c r="J50" s="285"/>
    </row>
    <row r="51" spans="1:10" s="1" customFormat="1">
      <c r="A51" s="293" t="s">
        <v>692</v>
      </c>
      <c r="B51" s="167" t="s">
        <v>695</v>
      </c>
      <c r="C51" s="188"/>
      <c r="D51" s="188"/>
      <c r="E51" s="188">
        <v>277</v>
      </c>
      <c r="F51" s="188"/>
      <c r="G51" s="282"/>
      <c r="H51" s="282"/>
      <c r="I51" s="282"/>
      <c r="J51" s="285"/>
    </row>
    <row r="52" spans="1:10" ht="20.100000000000001" customHeight="1">
      <c r="A52" s="72" t="s">
        <v>240</v>
      </c>
      <c r="B52" s="167">
        <v>1070</v>
      </c>
      <c r="C52" s="191">
        <f>SUM(C53:C58)</f>
        <v>0</v>
      </c>
      <c r="D52" s="191">
        <f t="shared" ref="D52:I52" si="5">SUM(D53:D58)</f>
        <v>0</v>
      </c>
      <c r="E52" s="191">
        <f t="shared" si="5"/>
        <v>0</v>
      </c>
      <c r="F52" s="191">
        <f t="shared" si="5"/>
        <v>0</v>
      </c>
      <c r="G52" s="191">
        <f t="shared" si="5"/>
        <v>0</v>
      </c>
      <c r="H52" s="191">
        <f t="shared" si="5"/>
        <v>0</v>
      </c>
      <c r="I52" s="191">
        <f t="shared" si="5"/>
        <v>0</v>
      </c>
      <c r="J52" s="148"/>
    </row>
    <row r="53" spans="1:10" s="1" customFormat="1" ht="20.100000000000001" customHeight="1">
      <c r="A53" s="72" t="s">
        <v>200</v>
      </c>
      <c r="B53" s="167">
        <v>1071</v>
      </c>
      <c r="C53" s="188"/>
      <c r="D53" s="188"/>
      <c r="E53" s="188"/>
      <c r="F53" s="188"/>
      <c r="G53" s="188"/>
      <c r="H53" s="188"/>
      <c r="I53" s="188"/>
      <c r="J53" s="148"/>
    </row>
    <row r="54" spans="1:10" s="1" customFormat="1" ht="20.100000000000001" customHeight="1">
      <c r="A54" s="72" t="s">
        <v>201</v>
      </c>
      <c r="B54" s="167">
        <v>1072</v>
      </c>
      <c r="C54" s="188"/>
      <c r="D54" s="188"/>
      <c r="E54" s="188"/>
      <c r="F54" s="188"/>
      <c r="G54" s="188"/>
      <c r="H54" s="188"/>
      <c r="I54" s="188"/>
      <c r="J54" s="148"/>
    </row>
    <row r="55" spans="1:10" s="1" customFormat="1" ht="20.100000000000001" customHeight="1">
      <c r="A55" s="72" t="s">
        <v>43</v>
      </c>
      <c r="B55" s="167">
        <v>1073</v>
      </c>
      <c r="C55" s="188"/>
      <c r="D55" s="188"/>
      <c r="E55" s="188"/>
      <c r="F55" s="188"/>
      <c r="G55" s="188"/>
      <c r="H55" s="188"/>
      <c r="I55" s="188"/>
      <c r="J55" s="148"/>
    </row>
    <row r="56" spans="1:10" s="1" customFormat="1" ht="37.5">
      <c r="A56" s="72" t="s">
        <v>67</v>
      </c>
      <c r="B56" s="167">
        <v>1074</v>
      </c>
      <c r="C56" s="188"/>
      <c r="D56" s="188"/>
      <c r="E56" s="188"/>
      <c r="F56" s="188"/>
      <c r="G56" s="188"/>
      <c r="H56" s="188"/>
      <c r="I56" s="188"/>
      <c r="J56" s="148"/>
    </row>
    <row r="57" spans="1:10" s="1" customFormat="1" ht="20.100000000000001" customHeight="1">
      <c r="A57" s="72" t="s">
        <v>86</v>
      </c>
      <c r="B57" s="167">
        <v>1075</v>
      </c>
      <c r="C57" s="188"/>
      <c r="D57" s="188"/>
      <c r="E57" s="188"/>
      <c r="F57" s="188"/>
      <c r="G57" s="188"/>
      <c r="H57" s="188"/>
      <c r="I57" s="188"/>
      <c r="J57" s="148"/>
    </row>
    <row r="58" spans="1:10" s="1" customFormat="1" ht="20.100000000000001" customHeight="1">
      <c r="A58" s="72" t="s">
        <v>137</v>
      </c>
      <c r="B58" s="167">
        <v>1076</v>
      </c>
      <c r="C58" s="188"/>
      <c r="D58" s="188"/>
      <c r="E58" s="188"/>
      <c r="F58" s="188"/>
      <c r="G58" s="188"/>
      <c r="H58" s="188"/>
      <c r="I58" s="188"/>
      <c r="J58" s="148"/>
    </row>
    <row r="59" spans="1:10" s="1" customFormat="1" ht="20.100000000000001" customHeight="1">
      <c r="A59" s="72" t="s">
        <v>44</v>
      </c>
      <c r="B59" s="186" t="s">
        <v>404</v>
      </c>
      <c r="C59" s="188"/>
      <c r="D59" s="188"/>
      <c r="E59" s="188"/>
      <c r="F59" s="188"/>
      <c r="G59" s="188"/>
      <c r="H59" s="188"/>
      <c r="I59" s="188"/>
      <c r="J59" s="148"/>
    </row>
    <row r="60" spans="1:10" s="1" customFormat="1" ht="37.5">
      <c r="A60" s="222" t="s">
        <v>88</v>
      </c>
      <c r="B60" s="167">
        <v>1080</v>
      </c>
      <c r="C60" s="191">
        <f>SUM(C62:C67)</f>
        <v>327</v>
      </c>
      <c r="D60" s="191">
        <f t="shared" ref="D60:I60" si="6">SUM(D62:D67)</f>
        <v>566</v>
      </c>
      <c r="E60" s="280">
        <f t="shared" si="6"/>
        <v>5637</v>
      </c>
      <c r="F60" s="191">
        <f t="shared" si="6"/>
        <v>15234</v>
      </c>
      <c r="G60" s="191">
        <f t="shared" si="6"/>
        <v>30464</v>
      </c>
      <c r="H60" s="191">
        <f t="shared" si="6"/>
        <v>45696</v>
      </c>
      <c r="I60" s="191">
        <f t="shared" si="6"/>
        <v>60928</v>
      </c>
      <c r="J60" s="148"/>
    </row>
    <row r="61" spans="1:10" s="1" customFormat="1" ht="37.5" hidden="1">
      <c r="A61" s="222" t="s">
        <v>665</v>
      </c>
      <c r="B61" s="167" t="s">
        <v>664</v>
      </c>
      <c r="C61" s="216"/>
      <c r="D61" s="216"/>
      <c r="E61" s="216"/>
      <c r="F61" s="216"/>
      <c r="G61" s="216"/>
      <c r="H61" s="216"/>
      <c r="I61" s="216"/>
      <c r="J61" s="148"/>
    </row>
    <row r="62" spans="1:10" s="1" customFormat="1" ht="20.100000000000001" customHeight="1">
      <c r="A62" s="72" t="s">
        <v>77</v>
      </c>
      <c r="B62" s="167">
        <v>1081</v>
      </c>
      <c r="C62" s="188"/>
      <c r="D62" s="188"/>
      <c r="E62" s="188"/>
      <c r="F62" s="188"/>
      <c r="G62" s="188"/>
      <c r="H62" s="188"/>
      <c r="I62" s="188"/>
      <c r="J62" s="148"/>
    </row>
    <row r="63" spans="1:10" s="1" customFormat="1" ht="40.5" customHeight="1">
      <c r="A63" s="72" t="s">
        <v>671</v>
      </c>
      <c r="B63" s="167" t="s">
        <v>664</v>
      </c>
      <c r="C63" s="188">
        <v>327</v>
      </c>
      <c r="D63" s="188">
        <v>566</v>
      </c>
      <c r="E63" s="188"/>
      <c r="F63" s="188"/>
      <c r="G63" s="188"/>
      <c r="H63" s="188"/>
      <c r="I63" s="188"/>
      <c r="J63" s="148"/>
    </row>
    <row r="64" spans="1:10" s="1" customFormat="1" ht="37.5">
      <c r="A64" s="72" t="s">
        <v>55</v>
      </c>
      <c r="B64" s="167">
        <v>1082</v>
      </c>
      <c r="C64" s="188"/>
      <c r="D64" s="188"/>
      <c r="E64" s="188"/>
      <c r="F64" s="188"/>
      <c r="G64" s="188"/>
      <c r="H64" s="188"/>
      <c r="I64" s="188"/>
      <c r="J64" s="148"/>
    </row>
    <row r="65" spans="1:10" s="1" customFormat="1" ht="37.5">
      <c r="A65" s="72" t="s">
        <v>65</v>
      </c>
      <c r="B65" s="167">
        <v>1083</v>
      </c>
      <c r="C65" s="188"/>
      <c r="D65" s="188"/>
      <c r="E65" s="188"/>
      <c r="F65" s="188"/>
      <c r="G65" s="188"/>
      <c r="H65" s="188"/>
      <c r="I65" s="188"/>
      <c r="J65" s="148"/>
    </row>
    <row r="66" spans="1:10" s="1" customFormat="1" ht="20.100000000000001" customHeight="1">
      <c r="A66" s="72" t="s">
        <v>232</v>
      </c>
      <c r="B66" s="167">
        <v>1084</v>
      </c>
      <c r="C66" s="188"/>
      <c r="D66" s="188"/>
      <c r="E66" s="188"/>
      <c r="F66" s="188"/>
      <c r="G66" s="188"/>
      <c r="H66" s="188"/>
      <c r="I66" s="188"/>
      <c r="J66" s="148"/>
    </row>
    <row r="67" spans="1:10" s="1" customFormat="1" ht="60" customHeight="1">
      <c r="A67" s="293" t="s">
        <v>699</v>
      </c>
      <c r="B67" s="167">
        <v>1085</v>
      </c>
      <c r="C67" s="188"/>
      <c r="D67" s="188"/>
      <c r="E67" s="188">
        <f>E68+E69</f>
        <v>5637</v>
      </c>
      <c r="F67" s="188">
        <f>F68+F69+F70</f>
        <v>15234</v>
      </c>
      <c r="G67" s="188">
        <f>G68+G69</f>
        <v>30464</v>
      </c>
      <c r="H67" s="188">
        <f>H68+H69</f>
        <v>45696</v>
      </c>
      <c r="I67" s="188">
        <f>I68+I69</f>
        <v>60928</v>
      </c>
      <c r="J67" s="148"/>
    </row>
    <row r="68" spans="1:10" s="1" customFormat="1" ht="38.25" customHeight="1">
      <c r="A68" s="72" t="s">
        <v>697</v>
      </c>
      <c r="B68" s="186" t="s">
        <v>477</v>
      </c>
      <c r="C68" s="188"/>
      <c r="D68" s="188"/>
      <c r="E68" s="188">
        <v>5107</v>
      </c>
      <c r="F68" s="188">
        <v>15034</v>
      </c>
      <c r="G68" s="188">
        <v>30068</v>
      </c>
      <c r="H68" s="188">
        <v>45102</v>
      </c>
      <c r="I68" s="188">
        <v>60136</v>
      </c>
      <c r="J68" s="148"/>
    </row>
    <row r="69" spans="1:10" s="1" customFormat="1" ht="38.25" customHeight="1">
      <c r="A69" s="288" t="s">
        <v>698</v>
      </c>
      <c r="B69" s="287" t="s">
        <v>696</v>
      </c>
      <c r="C69" s="188"/>
      <c r="D69" s="188"/>
      <c r="E69" s="188">
        <v>530</v>
      </c>
      <c r="F69" s="188">
        <v>198</v>
      </c>
      <c r="G69" s="188">
        <v>396</v>
      </c>
      <c r="H69" s="188">
        <v>594</v>
      </c>
      <c r="I69" s="188">
        <v>792</v>
      </c>
      <c r="J69" s="285"/>
    </row>
    <row r="70" spans="1:10" s="1" customFormat="1" ht="38.25" customHeight="1">
      <c r="A70" s="292" t="s">
        <v>705</v>
      </c>
      <c r="B70" s="291" t="s">
        <v>704</v>
      </c>
      <c r="C70" s="188"/>
      <c r="D70" s="188"/>
      <c r="E70" s="188"/>
      <c r="F70" s="188">
        <v>2</v>
      </c>
      <c r="G70" s="188">
        <v>2</v>
      </c>
      <c r="H70" s="188">
        <v>2</v>
      </c>
      <c r="I70" s="188">
        <v>2</v>
      </c>
      <c r="J70" s="290"/>
    </row>
    <row r="71" spans="1:10" s="5" customFormat="1" ht="37.5">
      <c r="A71" s="166" t="s">
        <v>4</v>
      </c>
      <c r="B71" s="221">
        <v>1100</v>
      </c>
      <c r="C71" s="191">
        <f t="shared" ref="C71:I71" si="7">C23+C24-C27-C52-C60</f>
        <v>-6812</v>
      </c>
      <c r="D71" s="191">
        <f t="shared" si="7"/>
        <v>2524</v>
      </c>
      <c r="E71" s="191">
        <f t="shared" si="7"/>
        <v>-13205</v>
      </c>
      <c r="F71" s="191">
        <f t="shared" si="7"/>
        <v>-16562</v>
      </c>
      <c r="G71" s="191">
        <f t="shared" si="7"/>
        <v>-30038</v>
      </c>
      <c r="H71" s="191">
        <f t="shared" si="7"/>
        <v>-38364</v>
      </c>
      <c r="I71" s="191">
        <f t="shared" si="7"/>
        <v>-51309</v>
      </c>
      <c r="J71" s="149"/>
    </row>
    <row r="72" spans="1:10" ht="37.5">
      <c r="A72" s="72" t="s">
        <v>123</v>
      </c>
      <c r="B72" s="167">
        <v>1110</v>
      </c>
      <c r="C72" s="188"/>
      <c r="D72" s="188"/>
      <c r="E72" s="188"/>
      <c r="F72" s="188"/>
      <c r="G72" s="188"/>
      <c r="H72" s="188"/>
      <c r="I72" s="188"/>
      <c r="J72" s="148"/>
    </row>
    <row r="73" spans="1:10" ht="20.100000000000001" customHeight="1">
      <c r="A73" s="284" t="s">
        <v>682</v>
      </c>
      <c r="B73" s="167">
        <v>1120</v>
      </c>
      <c r="C73" s="188">
        <v>6842</v>
      </c>
      <c r="D73" s="188"/>
      <c r="E73" s="188">
        <v>370</v>
      </c>
      <c r="F73" s="188">
        <v>194</v>
      </c>
      <c r="G73" s="282">
        <v>541</v>
      </c>
      <c r="H73" s="282">
        <v>600</v>
      </c>
      <c r="I73" s="282">
        <v>650</v>
      </c>
      <c r="J73" s="148"/>
    </row>
    <row r="74" spans="1:10" ht="20.100000000000001" customHeight="1">
      <c r="A74" s="72" t="s">
        <v>428</v>
      </c>
      <c r="B74" s="167" t="s">
        <v>427</v>
      </c>
      <c r="C74" s="188">
        <v>6842</v>
      </c>
      <c r="D74" s="188"/>
      <c r="E74" s="188"/>
      <c r="F74" s="188"/>
      <c r="G74" s="188"/>
      <c r="H74" s="188"/>
      <c r="I74" s="188"/>
      <c r="J74" s="148"/>
    </row>
    <row r="75" spans="1:10" ht="20.100000000000001" customHeight="1">
      <c r="A75" s="72" t="s">
        <v>666</v>
      </c>
      <c r="B75" s="167" t="s">
        <v>667</v>
      </c>
      <c r="C75" s="188"/>
      <c r="D75" s="188"/>
      <c r="E75" s="188"/>
      <c r="F75" s="188"/>
      <c r="G75" s="279"/>
      <c r="H75" s="188"/>
      <c r="I75" s="279"/>
      <c r="J75" s="148"/>
    </row>
    <row r="76" spans="1:10" ht="37.5">
      <c r="A76" s="72" t="s">
        <v>125</v>
      </c>
      <c r="B76" s="167">
        <v>1130</v>
      </c>
      <c r="C76" s="188"/>
      <c r="D76" s="188"/>
      <c r="E76" s="188"/>
      <c r="F76" s="188"/>
      <c r="G76" s="188"/>
      <c r="H76" s="188"/>
      <c r="I76" s="188"/>
      <c r="J76" s="148"/>
    </row>
    <row r="77" spans="1:10" ht="20.100000000000001" customHeight="1">
      <c r="A77" s="72" t="s">
        <v>124</v>
      </c>
      <c r="B77" s="167">
        <v>1140</v>
      </c>
      <c r="C77" s="188"/>
      <c r="D77" s="188"/>
      <c r="E77" s="188"/>
      <c r="F77" s="188"/>
      <c r="G77" s="188">
        <f>G78+G79</f>
        <v>0</v>
      </c>
      <c r="H77" s="188">
        <f>H78+H79</f>
        <v>2073</v>
      </c>
      <c r="I77" s="188">
        <f>I78+I79</f>
        <v>3248</v>
      </c>
      <c r="J77" s="148"/>
    </row>
    <row r="78" spans="1:10" ht="35.25" customHeight="1">
      <c r="A78" s="72" t="s">
        <v>679</v>
      </c>
      <c r="B78" s="167" t="s">
        <v>668</v>
      </c>
      <c r="C78" s="188"/>
      <c r="D78" s="188"/>
      <c r="E78" s="188"/>
      <c r="F78" s="188"/>
      <c r="G78" s="188"/>
      <c r="H78" s="188">
        <v>1062</v>
      </c>
      <c r="I78" s="188">
        <v>2237</v>
      </c>
      <c r="J78" s="148"/>
    </row>
    <row r="79" spans="1:10" ht="35.25" customHeight="1">
      <c r="A79" s="72" t="s">
        <v>673</v>
      </c>
      <c r="B79" s="167" t="s">
        <v>672</v>
      </c>
      <c r="C79" s="188"/>
      <c r="D79" s="188"/>
      <c r="E79" s="188"/>
      <c r="F79" s="188"/>
      <c r="G79" s="188"/>
      <c r="H79" s="188">
        <v>1011</v>
      </c>
      <c r="I79" s="188">
        <v>1011</v>
      </c>
      <c r="J79" s="148"/>
    </row>
    <row r="80" spans="1:10" ht="37.5">
      <c r="A80" s="72" t="s">
        <v>233</v>
      </c>
      <c r="B80" s="167">
        <v>1150</v>
      </c>
      <c r="C80" s="188">
        <v>32287</v>
      </c>
      <c r="D80" s="188">
        <v>6245</v>
      </c>
      <c r="E80" s="188">
        <v>36154</v>
      </c>
      <c r="F80" s="188">
        <v>15034</v>
      </c>
      <c r="G80" s="282">
        <f>F80*2</f>
        <v>30068</v>
      </c>
      <c r="H80" s="282">
        <f>F80*3</f>
        <v>45102</v>
      </c>
      <c r="I80" s="282">
        <f>I81</f>
        <v>60136</v>
      </c>
      <c r="J80" s="148"/>
    </row>
    <row r="81" spans="1:11" ht="29.25" customHeight="1">
      <c r="A81" s="293" t="s">
        <v>683</v>
      </c>
      <c r="B81" s="167" t="s">
        <v>429</v>
      </c>
      <c r="C81" s="188">
        <v>32287</v>
      </c>
      <c r="D81" s="188">
        <v>6245</v>
      </c>
      <c r="E81" s="188">
        <v>36154</v>
      </c>
      <c r="F81" s="188">
        <v>15034</v>
      </c>
      <c r="G81" s="188">
        <v>30068</v>
      </c>
      <c r="H81" s="188">
        <v>45102</v>
      </c>
      <c r="I81" s="188">
        <v>60136</v>
      </c>
      <c r="J81" s="148"/>
    </row>
    <row r="82" spans="1:11" ht="20.100000000000001" customHeight="1">
      <c r="A82" s="72" t="s">
        <v>232</v>
      </c>
      <c r="B82" s="167">
        <v>1151</v>
      </c>
      <c r="C82" s="188"/>
      <c r="D82" s="188"/>
      <c r="E82" s="188"/>
      <c r="F82" s="188"/>
      <c r="G82" s="188"/>
      <c r="H82" s="188"/>
      <c r="I82" s="188"/>
      <c r="J82" s="148"/>
    </row>
    <row r="83" spans="1:11" ht="37.5">
      <c r="A83" s="72" t="s">
        <v>234</v>
      </c>
      <c r="B83" s="167">
        <v>1160</v>
      </c>
      <c r="C83" s="188">
        <v>32287</v>
      </c>
      <c r="D83" s="188">
        <v>6245</v>
      </c>
      <c r="E83" s="188">
        <v>36186</v>
      </c>
      <c r="F83" s="188"/>
      <c r="G83" s="188"/>
      <c r="H83" s="188"/>
      <c r="I83" s="188"/>
      <c r="J83" s="148"/>
    </row>
    <row r="84" spans="1:11">
      <c r="A84" s="72" t="s">
        <v>213</v>
      </c>
      <c r="B84" s="167" t="s">
        <v>430</v>
      </c>
      <c r="C84" s="188">
        <v>32287</v>
      </c>
      <c r="D84" s="188">
        <v>6245</v>
      </c>
      <c r="E84" s="188">
        <v>36186</v>
      </c>
      <c r="F84" s="188"/>
      <c r="G84" s="188"/>
      <c r="H84" s="188"/>
      <c r="I84" s="188"/>
      <c r="J84" s="148"/>
    </row>
    <row r="85" spans="1:11" ht="20.100000000000001" customHeight="1">
      <c r="A85" s="72" t="s">
        <v>232</v>
      </c>
      <c r="B85" s="167">
        <v>1161</v>
      </c>
      <c r="C85" s="188"/>
      <c r="D85" s="188"/>
      <c r="E85" s="188"/>
      <c r="F85" s="188"/>
      <c r="G85" s="188"/>
      <c r="H85" s="188"/>
      <c r="I85" s="188"/>
      <c r="J85" s="148"/>
    </row>
    <row r="86" spans="1:11" s="5" customFormat="1" ht="37.5">
      <c r="A86" s="166" t="s">
        <v>107</v>
      </c>
      <c r="B86" s="221">
        <v>1170</v>
      </c>
      <c r="C86" s="187">
        <f t="shared" ref="C86:I86" si="8">C71+C72+C73+C80-C77-C76-C83</f>
        <v>30</v>
      </c>
      <c r="D86" s="187">
        <f t="shared" si="8"/>
        <v>2524</v>
      </c>
      <c r="E86" s="187">
        <f t="shared" si="8"/>
        <v>-12867</v>
      </c>
      <c r="F86" s="281">
        <f t="shared" si="8"/>
        <v>-1334</v>
      </c>
      <c r="G86" s="187">
        <f t="shared" si="8"/>
        <v>571</v>
      </c>
      <c r="H86" s="187">
        <f t="shared" si="8"/>
        <v>5265</v>
      </c>
      <c r="I86" s="187">
        <f t="shared" si="8"/>
        <v>6229</v>
      </c>
      <c r="J86" s="149"/>
    </row>
    <row r="87" spans="1:11" ht="20.100000000000001" customHeight="1">
      <c r="A87" s="72" t="s">
        <v>151</v>
      </c>
      <c r="B87" s="167">
        <v>1180</v>
      </c>
      <c r="C87" s="188"/>
      <c r="D87" s="188">
        <v>454</v>
      </c>
      <c r="E87" s="188"/>
      <c r="F87" s="282"/>
      <c r="G87" s="188">
        <f>ROUND(G86*18%,0)</f>
        <v>103</v>
      </c>
      <c r="H87" s="188">
        <f>G87</f>
        <v>103</v>
      </c>
      <c r="I87" s="188">
        <f t="shared" ref="I87" si="9">ROUND(I86*18%,0)</f>
        <v>1121</v>
      </c>
      <c r="J87" s="148"/>
    </row>
    <row r="88" spans="1:11" ht="37.5">
      <c r="A88" s="72" t="s">
        <v>152</v>
      </c>
      <c r="B88" s="167">
        <v>1190</v>
      </c>
      <c r="C88" s="188"/>
      <c r="D88" s="188"/>
      <c r="E88" s="188"/>
      <c r="F88" s="282"/>
      <c r="G88" s="282"/>
      <c r="H88" s="282"/>
      <c r="I88" s="282"/>
      <c r="J88" s="148"/>
    </row>
    <row r="89" spans="1:11" s="5" customFormat="1" ht="37.5">
      <c r="A89" s="166" t="s">
        <v>108</v>
      </c>
      <c r="B89" s="221">
        <v>1200</v>
      </c>
      <c r="C89" s="187">
        <f t="shared" ref="C89:I89" si="10">C86-C87-C88</f>
        <v>30</v>
      </c>
      <c r="D89" s="187">
        <f t="shared" si="10"/>
        <v>2070</v>
      </c>
      <c r="E89" s="187">
        <f t="shared" si="10"/>
        <v>-12867</v>
      </c>
      <c r="F89" s="281">
        <f t="shared" si="10"/>
        <v>-1334</v>
      </c>
      <c r="G89" s="187">
        <f t="shared" si="10"/>
        <v>468</v>
      </c>
      <c r="H89" s="187">
        <f t="shared" si="10"/>
        <v>5162</v>
      </c>
      <c r="I89" s="187">
        <f t="shared" si="10"/>
        <v>5108</v>
      </c>
      <c r="K89" s="294">
        <f>I7*3%</f>
        <v>5107.83</v>
      </c>
    </row>
    <row r="90" spans="1:11">
      <c r="A90" s="72" t="s">
        <v>25</v>
      </c>
      <c r="B90" s="186">
        <v>1201</v>
      </c>
      <c r="C90" s="187">
        <f>SUMIF(C89,"&gt;0")</f>
        <v>30</v>
      </c>
      <c r="D90" s="187">
        <f t="shared" ref="D90:I90" si="11">SUMIF(D89,"&gt;0")</f>
        <v>2070</v>
      </c>
      <c r="E90" s="187">
        <f t="shared" si="11"/>
        <v>0</v>
      </c>
      <c r="F90" s="281">
        <f t="shared" si="11"/>
        <v>0</v>
      </c>
      <c r="G90" s="187">
        <f t="shared" si="11"/>
        <v>468</v>
      </c>
      <c r="H90" s="187">
        <f t="shared" si="11"/>
        <v>5162</v>
      </c>
      <c r="I90" s="187">
        <f t="shared" si="11"/>
        <v>5108</v>
      </c>
      <c r="J90" s="148"/>
    </row>
    <row r="91" spans="1:11" ht="35.25" customHeight="1">
      <c r="A91" s="72" t="s">
        <v>26</v>
      </c>
      <c r="B91" s="186">
        <v>1202</v>
      </c>
      <c r="C91" s="187">
        <f>SUMIF(C89,"&lt;0")</f>
        <v>0</v>
      </c>
      <c r="D91" s="187">
        <f t="shared" ref="D91:I91" si="12">SUMIF(D89,"&lt;0")</f>
        <v>0</v>
      </c>
      <c r="E91" s="187">
        <f t="shared" si="12"/>
        <v>-12867</v>
      </c>
      <c r="F91" s="187">
        <f t="shared" si="12"/>
        <v>-1334</v>
      </c>
      <c r="G91" s="187">
        <f t="shared" si="12"/>
        <v>0</v>
      </c>
      <c r="H91" s="187">
        <f t="shared" si="12"/>
        <v>0</v>
      </c>
      <c r="I91" s="187">
        <f t="shared" si="12"/>
        <v>0</v>
      </c>
      <c r="J91" s="148"/>
    </row>
    <row r="92" spans="1:11" ht="19.5" customHeight="1">
      <c r="A92" s="72" t="s">
        <v>265</v>
      </c>
      <c r="B92" s="167">
        <v>1210</v>
      </c>
      <c r="C92" s="188"/>
      <c r="D92" s="188"/>
      <c r="E92" s="188"/>
      <c r="F92" s="188"/>
      <c r="G92" s="188"/>
      <c r="H92" s="188"/>
      <c r="I92" s="188"/>
      <c r="J92" s="148"/>
    </row>
    <row r="93" spans="1:11" s="5" customFormat="1" ht="20.100000000000001" customHeight="1">
      <c r="A93" s="337" t="s">
        <v>310</v>
      </c>
      <c r="B93" s="338"/>
      <c r="C93" s="338"/>
      <c r="D93" s="338"/>
      <c r="E93" s="338"/>
      <c r="F93" s="338"/>
      <c r="G93" s="338"/>
      <c r="H93" s="338"/>
      <c r="I93" s="338"/>
      <c r="J93" s="339"/>
    </row>
    <row r="94" spans="1:11" ht="42.75" customHeight="1">
      <c r="A94" s="215" t="s">
        <v>288</v>
      </c>
      <c r="B94" s="98">
        <v>1300</v>
      </c>
      <c r="C94" s="191">
        <f t="shared" ref="C94:I94" si="13">C24-C60</f>
        <v>-282</v>
      </c>
      <c r="D94" s="191">
        <f t="shared" si="13"/>
        <v>-566</v>
      </c>
      <c r="E94" s="191">
        <f t="shared" si="13"/>
        <v>-586</v>
      </c>
      <c r="F94" s="191">
        <f t="shared" si="13"/>
        <v>-15233</v>
      </c>
      <c r="G94" s="191">
        <f t="shared" si="13"/>
        <v>-30463</v>
      </c>
      <c r="H94" s="191">
        <f t="shared" si="13"/>
        <v>-45695</v>
      </c>
      <c r="I94" s="191">
        <f t="shared" si="13"/>
        <v>-60927</v>
      </c>
      <c r="J94" s="148"/>
    </row>
    <row r="95" spans="1:11" ht="75">
      <c r="A95" s="105" t="s">
        <v>282</v>
      </c>
      <c r="B95" s="98">
        <v>1310</v>
      </c>
      <c r="C95" s="191">
        <f t="shared" ref="C95:I95" si="14">C72+C73-C76-C77</f>
        <v>6842</v>
      </c>
      <c r="D95" s="191">
        <f t="shared" si="14"/>
        <v>0</v>
      </c>
      <c r="E95" s="191">
        <f t="shared" si="14"/>
        <v>370</v>
      </c>
      <c r="F95" s="191">
        <f t="shared" si="14"/>
        <v>194</v>
      </c>
      <c r="G95" s="191">
        <f t="shared" si="14"/>
        <v>541</v>
      </c>
      <c r="H95" s="191">
        <f t="shared" si="14"/>
        <v>-1473</v>
      </c>
      <c r="I95" s="191">
        <f t="shared" si="14"/>
        <v>-2598</v>
      </c>
      <c r="J95" s="148"/>
    </row>
    <row r="96" spans="1:11" ht="42.75" customHeight="1">
      <c r="A96" s="215" t="s">
        <v>283</v>
      </c>
      <c r="B96" s="98">
        <v>1320</v>
      </c>
      <c r="C96" s="191">
        <f>C80-C83</f>
        <v>0</v>
      </c>
      <c r="D96" s="191">
        <f t="shared" ref="D96:I96" si="15">D80-D83</f>
        <v>0</v>
      </c>
      <c r="E96" s="191">
        <f t="shared" si="15"/>
        <v>-32</v>
      </c>
      <c r="F96" s="191">
        <f t="shared" si="15"/>
        <v>15034</v>
      </c>
      <c r="G96" s="191">
        <f t="shared" si="15"/>
        <v>30068</v>
      </c>
      <c r="H96" s="191">
        <f t="shared" si="15"/>
        <v>45102</v>
      </c>
      <c r="I96" s="191">
        <f t="shared" si="15"/>
        <v>60136</v>
      </c>
      <c r="J96" s="148"/>
    </row>
    <row r="97" spans="1:16" ht="56.25">
      <c r="A97" s="105" t="s">
        <v>368</v>
      </c>
      <c r="B97" s="213">
        <v>1330</v>
      </c>
      <c r="C97" s="191">
        <f t="shared" ref="C97:I97" si="16">C7+C24+C72+C73+C80</f>
        <v>72591</v>
      </c>
      <c r="D97" s="191">
        <f t="shared" si="16"/>
        <v>73518</v>
      </c>
      <c r="E97" s="191">
        <f t="shared" si="16"/>
        <v>104850</v>
      </c>
      <c r="F97" s="191">
        <f t="shared" si="16"/>
        <v>66434</v>
      </c>
      <c r="G97" s="191">
        <f t="shared" si="16"/>
        <v>129778</v>
      </c>
      <c r="H97" s="191">
        <f t="shared" si="16"/>
        <v>180841</v>
      </c>
      <c r="I97" s="191">
        <f t="shared" si="16"/>
        <v>231048</v>
      </c>
      <c r="J97" s="148"/>
    </row>
    <row r="98" spans="1:16" ht="75">
      <c r="A98" s="105" t="s">
        <v>369</v>
      </c>
      <c r="B98" s="213">
        <v>1340</v>
      </c>
      <c r="C98" s="191">
        <f t="shared" ref="C98:I98" si="17">C12+C27+C52+C60+C76+C77+C83+C87+C88</f>
        <v>72561</v>
      </c>
      <c r="D98" s="191">
        <f t="shared" si="17"/>
        <v>71448</v>
      </c>
      <c r="E98" s="191">
        <f t="shared" si="17"/>
        <v>117717</v>
      </c>
      <c r="F98" s="191">
        <f t="shared" si="17"/>
        <v>67768</v>
      </c>
      <c r="G98" s="191">
        <f t="shared" si="17"/>
        <v>129310</v>
      </c>
      <c r="H98" s="191">
        <f t="shared" si="17"/>
        <v>175679</v>
      </c>
      <c r="I98" s="191">
        <f t="shared" si="17"/>
        <v>225940</v>
      </c>
      <c r="J98" s="148"/>
    </row>
    <row r="99" spans="1:16" ht="20.100000000000001" customHeight="1">
      <c r="A99" s="337" t="s">
        <v>181</v>
      </c>
      <c r="B99" s="338"/>
      <c r="C99" s="338"/>
      <c r="D99" s="338"/>
      <c r="E99" s="338"/>
      <c r="F99" s="338"/>
      <c r="G99" s="338"/>
      <c r="H99" s="338"/>
      <c r="I99" s="338"/>
      <c r="J99" s="339"/>
    </row>
    <row r="100" spans="1:16" ht="37.5">
      <c r="A100" s="105" t="s">
        <v>284</v>
      </c>
      <c r="B100" s="213">
        <v>1400</v>
      </c>
      <c r="C100" s="191">
        <f t="shared" ref="C100:I100" si="18">C71</f>
        <v>-6812</v>
      </c>
      <c r="D100" s="191">
        <f t="shared" si="18"/>
        <v>2524</v>
      </c>
      <c r="E100" s="191">
        <f t="shared" si="18"/>
        <v>-13205</v>
      </c>
      <c r="F100" s="191">
        <f t="shared" si="18"/>
        <v>-16562</v>
      </c>
      <c r="G100" s="191">
        <f t="shared" si="18"/>
        <v>-30038</v>
      </c>
      <c r="H100" s="191">
        <f t="shared" si="18"/>
        <v>-38364</v>
      </c>
      <c r="I100" s="191">
        <f t="shared" si="18"/>
        <v>-51309</v>
      </c>
      <c r="J100" s="148"/>
    </row>
    <row r="101" spans="1:16">
      <c r="A101" s="105" t="s">
        <v>285</v>
      </c>
      <c r="B101" s="213">
        <v>1401</v>
      </c>
      <c r="C101" s="191">
        <f>C112</f>
        <v>35769</v>
      </c>
      <c r="D101" s="191">
        <f t="shared" ref="D101:I101" si="19">D112</f>
        <v>13983</v>
      </c>
      <c r="E101" s="191">
        <f t="shared" si="19"/>
        <v>8280</v>
      </c>
      <c r="F101" s="191">
        <f t="shared" si="19"/>
        <v>4975</v>
      </c>
      <c r="G101" s="191">
        <f t="shared" si="19"/>
        <v>9930</v>
      </c>
      <c r="H101" s="191">
        <f t="shared" si="19"/>
        <v>14895</v>
      </c>
      <c r="I101" s="191">
        <f t="shared" si="19"/>
        <v>19861</v>
      </c>
      <c r="J101" s="148"/>
    </row>
    <row r="102" spans="1:16" ht="37.5">
      <c r="A102" s="105" t="s">
        <v>286</v>
      </c>
      <c r="B102" s="213">
        <v>1402</v>
      </c>
      <c r="C102" s="191">
        <f t="shared" ref="C102:I102" si="20">C26</f>
        <v>0</v>
      </c>
      <c r="D102" s="191">
        <f t="shared" si="20"/>
        <v>0</v>
      </c>
      <c r="E102" s="191">
        <f t="shared" si="20"/>
        <v>0</v>
      </c>
      <c r="F102" s="191">
        <f t="shared" si="20"/>
        <v>0</v>
      </c>
      <c r="G102" s="191">
        <f t="shared" si="20"/>
        <v>0</v>
      </c>
      <c r="H102" s="191">
        <f t="shared" si="20"/>
        <v>0</v>
      </c>
      <c r="I102" s="191">
        <f t="shared" si="20"/>
        <v>0</v>
      </c>
      <c r="J102" s="148"/>
    </row>
    <row r="103" spans="1:16" ht="37.5">
      <c r="A103" s="105" t="s">
        <v>287</v>
      </c>
      <c r="B103" s="213">
        <v>1403</v>
      </c>
      <c r="C103" s="191">
        <f t="shared" ref="C103:I103" si="21">C66</f>
        <v>0</v>
      </c>
      <c r="D103" s="191">
        <f t="shared" si="21"/>
        <v>0</v>
      </c>
      <c r="E103" s="191">
        <f t="shared" si="21"/>
        <v>0</v>
      </c>
      <c r="F103" s="191">
        <f t="shared" si="21"/>
        <v>0</v>
      </c>
      <c r="G103" s="191">
        <f t="shared" si="21"/>
        <v>0</v>
      </c>
      <c r="H103" s="191">
        <f t="shared" si="21"/>
        <v>0</v>
      </c>
      <c r="I103" s="191">
        <f t="shared" si="21"/>
        <v>0</v>
      </c>
      <c r="J103" s="148"/>
    </row>
    <row r="104" spans="1:16" ht="37.5">
      <c r="A104" s="105" t="s">
        <v>354</v>
      </c>
      <c r="B104" s="213">
        <v>1404</v>
      </c>
      <c r="C104" s="216"/>
      <c r="D104" s="216"/>
      <c r="E104" s="216"/>
      <c r="F104" s="216"/>
      <c r="G104" s="216"/>
      <c r="H104" s="216"/>
      <c r="I104" s="216"/>
      <c r="J104" s="148"/>
    </row>
    <row r="105" spans="1:16" s="5" customFormat="1" ht="20.100000000000001" customHeight="1">
      <c r="A105" s="107" t="s">
        <v>155</v>
      </c>
      <c r="B105" s="217">
        <v>1410</v>
      </c>
      <c r="C105" s="201">
        <f>C100+C101-C102+C103</f>
        <v>28957</v>
      </c>
      <c r="D105" s="201">
        <f t="shared" ref="D105:I105" si="22">D100+D101-D102+D103</f>
        <v>16507</v>
      </c>
      <c r="E105" s="201">
        <f t="shared" si="22"/>
        <v>-4925</v>
      </c>
      <c r="F105" s="201">
        <f t="shared" si="22"/>
        <v>-11587</v>
      </c>
      <c r="G105" s="201">
        <f t="shared" si="22"/>
        <v>-20108</v>
      </c>
      <c r="H105" s="201">
        <f t="shared" si="22"/>
        <v>-23469</v>
      </c>
      <c r="I105" s="201">
        <f t="shared" si="22"/>
        <v>-31448</v>
      </c>
      <c r="J105" s="149"/>
    </row>
    <row r="106" spans="1:16" ht="20.100000000000001" customHeight="1">
      <c r="A106" s="337" t="s">
        <v>249</v>
      </c>
      <c r="B106" s="338"/>
      <c r="C106" s="338"/>
      <c r="D106" s="338"/>
      <c r="E106" s="338"/>
      <c r="F106" s="338"/>
      <c r="G106" s="338"/>
      <c r="H106" s="338"/>
      <c r="I106" s="338"/>
      <c r="J106" s="339"/>
    </row>
    <row r="107" spans="1:16" ht="20.100000000000001" customHeight="1">
      <c r="A107" s="8" t="s">
        <v>311</v>
      </c>
      <c r="B107" s="74">
        <v>1500</v>
      </c>
      <c r="C107" s="188">
        <f>C108+C109</f>
        <v>15912</v>
      </c>
      <c r="D107" s="188">
        <f t="shared" ref="D107:I107" si="23">D108+D109</f>
        <v>24291</v>
      </c>
      <c r="E107" s="282">
        <f>E108+E109</f>
        <v>27069</v>
      </c>
      <c r="F107" s="282">
        <f t="shared" si="23"/>
        <v>36366</v>
      </c>
      <c r="G107" s="188">
        <f t="shared" si="23"/>
        <v>40652</v>
      </c>
      <c r="H107" s="188">
        <f t="shared" si="23"/>
        <v>49019</v>
      </c>
      <c r="I107" s="188">
        <f t="shared" si="23"/>
        <v>60760</v>
      </c>
      <c r="J107" s="148"/>
    </row>
    <row r="108" spans="1:16" ht="37.5">
      <c r="A108" s="8" t="s">
        <v>309</v>
      </c>
      <c r="B108" s="7">
        <v>1501</v>
      </c>
      <c r="C108" s="188">
        <f t="shared" ref="C108:I108" si="24">C13+C122</f>
        <v>6242</v>
      </c>
      <c r="D108" s="188">
        <f t="shared" si="24"/>
        <v>9919</v>
      </c>
      <c r="E108" s="282">
        <f t="shared" si="24"/>
        <v>13431</v>
      </c>
      <c r="F108" s="282">
        <f t="shared" si="24"/>
        <v>31284</v>
      </c>
      <c r="G108" s="188">
        <f t="shared" si="24"/>
        <v>31398</v>
      </c>
      <c r="H108" s="188">
        <f t="shared" si="24"/>
        <v>33638</v>
      </c>
      <c r="I108" s="188">
        <f t="shared" si="24"/>
        <v>40251</v>
      </c>
      <c r="J108" s="276"/>
    </row>
    <row r="109" spans="1:16">
      <c r="A109" s="8" t="s">
        <v>29</v>
      </c>
      <c r="B109" s="7">
        <v>1502</v>
      </c>
      <c r="C109" s="188">
        <f t="shared" ref="C109:I109" si="25">C14+C15</f>
        <v>9670</v>
      </c>
      <c r="D109" s="188">
        <f t="shared" si="25"/>
        <v>14372</v>
      </c>
      <c r="E109" s="282">
        <f t="shared" si="25"/>
        <v>13638</v>
      </c>
      <c r="F109" s="282">
        <f t="shared" si="25"/>
        <v>5082</v>
      </c>
      <c r="G109" s="188">
        <f t="shared" si="25"/>
        <v>9254</v>
      </c>
      <c r="H109" s="188">
        <f t="shared" si="25"/>
        <v>15381</v>
      </c>
      <c r="I109" s="188">
        <f t="shared" si="25"/>
        <v>20509</v>
      </c>
      <c r="J109" s="276"/>
    </row>
    <row r="110" spans="1:16">
      <c r="A110" s="8" t="s">
        <v>5</v>
      </c>
      <c r="B110" s="74">
        <v>1510</v>
      </c>
      <c r="C110" s="188">
        <f t="shared" ref="C110:I111" si="26">C16+C35+C123</f>
        <v>16872</v>
      </c>
      <c r="D110" s="188">
        <f t="shared" si="26"/>
        <v>25698</v>
      </c>
      <c r="E110" s="282">
        <f t="shared" si="26"/>
        <v>24774</v>
      </c>
      <c r="F110" s="282">
        <f t="shared" si="26"/>
        <v>8433</v>
      </c>
      <c r="G110" s="188">
        <f t="shared" si="26"/>
        <v>14997</v>
      </c>
      <c r="H110" s="188">
        <f t="shared" si="26"/>
        <v>22931</v>
      </c>
      <c r="I110" s="188">
        <f t="shared" si="26"/>
        <v>30811</v>
      </c>
      <c r="J110" s="276"/>
    </row>
    <row r="111" spans="1:16">
      <c r="A111" s="8" t="s">
        <v>6</v>
      </c>
      <c r="B111" s="74">
        <v>1520</v>
      </c>
      <c r="C111" s="188">
        <f t="shared" si="26"/>
        <v>3658</v>
      </c>
      <c r="D111" s="188">
        <f t="shared" si="26"/>
        <v>5874</v>
      </c>
      <c r="E111" s="282">
        <f t="shared" si="26"/>
        <v>5396</v>
      </c>
      <c r="F111" s="282">
        <f t="shared" si="26"/>
        <v>1852</v>
      </c>
      <c r="G111" s="188">
        <f t="shared" si="26"/>
        <v>3240</v>
      </c>
      <c r="H111" s="188">
        <f t="shared" si="26"/>
        <v>4955</v>
      </c>
      <c r="I111" s="188">
        <f t="shared" si="26"/>
        <v>6659</v>
      </c>
      <c r="J111" s="276"/>
      <c r="K111" s="202">
        <f>ROUND(Лист1!C17,0)</f>
        <v>1825</v>
      </c>
      <c r="L111" s="202">
        <f>ROUND(Лист1!D17,0)</f>
        <v>3240</v>
      </c>
      <c r="M111" s="202">
        <f>ROUND(Лист1!E17,0)</f>
        <v>4955</v>
      </c>
      <c r="N111" s="202">
        <f>ROUND(Лист1!F17,0)</f>
        <v>6659</v>
      </c>
      <c r="O111" s="202"/>
      <c r="P111" s="202"/>
    </row>
    <row r="112" spans="1:16">
      <c r="A112" s="8" t="s">
        <v>7</v>
      </c>
      <c r="B112" s="74">
        <v>1530</v>
      </c>
      <c r="C112" s="188">
        <v>35769</v>
      </c>
      <c r="D112" s="188">
        <v>13983</v>
      </c>
      <c r="E112" s="282">
        <f>E19+E37+E125</f>
        <v>8280</v>
      </c>
      <c r="F112" s="282">
        <f>F19+F37+F125</f>
        <v>4975</v>
      </c>
      <c r="G112" s="188">
        <f>G19+G37+G125</f>
        <v>9930</v>
      </c>
      <c r="H112" s="188">
        <f>H19+H37+H125</f>
        <v>14895</v>
      </c>
      <c r="I112" s="188">
        <f>I19+I37+I125</f>
        <v>19861</v>
      </c>
      <c r="J112" s="276"/>
      <c r="K112" s="202">
        <f>K111-F111</f>
        <v>-27</v>
      </c>
      <c r="L112" s="202">
        <f>L111-G111</f>
        <v>0</v>
      </c>
      <c r="M112" s="202">
        <f>M111-H111</f>
        <v>0</v>
      </c>
      <c r="N112" s="202">
        <f>N111-I111</f>
        <v>0</v>
      </c>
    </row>
    <row r="113" spans="1:10">
      <c r="A113" s="8" t="s">
        <v>30</v>
      </c>
      <c r="B113" s="74">
        <v>1540</v>
      </c>
      <c r="C113" s="203">
        <f>C98-C87-C107-C110-C111-C112</f>
        <v>350</v>
      </c>
      <c r="D113" s="203">
        <v>582</v>
      </c>
      <c r="E113" s="282">
        <f>E98-E87-E107-E110-E111-E112-E83</f>
        <v>16012</v>
      </c>
      <c r="F113" s="282">
        <f>F98-F87-F107-F110-F111-F112</f>
        <v>16142</v>
      </c>
      <c r="G113" s="188">
        <f>G98-G87-G107-G110-G111-G112</f>
        <v>60388</v>
      </c>
      <c r="H113" s="188">
        <f>H98-H87-H107-H110-H111-H112</f>
        <v>83776</v>
      </c>
      <c r="I113" s="188">
        <f>I98-I87-I107-I110-I111-I112</f>
        <v>106728</v>
      </c>
      <c r="J113" s="276"/>
    </row>
    <row r="114" spans="1:10" s="5" customFormat="1" ht="20.100000000000001" customHeight="1">
      <c r="A114" s="9" t="s">
        <v>61</v>
      </c>
      <c r="B114" s="73">
        <v>1550</v>
      </c>
      <c r="C114" s="189">
        <f>SUM(C107,C110:C113)</f>
        <v>72561</v>
      </c>
      <c r="D114" s="189">
        <f t="shared" ref="D114:I114" si="27">SUM(D107,D110:D113)</f>
        <v>70428</v>
      </c>
      <c r="E114" s="189">
        <f t="shared" si="27"/>
        <v>81531</v>
      </c>
      <c r="F114" s="189">
        <f t="shared" si="27"/>
        <v>67768</v>
      </c>
      <c r="G114" s="189">
        <f t="shared" si="27"/>
        <v>129207</v>
      </c>
      <c r="H114" s="189">
        <f t="shared" si="27"/>
        <v>175576</v>
      </c>
      <c r="I114" s="189">
        <f t="shared" si="27"/>
        <v>224819</v>
      </c>
      <c r="J114" s="149"/>
    </row>
    <row r="115" spans="1:10" s="5" customFormat="1" ht="20.100000000000001" customHeight="1">
      <c r="A115" s="139"/>
      <c r="B115" s="143"/>
      <c r="C115" s="144"/>
      <c r="D115" s="144"/>
      <c r="E115" s="145"/>
      <c r="F115" s="145"/>
      <c r="G115" s="145"/>
      <c r="H115" s="145"/>
      <c r="I115" s="145"/>
      <c r="J115" s="146"/>
    </row>
    <row r="116" spans="1:10" s="5" customFormat="1" ht="15.75" customHeight="1">
      <c r="A116" s="139"/>
      <c r="B116" s="143"/>
      <c r="C116" s="144"/>
      <c r="D116" s="144"/>
      <c r="E116" s="144"/>
      <c r="F116" s="145"/>
      <c r="G116" s="145"/>
      <c r="H116" s="145"/>
      <c r="I116" s="145"/>
      <c r="J116" s="146"/>
    </row>
    <row r="117" spans="1:10" ht="16.5" customHeight="1">
      <c r="A117" s="115"/>
      <c r="B117" s="111"/>
      <c r="C117" s="137"/>
      <c r="D117" s="138"/>
      <c r="E117" s="138"/>
      <c r="F117" s="138"/>
      <c r="G117" s="138"/>
      <c r="H117" s="138"/>
      <c r="I117" s="138"/>
      <c r="J117" s="110"/>
    </row>
    <row r="118" spans="1:10" ht="56.25">
      <c r="A118" s="139" t="s">
        <v>465</v>
      </c>
      <c r="B118" s="140"/>
      <c r="C118" s="340" t="s">
        <v>259</v>
      </c>
      <c r="D118" s="340"/>
      <c r="E118" s="340"/>
      <c r="F118" s="141"/>
      <c r="G118" s="331" t="s">
        <v>416</v>
      </c>
      <c r="H118" s="331"/>
      <c r="I118" s="331"/>
      <c r="J118" s="110"/>
    </row>
    <row r="119" spans="1:10" s="1" customFormat="1" ht="20.100000000000001" customHeight="1">
      <c r="A119" s="97" t="s">
        <v>258</v>
      </c>
      <c r="B119" s="110"/>
      <c r="C119" s="336" t="s">
        <v>339</v>
      </c>
      <c r="D119" s="336"/>
      <c r="E119" s="336"/>
      <c r="F119" s="142"/>
      <c r="G119" s="313" t="s">
        <v>116</v>
      </c>
      <c r="H119" s="313"/>
      <c r="I119" s="313"/>
      <c r="J119" s="147"/>
    </row>
    <row r="120" spans="1:10" ht="20.100000000000001" customHeight="1">
      <c r="A120" s="115"/>
      <c r="B120" s="111"/>
      <c r="C120" s="229">
        <v>2016</v>
      </c>
      <c r="D120" s="229" t="s">
        <v>676</v>
      </c>
      <c r="E120" s="229">
        <v>2017</v>
      </c>
      <c r="F120" s="229" t="s">
        <v>678</v>
      </c>
      <c r="G120" s="229" t="s">
        <v>372</v>
      </c>
      <c r="H120" s="229" t="s">
        <v>677</v>
      </c>
      <c r="I120" s="229">
        <v>2018</v>
      </c>
      <c r="J120" s="110"/>
    </row>
    <row r="121" spans="1:10">
      <c r="A121" s="115"/>
      <c r="B121" s="111" t="s">
        <v>474</v>
      </c>
      <c r="C121" s="137"/>
      <c r="D121" s="138"/>
      <c r="E121" s="138"/>
      <c r="F121" s="138"/>
      <c r="G121" s="138"/>
      <c r="H121" s="138"/>
      <c r="I121" s="138"/>
      <c r="J121" s="110"/>
    </row>
    <row r="122" spans="1:10">
      <c r="A122" s="115"/>
      <c r="B122" s="111" t="s">
        <v>469</v>
      </c>
      <c r="C122" s="137"/>
      <c r="D122" s="229">
        <v>134</v>
      </c>
      <c r="E122" s="273">
        <v>195</v>
      </c>
      <c r="F122" s="273">
        <v>79</v>
      </c>
      <c r="G122" s="273">
        <v>98</v>
      </c>
      <c r="H122" s="273">
        <v>132</v>
      </c>
      <c r="I122" s="229">
        <v>195</v>
      </c>
      <c r="J122" s="275"/>
    </row>
    <row r="123" spans="1:10">
      <c r="A123" s="115"/>
      <c r="B123" s="111" t="s">
        <v>470</v>
      </c>
      <c r="C123" s="137"/>
      <c r="D123" s="229">
        <v>567</v>
      </c>
      <c r="E123" s="273">
        <v>497</v>
      </c>
      <c r="F123" s="273">
        <v>125</v>
      </c>
      <c r="G123" s="273">
        <v>249</v>
      </c>
      <c r="H123" s="273">
        <v>362</v>
      </c>
      <c r="I123" s="229">
        <v>497</v>
      </c>
      <c r="J123" s="275"/>
    </row>
    <row r="124" spans="1:10">
      <c r="A124" s="115"/>
      <c r="B124" s="111" t="s">
        <v>471</v>
      </c>
      <c r="C124" s="137"/>
      <c r="D124" s="229">
        <v>126</v>
      </c>
      <c r="E124" s="273">
        <v>109</v>
      </c>
      <c r="F124" s="273">
        <v>27</v>
      </c>
      <c r="G124" s="273">
        <v>54</v>
      </c>
      <c r="H124" s="273">
        <v>81</v>
      </c>
      <c r="I124" s="229">
        <v>109</v>
      </c>
      <c r="J124" s="275"/>
    </row>
    <row r="125" spans="1:10">
      <c r="A125" s="115"/>
      <c r="B125" s="111" t="s">
        <v>213</v>
      </c>
      <c r="C125" s="137"/>
      <c r="D125" s="229">
        <v>73</v>
      </c>
      <c r="E125" s="273">
        <v>69</v>
      </c>
      <c r="F125" s="273">
        <v>27</v>
      </c>
      <c r="G125" s="273">
        <v>34</v>
      </c>
      <c r="H125" s="273">
        <v>51</v>
      </c>
      <c r="I125" s="229">
        <v>69</v>
      </c>
      <c r="J125" s="275"/>
    </row>
    <row r="126" spans="1:10">
      <c r="A126" s="115"/>
      <c r="B126" s="111" t="s">
        <v>472</v>
      </c>
      <c r="C126" s="137">
        <v>3</v>
      </c>
      <c r="D126" s="229"/>
      <c r="E126" s="273"/>
      <c r="F126" s="273"/>
      <c r="G126" s="273"/>
      <c r="H126" s="273"/>
      <c r="I126" s="229"/>
      <c r="J126" s="275"/>
    </row>
    <row r="127" spans="1:10">
      <c r="A127" s="115"/>
      <c r="B127" s="111" t="s">
        <v>473</v>
      </c>
      <c r="C127" s="229">
        <f t="shared" ref="C127" si="28">C122+C123+C124+C125+C126</f>
        <v>3</v>
      </c>
      <c r="D127" s="229">
        <f t="shared" ref="D127:I127" si="29">D122+D123+D124+D125+D126</f>
        <v>900</v>
      </c>
      <c r="E127" s="229">
        <f t="shared" si="29"/>
        <v>870</v>
      </c>
      <c r="F127" s="229">
        <f t="shared" si="29"/>
        <v>258</v>
      </c>
      <c r="G127" s="229">
        <f t="shared" si="29"/>
        <v>435</v>
      </c>
      <c r="H127" s="229">
        <f t="shared" si="29"/>
        <v>626</v>
      </c>
      <c r="I127" s="229">
        <f t="shared" si="29"/>
        <v>870</v>
      </c>
      <c r="J127" s="110"/>
    </row>
    <row r="128" spans="1:10">
      <c r="A128" s="115"/>
      <c r="B128" s="111"/>
      <c r="C128" s="229">
        <f t="shared" ref="C128" si="30">C28</f>
        <v>3</v>
      </c>
      <c r="D128" s="229">
        <f t="shared" ref="D128:I128" si="31">D28</f>
        <v>900</v>
      </c>
      <c r="E128" s="229">
        <f t="shared" si="31"/>
        <v>870</v>
      </c>
      <c r="F128" s="229">
        <f t="shared" si="31"/>
        <v>258</v>
      </c>
      <c r="G128" s="229">
        <f t="shared" si="31"/>
        <v>435</v>
      </c>
      <c r="H128" s="229">
        <f t="shared" si="31"/>
        <v>626</v>
      </c>
      <c r="I128" s="229">
        <f t="shared" si="31"/>
        <v>870</v>
      </c>
      <c r="J128" s="110"/>
    </row>
    <row r="129" spans="1:10">
      <c r="A129" s="72" t="s">
        <v>311</v>
      </c>
      <c r="B129" s="111"/>
      <c r="C129" s="137"/>
      <c r="D129" s="138"/>
      <c r="E129" s="138"/>
      <c r="F129" s="138"/>
      <c r="G129" s="138"/>
      <c r="H129" s="138"/>
      <c r="I129" s="138"/>
      <c r="J129" s="110"/>
    </row>
    <row r="130" spans="1:10" ht="23.25" customHeight="1">
      <c r="A130" s="72" t="s">
        <v>309</v>
      </c>
      <c r="B130" s="110"/>
      <c r="C130" s="110"/>
      <c r="D130" s="274"/>
      <c r="E130" s="274"/>
      <c r="F130" s="274"/>
      <c r="G130" s="274"/>
      <c r="H130" s="274"/>
      <c r="I130" s="274"/>
      <c r="J130" s="110"/>
    </row>
    <row r="131" spans="1:10">
      <c r="A131" s="72" t="s">
        <v>29</v>
      </c>
      <c r="B131" s="110"/>
      <c r="C131" s="110"/>
      <c r="D131" s="274"/>
      <c r="E131" s="274"/>
      <c r="F131" s="278"/>
      <c r="G131" s="278"/>
      <c r="H131" s="278"/>
      <c r="I131" s="278"/>
      <c r="J131" s="110"/>
    </row>
    <row r="132" spans="1:10">
      <c r="A132" s="72" t="s">
        <v>5</v>
      </c>
      <c r="B132" s="110"/>
      <c r="C132" s="110"/>
      <c r="D132" s="274"/>
      <c r="E132" s="274"/>
      <c r="F132" s="278"/>
      <c r="G132" s="278"/>
      <c r="H132" s="278"/>
      <c r="I132" s="278"/>
      <c r="J132" s="110"/>
    </row>
    <row r="133" spans="1:10">
      <c r="A133" s="72" t="s">
        <v>6</v>
      </c>
      <c r="B133" s="110"/>
      <c r="C133" s="110"/>
      <c r="D133" s="274"/>
      <c r="E133" s="274"/>
      <c r="F133" s="278"/>
      <c r="G133" s="278"/>
      <c r="H133" s="278"/>
      <c r="I133" s="278"/>
      <c r="J133" s="110"/>
    </row>
    <row r="134" spans="1:10">
      <c r="A134" s="72" t="s">
        <v>7</v>
      </c>
      <c r="B134" s="110"/>
      <c r="C134" s="110"/>
      <c r="D134" s="274"/>
      <c r="E134" s="274"/>
      <c r="F134" s="274"/>
      <c r="G134" s="274"/>
      <c r="H134" s="274"/>
      <c r="I134" s="274"/>
      <c r="J134" s="110"/>
    </row>
    <row r="135" spans="1:10">
      <c r="A135" s="115"/>
      <c r="B135" s="110"/>
      <c r="C135" s="110"/>
      <c r="D135" s="110"/>
      <c r="E135" s="110"/>
      <c r="F135" s="110"/>
      <c r="G135" s="110"/>
      <c r="H135" s="110"/>
      <c r="I135" s="110"/>
      <c r="J135" s="110"/>
    </row>
    <row r="136" spans="1:10">
      <c r="A136" s="115"/>
      <c r="B136" s="110"/>
      <c r="C136" s="110"/>
      <c r="D136" s="110"/>
      <c r="E136" s="110"/>
      <c r="F136" s="110"/>
      <c r="G136" s="110"/>
      <c r="H136" s="110"/>
      <c r="I136" s="110"/>
      <c r="J136" s="110"/>
    </row>
    <row r="137" spans="1:10">
      <c r="A137" s="115"/>
      <c r="B137" s="110"/>
      <c r="C137" s="110"/>
      <c r="D137" s="110"/>
      <c r="E137" s="110"/>
      <c r="F137" s="110"/>
      <c r="G137" s="110"/>
      <c r="H137" s="110"/>
      <c r="I137" s="110"/>
      <c r="J137" s="110"/>
    </row>
    <row r="138" spans="1:10">
      <c r="A138" s="115"/>
      <c r="B138" s="111"/>
      <c r="C138" s="137"/>
      <c r="D138" s="138"/>
      <c r="E138" s="138"/>
      <c r="F138" s="138"/>
      <c r="G138" s="138"/>
      <c r="H138" s="138"/>
      <c r="I138" s="138"/>
      <c r="J138" s="110"/>
    </row>
    <row r="139" spans="1:10">
      <c r="A139" s="115"/>
      <c r="B139" s="111"/>
      <c r="C139" s="137"/>
      <c r="D139" s="138"/>
      <c r="E139" s="138"/>
      <c r="F139" s="138"/>
      <c r="G139" s="138"/>
      <c r="H139" s="138"/>
      <c r="I139" s="138"/>
      <c r="J139" s="110"/>
    </row>
    <row r="140" spans="1:10">
      <c r="A140" s="115"/>
      <c r="B140" s="111"/>
      <c r="C140" s="137"/>
      <c r="D140" s="138"/>
      <c r="E140" s="138"/>
      <c r="F140" s="138"/>
      <c r="G140" s="138"/>
      <c r="H140" s="138"/>
      <c r="I140" s="138"/>
      <c r="J140" s="110"/>
    </row>
    <row r="141" spans="1:10">
      <c r="A141" s="25"/>
      <c r="C141" s="30"/>
      <c r="D141" s="26"/>
      <c r="E141" s="26"/>
      <c r="F141" s="26"/>
      <c r="G141" s="26"/>
      <c r="H141" s="26"/>
      <c r="I141" s="26"/>
    </row>
    <row r="142" spans="1:10">
      <c r="A142" s="25"/>
      <c r="C142" s="30"/>
      <c r="D142" s="26"/>
      <c r="E142" s="26"/>
      <c r="F142" s="26"/>
      <c r="G142" s="26"/>
      <c r="H142" s="26"/>
      <c r="I142" s="26"/>
    </row>
    <row r="143" spans="1:10">
      <c r="A143" s="25"/>
      <c r="C143" s="30"/>
      <c r="D143" s="26"/>
      <c r="E143" s="26"/>
      <c r="F143" s="26"/>
      <c r="G143" s="26"/>
      <c r="H143" s="26"/>
      <c r="I143" s="26"/>
    </row>
    <row r="144" spans="1:10">
      <c r="A144" s="25"/>
      <c r="C144" s="30"/>
      <c r="D144" s="26"/>
      <c r="E144" s="26"/>
      <c r="F144" s="26"/>
      <c r="G144" s="26"/>
      <c r="H144" s="26"/>
      <c r="I144" s="26"/>
    </row>
    <row r="145" spans="1:9">
      <c r="A145" s="25"/>
      <c r="C145" s="30"/>
      <c r="D145" s="26"/>
      <c r="E145" s="26"/>
      <c r="F145" s="26"/>
      <c r="G145" s="26"/>
      <c r="H145" s="26"/>
      <c r="I145" s="26"/>
    </row>
    <row r="146" spans="1:9">
      <c r="A146" s="25"/>
      <c r="C146" s="30"/>
      <c r="D146" s="26"/>
      <c r="E146" s="26"/>
      <c r="F146" s="26"/>
      <c r="G146" s="26"/>
      <c r="H146" s="26"/>
      <c r="I146" s="26"/>
    </row>
    <row r="147" spans="1:9">
      <c r="A147" s="25"/>
      <c r="C147" s="30"/>
      <c r="D147" s="26"/>
      <c r="E147" s="26"/>
      <c r="F147" s="26"/>
      <c r="G147" s="26"/>
      <c r="H147" s="26"/>
      <c r="I147" s="26"/>
    </row>
    <row r="148" spans="1:9">
      <c r="A148" s="25"/>
      <c r="C148" s="30"/>
      <c r="D148" s="26"/>
      <c r="E148" s="26"/>
      <c r="F148" s="26"/>
      <c r="G148" s="26"/>
      <c r="H148" s="26"/>
      <c r="I148" s="26"/>
    </row>
    <row r="149" spans="1:9">
      <c r="A149" s="25"/>
      <c r="C149" s="30"/>
      <c r="D149" s="26"/>
      <c r="E149" s="26"/>
      <c r="F149" s="26"/>
      <c r="G149" s="26"/>
      <c r="H149" s="26"/>
      <c r="I149" s="26"/>
    </row>
    <row r="150" spans="1:9">
      <c r="A150" s="25"/>
      <c r="C150" s="30"/>
      <c r="D150" s="26"/>
      <c r="E150" s="26"/>
      <c r="F150" s="26"/>
      <c r="G150" s="26"/>
      <c r="H150" s="26"/>
      <c r="I150" s="26"/>
    </row>
    <row r="151" spans="1:9">
      <c r="A151" s="25"/>
      <c r="C151" s="30"/>
      <c r="D151" s="26"/>
      <c r="E151" s="26"/>
      <c r="F151" s="26"/>
      <c r="G151" s="26"/>
      <c r="H151" s="26"/>
      <c r="I151" s="26"/>
    </row>
    <row r="152" spans="1:9">
      <c r="A152" s="25"/>
      <c r="C152" s="30"/>
      <c r="D152" s="26"/>
      <c r="E152" s="26"/>
      <c r="F152" s="26"/>
      <c r="G152" s="26"/>
      <c r="H152" s="26"/>
      <c r="I152" s="26"/>
    </row>
    <row r="153" spans="1:9">
      <c r="A153" s="25"/>
      <c r="C153" s="30"/>
      <c r="D153" s="26"/>
      <c r="E153" s="26"/>
      <c r="F153" s="26"/>
      <c r="G153" s="26"/>
      <c r="H153" s="26"/>
      <c r="I153" s="26"/>
    </row>
    <row r="154" spans="1:9">
      <c r="A154" s="25"/>
      <c r="C154" s="30"/>
      <c r="D154" s="26"/>
      <c r="E154" s="26"/>
      <c r="F154" s="26"/>
      <c r="G154" s="26"/>
      <c r="H154" s="26"/>
      <c r="I154" s="26"/>
    </row>
    <row r="155" spans="1:9">
      <c r="A155" s="25"/>
      <c r="C155" s="30"/>
      <c r="D155" s="26"/>
      <c r="E155" s="26"/>
      <c r="F155" s="26"/>
      <c r="G155" s="26"/>
      <c r="H155" s="26"/>
      <c r="I155" s="26"/>
    </row>
    <row r="156" spans="1:9">
      <c r="A156" s="25"/>
      <c r="C156" s="30"/>
      <c r="D156" s="26"/>
      <c r="E156" s="26"/>
      <c r="F156" s="26"/>
      <c r="G156" s="26"/>
      <c r="H156" s="26"/>
      <c r="I156" s="26"/>
    </row>
    <row r="157" spans="1:9">
      <c r="A157" s="25"/>
      <c r="C157" s="30"/>
      <c r="D157" s="26"/>
      <c r="E157" s="26"/>
      <c r="F157" s="26"/>
      <c r="G157" s="26"/>
      <c r="H157" s="26"/>
      <c r="I157" s="26"/>
    </row>
    <row r="158" spans="1:9">
      <c r="A158" s="25"/>
      <c r="C158" s="30"/>
      <c r="D158" s="26"/>
      <c r="E158" s="26"/>
      <c r="F158" s="26"/>
      <c r="G158" s="26"/>
      <c r="H158" s="26"/>
      <c r="I158" s="26"/>
    </row>
    <row r="159" spans="1:9">
      <c r="A159" s="25"/>
      <c r="C159" s="30"/>
      <c r="D159" s="26"/>
      <c r="E159" s="26"/>
      <c r="F159" s="26"/>
      <c r="G159" s="26"/>
      <c r="H159" s="26"/>
      <c r="I159" s="26"/>
    </row>
    <row r="160" spans="1:9">
      <c r="A160" s="25"/>
      <c r="C160" s="30"/>
      <c r="D160" s="26"/>
      <c r="E160" s="26"/>
      <c r="F160" s="26"/>
      <c r="G160" s="26"/>
      <c r="H160" s="26"/>
      <c r="I160" s="26"/>
    </row>
    <row r="161" spans="1:9">
      <c r="A161" s="25"/>
      <c r="C161" s="30"/>
      <c r="D161" s="26"/>
      <c r="E161" s="26"/>
      <c r="F161" s="26"/>
      <c r="G161" s="26"/>
      <c r="H161" s="26"/>
      <c r="I161" s="26"/>
    </row>
    <row r="162" spans="1:9">
      <c r="A162" s="25"/>
      <c r="C162" s="30"/>
      <c r="D162" s="26"/>
      <c r="E162" s="26"/>
      <c r="F162" s="26"/>
      <c r="G162" s="26"/>
      <c r="H162" s="26"/>
      <c r="I162" s="26"/>
    </row>
    <row r="163" spans="1:9">
      <c r="A163" s="25"/>
      <c r="C163" s="30"/>
      <c r="D163" s="26"/>
      <c r="E163" s="26"/>
      <c r="F163" s="26"/>
      <c r="G163" s="26"/>
      <c r="H163" s="26"/>
      <c r="I163" s="26"/>
    </row>
    <row r="164" spans="1:9">
      <c r="A164" s="25"/>
      <c r="C164" s="30"/>
      <c r="D164" s="26"/>
      <c r="E164" s="26"/>
      <c r="F164" s="26"/>
      <c r="G164" s="26"/>
      <c r="H164" s="26"/>
      <c r="I164" s="26"/>
    </row>
    <row r="165" spans="1:9">
      <c r="A165" s="25"/>
      <c r="C165" s="30"/>
      <c r="D165" s="26"/>
      <c r="E165" s="26"/>
      <c r="F165" s="26"/>
      <c r="G165" s="26"/>
      <c r="H165" s="26"/>
      <c r="I165" s="26"/>
    </row>
    <row r="166" spans="1:9">
      <c r="A166" s="25"/>
      <c r="C166" s="30"/>
      <c r="D166" s="26"/>
      <c r="E166" s="26"/>
      <c r="F166" s="26"/>
      <c r="G166" s="26"/>
      <c r="H166" s="26"/>
      <c r="I166" s="26"/>
    </row>
    <row r="167" spans="1:9">
      <c r="A167" s="25"/>
      <c r="C167" s="30"/>
      <c r="D167" s="26"/>
      <c r="E167" s="26"/>
      <c r="F167" s="26"/>
      <c r="G167" s="26"/>
      <c r="H167" s="26"/>
      <c r="I167" s="26"/>
    </row>
    <row r="168" spans="1:9">
      <c r="A168" s="25"/>
      <c r="C168" s="30"/>
      <c r="D168" s="26"/>
      <c r="E168" s="26"/>
      <c r="F168" s="26"/>
      <c r="G168" s="26"/>
      <c r="H168" s="26"/>
      <c r="I168" s="26"/>
    </row>
    <row r="169" spans="1:9">
      <c r="A169" s="25"/>
      <c r="C169" s="30"/>
      <c r="D169" s="26"/>
      <c r="E169" s="26"/>
      <c r="F169" s="26"/>
      <c r="G169" s="26"/>
      <c r="H169" s="26"/>
      <c r="I169" s="26"/>
    </row>
    <row r="170" spans="1:9">
      <c r="A170" s="25"/>
      <c r="C170" s="30"/>
      <c r="D170" s="26"/>
      <c r="E170" s="26"/>
      <c r="F170" s="26"/>
      <c r="G170" s="26"/>
      <c r="H170" s="26"/>
      <c r="I170" s="26"/>
    </row>
    <row r="171" spans="1:9">
      <c r="A171" s="25"/>
      <c r="C171" s="30"/>
      <c r="D171" s="26"/>
      <c r="E171" s="26"/>
      <c r="F171" s="26"/>
      <c r="G171" s="26"/>
      <c r="H171" s="26"/>
      <c r="I171" s="26"/>
    </row>
    <row r="172" spans="1:9">
      <c r="A172" s="25"/>
      <c r="C172" s="30"/>
      <c r="D172" s="26"/>
      <c r="E172" s="26"/>
      <c r="F172" s="26"/>
      <c r="G172" s="26"/>
      <c r="H172" s="26"/>
      <c r="I172" s="26"/>
    </row>
    <row r="173" spans="1:9">
      <c r="A173" s="25"/>
      <c r="C173" s="30"/>
      <c r="D173" s="26"/>
      <c r="E173" s="26"/>
      <c r="F173" s="26"/>
      <c r="G173" s="26"/>
      <c r="H173" s="26"/>
      <c r="I173" s="26"/>
    </row>
    <row r="174" spans="1:9">
      <c r="A174" s="25"/>
      <c r="C174" s="30"/>
      <c r="D174" s="26"/>
      <c r="E174" s="26"/>
      <c r="F174" s="26"/>
      <c r="G174" s="26"/>
      <c r="H174" s="26"/>
      <c r="I174" s="26"/>
    </row>
    <row r="175" spans="1:9">
      <c r="A175" s="25"/>
      <c r="C175" s="30"/>
      <c r="D175" s="26"/>
      <c r="E175" s="26"/>
      <c r="F175" s="26"/>
      <c r="G175" s="26"/>
      <c r="H175" s="26"/>
      <c r="I175" s="26"/>
    </row>
    <row r="176" spans="1:9">
      <c r="A176" s="25"/>
      <c r="C176" s="30"/>
      <c r="D176" s="26"/>
      <c r="E176" s="26"/>
      <c r="F176" s="26"/>
      <c r="G176" s="26"/>
      <c r="H176" s="26"/>
      <c r="I176" s="26"/>
    </row>
    <row r="177" spans="1:9">
      <c r="A177" s="25"/>
      <c r="C177" s="30"/>
      <c r="D177" s="26"/>
      <c r="E177" s="26"/>
      <c r="F177" s="26"/>
      <c r="G177" s="26"/>
      <c r="H177" s="26"/>
      <c r="I177" s="26"/>
    </row>
    <row r="178" spans="1:9">
      <c r="A178" s="48"/>
    </row>
    <row r="179" spans="1:9">
      <c r="A179" s="48"/>
    </row>
    <row r="180" spans="1:9">
      <c r="A180" s="48"/>
    </row>
    <row r="181" spans="1:9">
      <c r="A181" s="48"/>
    </row>
    <row r="182" spans="1:9">
      <c r="A182" s="48"/>
    </row>
    <row r="183" spans="1:9">
      <c r="A183" s="48"/>
    </row>
    <row r="184" spans="1:9">
      <c r="A184" s="48"/>
    </row>
    <row r="185" spans="1:9">
      <c r="A185" s="48"/>
    </row>
    <row r="186" spans="1:9">
      <c r="A186" s="48"/>
    </row>
    <row r="187" spans="1:9">
      <c r="A187" s="48"/>
    </row>
    <row r="188" spans="1:9">
      <c r="A188" s="48"/>
    </row>
    <row r="189" spans="1:9">
      <c r="A189" s="48"/>
    </row>
    <row r="190" spans="1:9">
      <c r="A190" s="48"/>
    </row>
    <row r="191" spans="1:9">
      <c r="A191" s="48"/>
    </row>
    <row r="192" spans="1:9">
      <c r="A192" s="48"/>
    </row>
    <row r="193" spans="1:1">
      <c r="A193" s="48"/>
    </row>
    <row r="194" spans="1:1">
      <c r="A194" s="48"/>
    </row>
    <row r="195" spans="1:1">
      <c r="A195" s="48"/>
    </row>
    <row r="196" spans="1:1">
      <c r="A196" s="48"/>
    </row>
    <row r="197" spans="1:1">
      <c r="A197" s="48"/>
    </row>
    <row r="198" spans="1:1">
      <c r="A198" s="48"/>
    </row>
    <row r="199" spans="1:1">
      <c r="A199" s="48"/>
    </row>
    <row r="200" spans="1:1">
      <c r="A200" s="48"/>
    </row>
    <row r="201" spans="1:1">
      <c r="A201" s="48"/>
    </row>
    <row r="202" spans="1:1">
      <c r="A202" s="48"/>
    </row>
    <row r="203" spans="1:1">
      <c r="A203" s="48"/>
    </row>
    <row r="204" spans="1:1">
      <c r="A204" s="48"/>
    </row>
    <row r="205" spans="1:1">
      <c r="A205" s="48"/>
    </row>
    <row r="206" spans="1:1">
      <c r="A206" s="48"/>
    </row>
    <row r="207" spans="1:1">
      <c r="A207" s="48"/>
    </row>
    <row r="208" spans="1:1">
      <c r="A208" s="48"/>
    </row>
    <row r="209" spans="1:1">
      <c r="A209" s="48"/>
    </row>
    <row r="210" spans="1:1">
      <c r="A210" s="48"/>
    </row>
    <row r="211" spans="1:1">
      <c r="A211" s="48"/>
    </row>
    <row r="212" spans="1:1">
      <c r="A212" s="48"/>
    </row>
    <row r="213" spans="1:1">
      <c r="A213" s="48"/>
    </row>
    <row r="214" spans="1:1">
      <c r="A214" s="48"/>
    </row>
    <row r="215" spans="1:1">
      <c r="A215" s="48"/>
    </row>
    <row r="216" spans="1:1">
      <c r="A216" s="48"/>
    </row>
    <row r="217" spans="1:1">
      <c r="A217" s="48"/>
    </row>
    <row r="218" spans="1:1">
      <c r="A218" s="48"/>
    </row>
    <row r="219" spans="1:1">
      <c r="A219" s="48"/>
    </row>
    <row r="220" spans="1:1">
      <c r="A220" s="48"/>
    </row>
    <row r="221" spans="1:1">
      <c r="A221" s="48"/>
    </row>
    <row r="222" spans="1:1">
      <c r="A222" s="48"/>
    </row>
    <row r="223" spans="1:1">
      <c r="A223" s="48"/>
    </row>
    <row r="224" spans="1:1">
      <c r="A224" s="48"/>
    </row>
    <row r="225" spans="1:1">
      <c r="A225" s="48"/>
    </row>
    <row r="226" spans="1:1">
      <c r="A226" s="48"/>
    </row>
    <row r="227" spans="1:1">
      <c r="A227" s="48"/>
    </row>
    <row r="228" spans="1:1">
      <c r="A228" s="48"/>
    </row>
    <row r="229" spans="1:1">
      <c r="A229" s="48"/>
    </row>
    <row r="230" spans="1:1">
      <c r="A230" s="48"/>
    </row>
    <row r="231" spans="1:1">
      <c r="A231" s="48"/>
    </row>
    <row r="232" spans="1:1">
      <c r="A232" s="48"/>
    </row>
    <row r="233" spans="1:1">
      <c r="A233" s="48"/>
    </row>
    <row r="234" spans="1:1">
      <c r="A234" s="48"/>
    </row>
    <row r="235" spans="1:1">
      <c r="A235" s="48"/>
    </row>
    <row r="236" spans="1:1">
      <c r="A236" s="48"/>
    </row>
    <row r="237" spans="1:1">
      <c r="A237" s="48"/>
    </row>
    <row r="238" spans="1:1">
      <c r="A238" s="48"/>
    </row>
    <row r="239" spans="1:1">
      <c r="A239" s="48"/>
    </row>
    <row r="240" spans="1:1">
      <c r="A240" s="48"/>
    </row>
    <row r="241" spans="1:1">
      <c r="A241" s="48"/>
    </row>
    <row r="242" spans="1:1">
      <c r="A242" s="48"/>
    </row>
    <row r="243" spans="1:1">
      <c r="A243" s="48"/>
    </row>
    <row r="244" spans="1:1">
      <c r="A244" s="48"/>
    </row>
    <row r="245" spans="1:1">
      <c r="A245" s="48"/>
    </row>
    <row r="246" spans="1:1">
      <c r="A246" s="48"/>
    </row>
    <row r="247" spans="1:1">
      <c r="A247" s="48"/>
    </row>
    <row r="248" spans="1:1">
      <c r="A248" s="48"/>
    </row>
    <row r="249" spans="1:1">
      <c r="A249" s="48"/>
    </row>
    <row r="250" spans="1:1">
      <c r="A250" s="48"/>
    </row>
    <row r="251" spans="1:1">
      <c r="A251" s="48"/>
    </row>
    <row r="252" spans="1:1">
      <c r="A252" s="48"/>
    </row>
    <row r="253" spans="1:1">
      <c r="A253" s="48"/>
    </row>
    <row r="254" spans="1:1">
      <c r="A254" s="48"/>
    </row>
    <row r="255" spans="1:1">
      <c r="A255" s="48"/>
    </row>
    <row r="256" spans="1:1">
      <c r="A256" s="48"/>
    </row>
    <row r="257" spans="1:1">
      <c r="A257" s="48"/>
    </row>
    <row r="258" spans="1:1">
      <c r="A258" s="48"/>
    </row>
    <row r="259" spans="1:1">
      <c r="A259" s="48"/>
    </row>
    <row r="260" spans="1:1">
      <c r="A260" s="48"/>
    </row>
    <row r="261" spans="1:1">
      <c r="A261" s="48"/>
    </row>
    <row r="262" spans="1:1">
      <c r="A262" s="48"/>
    </row>
    <row r="263" spans="1:1">
      <c r="A263" s="48"/>
    </row>
    <row r="264" spans="1:1">
      <c r="A264" s="48"/>
    </row>
    <row r="265" spans="1:1">
      <c r="A265" s="48"/>
    </row>
    <row r="266" spans="1:1">
      <c r="A266" s="48"/>
    </row>
    <row r="267" spans="1:1">
      <c r="A267" s="48"/>
    </row>
    <row r="268" spans="1:1">
      <c r="A268" s="48"/>
    </row>
    <row r="269" spans="1:1">
      <c r="A269" s="48"/>
    </row>
    <row r="270" spans="1:1">
      <c r="A270" s="48"/>
    </row>
    <row r="271" spans="1:1">
      <c r="A271" s="48"/>
    </row>
    <row r="272" spans="1:1">
      <c r="A272" s="48"/>
    </row>
    <row r="273" spans="1:1">
      <c r="A273" s="48"/>
    </row>
    <row r="274" spans="1:1">
      <c r="A274" s="48"/>
    </row>
    <row r="275" spans="1:1">
      <c r="A275" s="48"/>
    </row>
    <row r="276" spans="1:1">
      <c r="A276" s="48"/>
    </row>
    <row r="277" spans="1:1">
      <c r="A277" s="48"/>
    </row>
    <row r="278" spans="1:1">
      <c r="A278" s="48"/>
    </row>
    <row r="279" spans="1:1">
      <c r="A279" s="48"/>
    </row>
    <row r="280" spans="1:1">
      <c r="A280" s="48"/>
    </row>
    <row r="281" spans="1:1">
      <c r="A281" s="48"/>
    </row>
    <row r="282" spans="1:1">
      <c r="A282" s="48"/>
    </row>
    <row r="283" spans="1:1">
      <c r="A283" s="48"/>
    </row>
    <row r="284" spans="1:1">
      <c r="A284" s="48"/>
    </row>
    <row r="285" spans="1:1">
      <c r="A285" s="48"/>
    </row>
    <row r="286" spans="1:1">
      <c r="A286" s="48"/>
    </row>
    <row r="287" spans="1:1">
      <c r="A287" s="48"/>
    </row>
    <row r="288" spans="1:1">
      <c r="A288" s="48"/>
    </row>
    <row r="289" spans="1:1">
      <c r="A289" s="48"/>
    </row>
    <row r="290" spans="1:1">
      <c r="A290" s="48"/>
    </row>
    <row r="291" spans="1:1">
      <c r="A291" s="48"/>
    </row>
    <row r="292" spans="1:1">
      <c r="A292" s="48"/>
    </row>
    <row r="293" spans="1:1">
      <c r="A293" s="48"/>
    </row>
    <row r="294" spans="1:1">
      <c r="A294" s="48"/>
    </row>
    <row r="295" spans="1:1">
      <c r="A295" s="48"/>
    </row>
    <row r="296" spans="1:1">
      <c r="A296" s="48"/>
    </row>
    <row r="297" spans="1:1">
      <c r="A297" s="48"/>
    </row>
    <row r="298" spans="1:1">
      <c r="A298" s="48"/>
    </row>
    <row r="299" spans="1:1">
      <c r="A299" s="48"/>
    </row>
    <row r="300" spans="1:1">
      <c r="A300" s="48"/>
    </row>
    <row r="301" spans="1:1">
      <c r="A301" s="48"/>
    </row>
    <row r="302" spans="1:1">
      <c r="A302" s="48"/>
    </row>
    <row r="303" spans="1:1">
      <c r="A303" s="48"/>
    </row>
    <row r="304" spans="1:1">
      <c r="A304" s="48"/>
    </row>
    <row r="305" spans="1:1">
      <c r="A305" s="48"/>
    </row>
    <row r="306" spans="1:1">
      <c r="A306" s="48"/>
    </row>
    <row r="307" spans="1:1">
      <c r="A307" s="48"/>
    </row>
    <row r="308" spans="1:1">
      <c r="A308" s="48"/>
    </row>
    <row r="309" spans="1:1">
      <c r="A309" s="48"/>
    </row>
    <row r="310" spans="1:1">
      <c r="A310" s="48"/>
    </row>
    <row r="311" spans="1:1">
      <c r="A311" s="48"/>
    </row>
    <row r="312" spans="1:1">
      <c r="A312" s="48"/>
    </row>
    <row r="313" spans="1:1">
      <c r="A313" s="48"/>
    </row>
    <row r="314" spans="1:1">
      <c r="A314" s="48"/>
    </row>
    <row r="315" spans="1:1">
      <c r="A315" s="48"/>
    </row>
    <row r="316" spans="1:1">
      <c r="A316" s="48"/>
    </row>
    <row r="317" spans="1:1">
      <c r="A317" s="48"/>
    </row>
    <row r="318" spans="1:1">
      <c r="A318" s="48"/>
    </row>
    <row r="319" spans="1:1">
      <c r="A319" s="48"/>
    </row>
    <row r="320" spans="1:1">
      <c r="A320" s="48"/>
    </row>
    <row r="321" spans="1:1">
      <c r="A321" s="48"/>
    </row>
    <row r="322" spans="1:1">
      <c r="A322" s="48"/>
    </row>
    <row r="323" spans="1:1">
      <c r="A323" s="48"/>
    </row>
    <row r="324" spans="1:1">
      <c r="A324" s="48"/>
    </row>
    <row r="325" spans="1:1">
      <c r="A325" s="48"/>
    </row>
    <row r="326" spans="1:1">
      <c r="A326" s="48"/>
    </row>
    <row r="327" spans="1:1">
      <c r="A327" s="48"/>
    </row>
    <row r="328" spans="1:1">
      <c r="A328" s="48"/>
    </row>
    <row r="329" spans="1:1">
      <c r="A329" s="48"/>
    </row>
    <row r="330" spans="1:1">
      <c r="A330" s="48"/>
    </row>
    <row r="331" spans="1:1">
      <c r="A331" s="48"/>
    </row>
    <row r="332" spans="1:1">
      <c r="A332" s="48"/>
    </row>
    <row r="333" spans="1:1">
      <c r="A333" s="48"/>
    </row>
    <row r="334" spans="1:1">
      <c r="A334" s="48"/>
    </row>
    <row r="335" spans="1:1">
      <c r="A335" s="48"/>
    </row>
    <row r="336" spans="1:1">
      <c r="A336" s="48"/>
    </row>
    <row r="337" spans="1:1">
      <c r="A337" s="48"/>
    </row>
    <row r="338" spans="1:1">
      <c r="A338" s="48"/>
    </row>
    <row r="339" spans="1:1">
      <c r="A339" s="48"/>
    </row>
    <row r="340" spans="1:1">
      <c r="A340" s="48"/>
    </row>
    <row r="341" spans="1:1">
      <c r="A341" s="48"/>
    </row>
    <row r="342" spans="1:1">
      <c r="A342" s="48"/>
    </row>
    <row r="343" spans="1:1">
      <c r="A343" s="48"/>
    </row>
    <row r="344" spans="1:1">
      <c r="A344" s="48"/>
    </row>
  </sheetData>
  <sheetProtection password="CF66" sheet="1" objects="1" scenarios="1" formatCells="0" formatColumns="0" formatRows="0" insertRows="0" deleteRows="0"/>
  <mergeCells count="16">
    <mergeCell ref="A1:J1"/>
    <mergeCell ref="C119:E119"/>
    <mergeCell ref="G119:I119"/>
    <mergeCell ref="J3:J4"/>
    <mergeCell ref="A6:J6"/>
    <mergeCell ref="A93:J93"/>
    <mergeCell ref="A99:J99"/>
    <mergeCell ref="B3:B4"/>
    <mergeCell ref="A3:A4"/>
    <mergeCell ref="C3:C4"/>
    <mergeCell ref="F3:I3"/>
    <mergeCell ref="A106:J106"/>
    <mergeCell ref="C118:E118"/>
    <mergeCell ref="G118:I118"/>
    <mergeCell ref="E3:E4"/>
    <mergeCell ref="D3:D4"/>
  </mergeCells>
  <phoneticPr fontId="0" type="noConversion"/>
  <pageMargins left="0.78740157480314965" right="0.39370078740157483" top="0.59055118110236227" bottom="0.59055118110236227" header="0.19685039370078741" footer="0.11811023622047245"/>
  <pageSetup paperSize="9" scale="40" orientation="portrait" horizontalDpi="300" verticalDpi="300" r:id="rId1"/>
  <headerFooter alignWithMargins="0"/>
  <rowBreaks count="3" manualBreakCount="3">
    <brk id="56" max="9" man="1"/>
    <brk id="119" max="9" man="1"/>
    <brk id="128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K191"/>
  <sheetViews>
    <sheetView windowProtection="1" view="pageBreakPreview" zoomScale="75" zoomScaleNormal="65" zoomScaleSheetLayoutView="50" workbookViewId="0">
      <pane ySplit="5" topLeftCell="A30" activePane="bottomLeft" state="frozen"/>
      <selection pane="bottomLeft" activeCell="F13" sqref="F13"/>
    </sheetView>
  </sheetViews>
  <sheetFormatPr defaultColWidth="77.85546875" defaultRowHeight="18.75" outlineLevelRow="1"/>
  <cols>
    <col min="1" max="1" width="61.28515625" style="43" customWidth="1"/>
    <col min="2" max="2" width="15.28515625" style="46" customWidth="1"/>
    <col min="3" max="3" width="13" style="46" customWidth="1"/>
    <col min="4" max="4" width="14.85546875" style="46" customWidth="1"/>
    <col min="5" max="5" width="13.42578125" style="46" customWidth="1"/>
    <col min="6" max="6" width="13.7109375" style="43" customWidth="1"/>
    <col min="7" max="7" width="13.28515625" style="43" customWidth="1"/>
    <col min="8" max="8" width="13" style="43" customWidth="1"/>
    <col min="9" max="9" width="11.7109375" style="43" customWidth="1"/>
    <col min="10" max="10" width="10" style="43" customWidth="1"/>
    <col min="11" max="11" width="9.5703125" style="43" customWidth="1"/>
    <col min="12" max="254" width="9.140625" style="43" customWidth="1"/>
    <col min="255" max="16384" width="77.85546875" style="43"/>
  </cols>
  <sheetData>
    <row r="1" spans="1:10">
      <c r="A1" s="343" t="s">
        <v>374</v>
      </c>
      <c r="B1" s="343"/>
      <c r="C1" s="343"/>
      <c r="D1" s="343"/>
      <c r="E1" s="343"/>
      <c r="F1" s="343"/>
      <c r="G1" s="343"/>
      <c r="H1" s="343"/>
      <c r="I1" s="343"/>
    </row>
    <row r="2" spans="1:10" outlineLevel="1">
      <c r="A2" s="42"/>
      <c r="B2" s="51"/>
      <c r="C2" s="42"/>
      <c r="D2" s="42"/>
      <c r="E2" s="42"/>
      <c r="F2" s="42"/>
      <c r="G2" s="42"/>
      <c r="H2" s="42"/>
      <c r="I2" s="42"/>
    </row>
    <row r="3" spans="1:10" ht="38.25" customHeight="1">
      <c r="A3" s="344" t="s">
        <v>274</v>
      </c>
      <c r="B3" s="345" t="s">
        <v>18</v>
      </c>
      <c r="C3" s="345" t="s">
        <v>32</v>
      </c>
      <c r="D3" s="345" t="s">
        <v>40</v>
      </c>
      <c r="E3" s="346" t="s">
        <v>180</v>
      </c>
      <c r="F3" s="347" t="s">
        <v>370</v>
      </c>
      <c r="G3" s="347"/>
      <c r="H3" s="347"/>
      <c r="I3" s="347"/>
    </row>
    <row r="4" spans="1:10" ht="50.25" customHeight="1">
      <c r="A4" s="344"/>
      <c r="B4" s="345"/>
      <c r="C4" s="345"/>
      <c r="D4" s="345"/>
      <c r="E4" s="346"/>
      <c r="F4" s="11" t="s">
        <v>371</v>
      </c>
      <c r="G4" s="11" t="s">
        <v>372</v>
      </c>
      <c r="H4" s="11" t="s">
        <v>373</v>
      </c>
      <c r="I4" s="11" t="s">
        <v>87</v>
      </c>
    </row>
    <row r="5" spans="1:10" ht="18" customHeight="1">
      <c r="A5" s="49">
        <v>1</v>
      </c>
      <c r="B5" s="50">
        <v>2</v>
      </c>
      <c r="C5" s="50">
        <v>3</v>
      </c>
      <c r="D5" s="50">
        <v>4</v>
      </c>
      <c r="E5" s="50">
        <v>5</v>
      </c>
      <c r="F5" s="7">
        <v>6</v>
      </c>
      <c r="G5" s="7">
        <v>7</v>
      </c>
      <c r="H5" s="7">
        <v>8</v>
      </c>
      <c r="I5" s="7">
        <v>9</v>
      </c>
    </row>
    <row r="6" spans="1:10" ht="24.95" customHeight="1">
      <c r="A6" s="348" t="s">
        <v>164</v>
      </c>
      <c r="B6" s="349"/>
      <c r="C6" s="349"/>
      <c r="D6" s="349"/>
      <c r="E6" s="349"/>
      <c r="F6" s="349"/>
      <c r="G6" s="349"/>
      <c r="H6" s="349"/>
      <c r="I6" s="350"/>
    </row>
    <row r="7" spans="1:10" ht="42.75" customHeight="1">
      <c r="A7" s="56" t="s">
        <v>63</v>
      </c>
      <c r="B7" s="7">
        <v>2000</v>
      </c>
      <c r="C7" s="188">
        <v>-4142</v>
      </c>
      <c r="D7" s="188">
        <v>-4112</v>
      </c>
      <c r="E7" s="225">
        <f>C17</f>
        <v>-4112</v>
      </c>
      <c r="F7" s="225">
        <v>-46197</v>
      </c>
      <c r="G7" s="225">
        <f>E17</f>
        <v>-16979</v>
      </c>
      <c r="H7" s="225">
        <f>E17</f>
        <v>-16979</v>
      </c>
      <c r="I7" s="225">
        <f>E17</f>
        <v>-16979</v>
      </c>
    </row>
    <row r="8" spans="1:10" ht="37.5">
      <c r="A8" s="44" t="s">
        <v>221</v>
      </c>
      <c r="B8" s="7">
        <v>2010</v>
      </c>
      <c r="C8" s="187">
        <f>C9+C10</f>
        <v>20</v>
      </c>
      <c r="D8" s="187">
        <f t="shared" ref="D8:I8" si="0">D9+D10</f>
        <v>1366</v>
      </c>
      <c r="E8" s="187">
        <f t="shared" si="0"/>
        <v>0</v>
      </c>
      <c r="F8" s="187">
        <f t="shared" si="0"/>
        <v>0</v>
      </c>
      <c r="G8" s="187">
        <f t="shared" si="0"/>
        <v>309</v>
      </c>
      <c r="H8" s="187">
        <f t="shared" si="0"/>
        <v>309</v>
      </c>
      <c r="I8" s="187">
        <f t="shared" si="0"/>
        <v>3371</v>
      </c>
    </row>
    <row r="9" spans="1:10" ht="42.75" customHeight="1">
      <c r="A9" s="8" t="s">
        <v>376</v>
      </c>
      <c r="B9" s="7">
        <v>2011</v>
      </c>
      <c r="C9" s="188">
        <v>5</v>
      </c>
      <c r="D9" s="188">
        <v>310</v>
      </c>
      <c r="E9" s="188"/>
      <c r="F9" s="188"/>
      <c r="G9" s="188">
        <f>ROUND('I. Фін результат'!G89*15%,0)</f>
        <v>70</v>
      </c>
      <c r="H9" s="188">
        <f>G9</f>
        <v>70</v>
      </c>
      <c r="I9" s="188">
        <f>ROUND('I. Фін результат'!I89*15%,0)</f>
        <v>766</v>
      </c>
      <c r="J9" s="43" t="s">
        <v>663</v>
      </c>
    </row>
    <row r="10" spans="1:10" ht="93.75">
      <c r="A10" s="8" t="s">
        <v>377</v>
      </c>
      <c r="B10" s="7">
        <v>2012</v>
      </c>
      <c r="C10" s="188">
        <v>15</v>
      </c>
      <c r="D10" s="188">
        <v>1056</v>
      </c>
      <c r="E10" s="188"/>
      <c r="F10" s="188"/>
      <c r="G10" s="188">
        <f>ROUND(('I. Фін результат'!G89-'ІІ. Розр. з бюджетом'!G9)*60%,0)</f>
        <v>239</v>
      </c>
      <c r="H10" s="188">
        <f>G10</f>
        <v>239</v>
      </c>
      <c r="I10" s="188">
        <f>ROUND(('I. Фін результат'!I89-'ІІ. Розр. з бюджетом'!I9)*60%,0)</f>
        <v>2605</v>
      </c>
      <c r="J10" s="43" t="s">
        <v>663</v>
      </c>
    </row>
    <row r="11" spans="1:10" ht="20.100000000000001" customHeight="1">
      <c r="A11" s="8" t="s">
        <v>207</v>
      </c>
      <c r="B11" s="7">
        <v>2020</v>
      </c>
      <c r="C11" s="188"/>
      <c r="D11" s="188"/>
      <c r="E11" s="188"/>
      <c r="F11" s="188"/>
      <c r="G11" s="188"/>
      <c r="H11" s="188"/>
      <c r="I11" s="188"/>
    </row>
    <row r="12" spans="1:10" s="45" customFormat="1" ht="20.100000000000001" customHeight="1">
      <c r="A12" s="44" t="s">
        <v>76</v>
      </c>
      <c r="B12" s="7">
        <v>2030</v>
      </c>
      <c r="C12" s="188"/>
      <c r="D12" s="188"/>
      <c r="E12" s="188"/>
      <c r="F12" s="188"/>
      <c r="G12" s="188"/>
      <c r="H12" s="188"/>
      <c r="I12" s="188"/>
    </row>
    <row r="13" spans="1:10" ht="37.5">
      <c r="A13" s="44" t="s">
        <v>144</v>
      </c>
      <c r="B13" s="7">
        <v>2031</v>
      </c>
      <c r="C13" s="188"/>
      <c r="D13" s="188"/>
      <c r="E13" s="188"/>
      <c r="F13" s="188"/>
      <c r="G13" s="188"/>
      <c r="H13" s="188"/>
      <c r="I13" s="188"/>
    </row>
    <row r="14" spans="1:10" ht="20.100000000000001" customHeight="1">
      <c r="A14" s="44" t="s">
        <v>27</v>
      </c>
      <c r="B14" s="7">
        <v>2040</v>
      </c>
      <c r="C14" s="188"/>
      <c r="D14" s="188"/>
      <c r="E14" s="188"/>
      <c r="F14" s="188"/>
      <c r="G14" s="188"/>
      <c r="H14" s="188"/>
      <c r="I14" s="188"/>
    </row>
    <row r="15" spans="1:10" ht="20.100000000000001" customHeight="1">
      <c r="A15" s="182" t="s">
        <v>127</v>
      </c>
      <c r="B15" s="7">
        <v>2050</v>
      </c>
      <c r="C15" s="188"/>
      <c r="D15" s="188"/>
      <c r="E15" s="188"/>
      <c r="F15" s="188"/>
      <c r="G15" s="188"/>
      <c r="H15" s="188"/>
      <c r="I15" s="188"/>
    </row>
    <row r="16" spans="1:10" ht="20.100000000000001" customHeight="1">
      <c r="A16" s="182" t="s">
        <v>128</v>
      </c>
      <c r="B16" s="7">
        <v>2060</v>
      </c>
      <c r="C16" s="188"/>
      <c r="D16" s="188"/>
      <c r="E16" s="188"/>
      <c r="F16" s="188"/>
      <c r="G16" s="188"/>
      <c r="H16" s="188"/>
      <c r="I16" s="188"/>
    </row>
    <row r="17" spans="1:10" ht="42.75" customHeight="1">
      <c r="A17" s="56" t="s">
        <v>64</v>
      </c>
      <c r="B17" s="92">
        <v>2070</v>
      </c>
      <c r="C17" s="190">
        <v>-4112</v>
      </c>
      <c r="D17" s="190">
        <v>-3860</v>
      </c>
      <c r="E17" s="226">
        <f>'I. Фін результат'!E89+'ІІ. Розр. з бюджетом'!E7-('ІІ. Розр. з бюджетом'!E8+'ІІ. Розр. з бюджетом'!E11+'ІІ. Розр. з бюджетом'!E12+'ІІ. Розр. з бюджетом'!E14+'ІІ. Розр. з бюджетом'!E15+'ІІ. Розр. з бюджетом'!E16)</f>
        <v>-16979</v>
      </c>
      <c r="F17" s="226">
        <f>'I. Фін результат'!F89+'ІІ. Розр. з бюджетом'!F7-('ІІ. Розр. з бюджетом'!F8+'ІІ. Розр. з бюджетом'!F11+'ІІ. Розр. з бюджетом'!F12+'ІІ. Розр. з бюджетом'!F14+'ІІ. Розр. з бюджетом'!F15+'ІІ. Розр. з бюджетом'!F16)</f>
        <v>-47531</v>
      </c>
      <c r="G17" s="226">
        <f>'I. Фін результат'!G89+'ІІ. Розр. з бюджетом'!G7-('ІІ. Розр. з бюджетом'!G8+'ІІ. Розр. з бюджетом'!G11+'ІІ. Розр. з бюджетом'!G12+'ІІ. Розр. з бюджетом'!G14+'ІІ. Розр. з бюджетом'!G15+'ІІ. Розр. з бюджетом'!G16)</f>
        <v>-16820</v>
      </c>
      <c r="H17" s="226">
        <f>'I. Фін результат'!H89+'ІІ. Розр. з бюджетом'!H7-('ІІ. Розр. з бюджетом'!H8+'ІІ. Розр. з бюджетом'!H11+'ІІ. Розр. з бюджетом'!H12+'ІІ. Розр. з бюджетом'!H14+'ІІ. Розр. з бюджетом'!H15+'ІІ. Розр. з бюджетом'!H16)</f>
        <v>-12126</v>
      </c>
      <c r="I17" s="226">
        <f>'I. Фін результат'!I89+'ІІ. Розр. з бюджетом'!I7-('ІІ. Розр. з бюджетом'!I8+'ІІ. Розр. з бюджетом'!I11+'ІІ. Розр. з бюджетом'!I12+'ІІ. Розр. з бюджетом'!I14+'ІІ. Розр. з бюджетом'!I15+'ІІ. Розр. з бюджетом'!I16)</f>
        <v>-15242</v>
      </c>
    </row>
    <row r="18" spans="1:10" ht="20.100000000000001" customHeight="1">
      <c r="A18" s="348" t="s">
        <v>165</v>
      </c>
      <c r="B18" s="349"/>
      <c r="C18" s="349"/>
      <c r="D18" s="349"/>
      <c r="E18" s="349"/>
      <c r="F18" s="349"/>
      <c r="G18" s="349"/>
      <c r="H18" s="349"/>
      <c r="I18" s="350"/>
    </row>
    <row r="19" spans="1:10" ht="37.5">
      <c r="A19" s="182" t="s">
        <v>221</v>
      </c>
      <c r="B19" s="168">
        <v>2100</v>
      </c>
      <c r="C19" s="187">
        <f t="shared" ref="C19:I19" si="1">SUM(C20:C21)</f>
        <v>20</v>
      </c>
      <c r="D19" s="187">
        <f t="shared" si="1"/>
        <v>1366</v>
      </c>
      <c r="E19" s="187">
        <f t="shared" si="1"/>
        <v>0</v>
      </c>
      <c r="F19" s="187">
        <f t="shared" si="1"/>
        <v>0</v>
      </c>
      <c r="G19" s="187">
        <f t="shared" si="1"/>
        <v>309</v>
      </c>
      <c r="H19" s="187">
        <f t="shared" si="1"/>
        <v>309</v>
      </c>
      <c r="I19" s="187">
        <f t="shared" si="1"/>
        <v>3371</v>
      </c>
    </row>
    <row r="20" spans="1:10" ht="42.75" customHeight="1">
      <c r="A20" s="72" t="s">
        <v>376</v>
      </c>
      <c r="B20" s="168">
        <v>2101</v>
      </c>
      <c r="C20" s="187">
        <f>C9</f>
        <v>5</v>
      </c>
      <c r="D20" s="187">
        <f t="shared" ref="D20:I20" si="2">D9</f>
        <v>310</v>
      </c>
      <c r="E20" s="187">
        <f t="shared" si="2"/>
        <v>0</v>
      </c>
      <c r="F20" s="187">
        <f t="shared" si="2"/>
        <v>0</v>
      </c>
      <c r="G20" s="187">
        <f t="shared" si="2"/>
        <v>70</v>
      </c>
      <c r="H20" s="187">
        <f t="shared" si="2"/>
        <v>70</v>
      </c>
      <c r="I20" s="187">
        <f t="shared" si="2"/>
        <v>766</v>
      </c>
    </row>
    <row r="21" spans="1:10" ht="93.75">
      <c r="A21" s="72" t="s">
        <v>377</v>
      </c>
      <c r="B21" s="168">
        <v>2102</v>
      </c>
      <c r="C21" s="187">
        <f>C10</f>
        <v>15</v>
      </c>
      <c r="D21" s="187">
        <f t="shared" ref="D21:I21" si="3">D10</f>
        <v>1056</v>
      </c>
      <c r="E21" s="187">
        <f t="shared" si="3"/>
        <v>0</v>
      </c>
      <c r="F21" s="187">
        <f t="shared" si="3"/>
        <v>0</v>
      </c>
      <c r="G21" s="187">
        <f t="shared" si="3"/>
        <v>239</v>
      </c>
      <c r="H21" s="187">
        <f t="shared" si="3"/>
        <v>239</v>
      </c>
      <c r="I21" s="187">
        <f t="shared" si="3"/>
        <v>2605</v>
      </c>
    </row>
    <row r="22" spans="1:10" s="45" customFormat="1" ht="20.100000000000001" customHeight="1">
      <c r="A22" s="182" t="s">
        <v>167</v>
      </c>
      <c r="B22" s="183">
        <v>2110</v>
      </c>
      <c r="C22" s="187">
        <f>'I. Фін результат'!C87</f>
        <v>0</v>
      </c>
      <c r="D22" s="187">
        <f>'I. Фін результат'!D87</f>
        <v>454</v>
      </c>
      <c r="E22" s="187">
        <f>'I. Фін результат'!E87</f>
        <v>0</v>
      </c>
      <c r="F22" s="187">
        <f>'I. Фін результат'!F87</f>
        <v>0</v>
      </c>
      <c r="G22" s="187">
        <f>'I. Фін результат'!G87</f>
        <v>103</v>
      </c>
      <c r="H22" s="187">
        <f>'I. Фін результат'!H87</f>
        <v>103</v>
      </c>
      <c r="I22" s="187">
        <f>'I. Фін результат'!I87</f>
        <v>1121</v>
      </c>
    </row>
    <row r="23" spans="1:10" ht="56.25">
      <c r="A23" s="182" t="s">
        <v>340</v>
      </c>
      <c r="B23" s="183">
        <v>2120</v>
      </c>
      <c r="C23" s="188"/>
      <c r="D23" s="188"/>
      <c r="E23" s="188"/>
      <c r="F23" s="188"/>
      <c r="G23" s="188"/>
      <c r="H23" s="188"/>
      <c r="I23" s="188"/>
    </row>
    <row r="24" spans="1:10" ht="56.25">
      <c r="A24" s="182" t="s">
        <v>341</v>
      </c>
      <c r="B24" s="183">
        <v>2130</v>
      </c>
      <c r="C24" s="188"/>
      <c r="D24" s="188"/>
      <c r="E24" s="188"/>
      <c r="F24" s="188"/>
      <c r="G24" s="188"/>
      <c r="H24" s="188"/>
      <c r="I24" s="188"/>
    </row>
    <row r="25" spans="1:10" s="47" customFormat="1" ht="56.25">
      <c r="A25" s="184" t="s">
        <v>257</v>
      </c>
      <c r="B25" s="185">
        <v>2140</v>
      </c>
      <c r="C25" s="189">
        <f t="shared" ref="C25:I25" si="4">SUM(C26:C30,C33,C34)</f>
        <v>4216</v>
      </c>
      <c r="D25" s="189">
        <f t="shared" si="4"/>
        <v>5971</v>
      </c>
      <c r="E25" s="189">
        <f t="shared" si="4"/>
        <v>6733</v>
      </c>
      <c r="F25" s="189">
        <f t="shared" si="4"/>
        <v>1644</v>
      </c>
      <c r="G25" s="189">
        <f t="shared" si="4"/>
        <v>2924</v>
      </c>
      <c r="H25" s="189">
        <f t="shared" si="4"/>
        <v>4472</v>
      </c>
      <c r="I25" s="189">
        <f t="shared" si="4"/>
        <v>6008</v>
      </c>
      <c r="J25" s="43"/>
    </row>
    <row r="26" spans="1:10" ht="20.100000000000001" customHeight="1">
      <c r="A26" s="182" t="s">
        <v>92</v>
      </c>
      <c r="B26" s="183">
        <v>2141</v>
      </c>
      <c r="C26" s="188"/>
      <c r="D26" s="188"/>
      <c r="E26" s="188"/>
      <c r="F26" s="188"/>
      <c r="G26" s="188"/>
      <c r="H26" s="188"/>
      <c r="I26" s="188"/>
    </row>
    <row r="27" spans="1:10" ht="20.100000000000001" customHeight="1">
      <c r="A27" s="182" t="s">
        <v>119</v>
      </c>
      <c r="B27" s="183">
        <v>2142</v>
      </c>
      <c r="C27" s="188"/>
      <c r="D27" s="188"/>
      <c r="E27" s="188"/>
      <c r="F27" s="188"/>
      <c r="G27" s="188"/>
      <c r="H27" s="188"/>
      <c r="I27" s="188"/>
    </row>
    <row r="28" spans="1:10" ht="20.100000000000001" customHeight="1">
      <c r="A28" s="182" t="s">
        <v>110</v>
      </c>
      <c r="B28" s="183">
        <v>2143</v>
      </c>
      <c r="C28" s="188"/>
      <c r="D28" s="188"/>
      <c r="E28" s="188"/>
      <c r="F28" s="188"/>
      <c r="G28" s="188"/>
      <c r="H28" s="188"/>
      <c r="I28" s="188"/>
    </row>
    <row r="29" spans="1:10" ht="20.100000000000001" customHeight="1">
      <c r="A29" s="182" t="s">
        <v>90</v>
      </c>
      <c r="B29" s="183">
        <v>2144</v>
      </c>
      <c r="C29" s="188">
        <v>3051</v>
      </c>
      <c r="D29" s="188">
        <v>4626</v>
      </c>
      <c r="E29" s="188">
        <v>5315</v>
      </c>
      <c r="F29" s="191">
        <f>ROUND(Лист1!C18,0)</f>
        <v>1518</v>
      </c>
      <c r="G29" s="191">
        <f>ROUND(Лист1!D18,0)</f>
        <v>2699</v>
      </c>
      <c r="H29" s="191">
        <f>ROUND(Лист1!E18,0)</f>
        <v>4128</v>
      </c>
      <c r="I29" s="191">
        <f>ROUND(Лист1!F18,0)</f>
        <v>5546</v>
      </c>
    </row>
    <row r="30" spans="1:10" s="45" customFormat="1" ht="20.100000000000001" customHeight="1">
      <c r="A30" s="182" t="s">
        <v>187</v>
      </c>
      <c r="B30" s="183">
        <v>2145</v>
      </c>
      <c r="C30" s="188"/>
      <c r="D30" s="188"/>
      <c r="E30" s="188"/>
      <c r="F30" s="188"/>
      <c r="G30" s="188"/>
      <c r="H30" s="188"/>
      <c r="I30" s="188"/>
    </row>
    <row r="31" spans="1:10" ht="56.25">
      <c r="A31" s="182" t="s">
        <v>269</v>
      </c>
      <c r="B31" s="183" t="s">
        <v>235</v>
      </c>
      <c r="C31" s="188"/>
      <c r="D31" s="188"/>
      <c r="E31" s="188"/>
      <c r="F31" s="188"/>
      <c r="G31" s="188"/>
      <c r="H31" s="188"/>
      <c r="I31" s="188"/>
    </row>
    <row r="32" spans="1:10" ht="20.100000000000001" customHeight="1">
      <c r="A32" s="182" t="s">
        <v>28</v>
      </c>
      <c r="B32" s="183" t="s">
        <v>236</v>
      </c>
      <c r="C32" s="188"/>
      <c r="D32" s="188"/>
      <c r="E32" s="188"/>
      <c r="F32" s="188"/>
      <c r="G32" s="188"/>
      <c r="H32" s="188"/>
      <c r="I32" s="188"/>
    </row>
    <row r="33" spans="1:11" s="45" customFormat="1" ht="20.100000000000001" customHeight="1">
      <c r="A33" s="182" t="s">
        <v>129</v>
      </c>
      <c r="B33" s="183">
        <v>2146</v>
      </c>
      <c r="C33" s="188">
        <v>910</v>
      </c>
      <c r="D33" s="188">
        <v>960</v>
      </c>
      <c r="E33" s="188">
        <v>1012</v>
      </c>
      <c r="F33" s="188"/>
      <c r="G33" s="188"/>
      <c r="H33" s="188"/>
      <c r="I33" s="188"/>
    </row>
    <row r="34" spans="1:11" ht="20.100000000000001" customHeight="1">
      <c r="A34" s="182" t="s">
        <v>98</v>
      </c>
      <c r="B34" s="183">
        <v>2147</v>
      </c>
      <c r="C34" s="188">
        <v>255</v>
      </c>
      <c r="D34" s="188">
        <v>385</v>
      </c>
      <c r="E34" s="188">
        <v>406</v>
      </c>
      <c r="F34" s="188">
        <f>F35</f>
        <v>126</v>
      </c>
      <c r="G34" s="188">
        <f>G35</f>
        <v>225</v>
      </c>
      <c r="H34" s="188">
        <f>H35</f>
        <v>344</v>
      </c>
      <c r="I34" s="188">
        <f>I35</f>
        <v>462</v>
      </c>
    </row>
    <row r="35" spans="1:11" ht="20.100000000000001" customHeight="1">
      <c r="A35" s="182" t="s">
        <v>392</v>
      </c>
      <c r="B35" s="183" t="s">
        <v>402</v>
      </c>
      <c r="C35" s="188">
        <v>255</v>
      </c>
      <c r="D35" s="188">
        <v>385</v>
      </c>
      <c r="E35" s="188">
        <v>406</v>
      </c>
      <c r="F35" s="191">
        <f>ROUND(Лист1!C19,0)</f>
        <v>126</v>
      </c>
      <c r="G35" s="191">
        <f>ROUND(Лист1!D19,0)</f>
        <v>225</v>
      </c>
      <c r="H35" s="191">
        <f>ROUND(Лист1!E19,0)</f>
        <v>344</v>
      </c>
      <c r="I35" s="191">
        <f>ROUND(Лист1!F19,0)</f>
        <v>462</v>
      </c>
    </row>
    <row r="36" spans="1:11" s="45" customFormat="1" ht="37.5">
      <c r="A36" s="182" t="s">
        <v>91</v>
      </c>
      <c r="B36" s="183">
        <v>2150</v>
      </c>
      <c r="C36" s="188">
        <v>3663</v>
      </c>
      <c r="D36" s="188">
        <v>5557</v>
      </c>
      <c r="E36" s="188">
        <v>5862</v>
      </c>
      <c r="F36" s="191">
        <f>'I. Фін результат'!F111</f>
        <v>1852</v>
      </c>
      <c r="G36" s="191">
        <f>ROUND(Лист1!D17,0)</f>
        <v>3240</v>
      </c>
      <c r="H36" s="191">
        <f>ROUND(Лист1!E17,0)</f>
        <v>4955</v>
      </c>
      <c r="I36" s="191">
        <f>ROUND(Лист1!F17,0)</f>
        <v>6659</v>
      </c>
    </row>
    <row r="37" spans="1:11" s="45" customFormat="1" ht="20.100000000000001" customHeight="1">
      <c r="A37" s="184" t="s">
        <v>367</v>
      </c>
      <c r="B37" s="185">
        <v>2200</v>
      </c>
      <c r="C37" s="201">
        <f t="shared" ref="C37:I37" si="5">SUM(C19,C22:C24,C25,C36)</f>
        <v>7899</v>
      </c>
      <c r="D37" s="201">
        <f t="shared" si="5"/>
        <v>13348</v>
      </c>
      <c r="E37" s="201">
        <f t="shared" si="5"/>
        <v>12595</v>
      </c>
      <c r="F37" s="201">
        <f t="shared" si="5"/>
        <v>3496</v>
      </c>
      <c r="G37" s="201">
        <f t="shared" si="5"/>
        <v>6576</v>
      </c>
      <c r="H37" s="201">
        <f t="shared" si="5"/>
        <v>9839</v>
      </c>
      <c r="I37" s="201">
        <f t="shared" si="5"/>
        <v>17159</v>
      </c>
      <c r="J37" s="43"/>
    </row>
    <row r="38" spans="1:11" s="45" customFormat="1" ht="20.100000000000001" customHeight="1">
      <c r="A38" s="151"/>
      <c r="B38" s="152"/>
      <c r="C38" s="153"/>
      <c r="D38" s="154"/>
      <c r="E38" s="154"/>
      <c r="F38" s="154"/>
      <c r="G38" s="154"/>
      <c r="H38" s="154"/>
      <c r="I38" s="154"/>
    </row>
    <row r="39" spans="1:11" s="45" customFormat="1" ht="20.100000000000001" customHeight="1">
      <c r="A39" s="151"/>
      <c r="B39" s="152"/>
      <c r="C39" s="153"/>
      <c r="D39" s="154"/>
      <c r="E39" s="154"/>
      <c r="F39" s="154"/>
      <c r="G39" s="154"/>
      <c r="H39" s="154"/>
      <c r="I39" s="154"/>
    </row>
    <row r="40" spans="1:11" s="2" customFormat="1" ht="20.100000000000001" customHeight="1">
      <c r="A40" s="139" t="s">
        <v>464</v>
      </c>
      <c r="B40" s="140"/>
      <c r="C40" s="340" t="s">
        <v>120</v>
      </c>
      <c r="D40" s="351"/>
      <c r="E40" s="351"/>
      <c r="F40" s="141"/>
      <c r="G40" s="331" t="s">
        <v>416</v>
      </c>
      <c r="H40" s="331"/>
      <c r="I40" s="331"/>
    </row>
    <row r="41" spans="1:11" s="1" customFormat="1" ht="20.100000000000001" customHeight="1">
      <c r="A41" s="97" t="s">
        <v>305</v>
      </c>
      <c r="B41" s="110"/>
      <c r="C41" s="336" t="s">
        <v>304</v>
      </c>
      <c r="D41" s="336"/>
      <c r="E41" s="336"/>
      <c r="F41" s="142"/>
      <c r="G41" s="313" t="s">
        <v>116</v>
      </c>
      <c r="H41" s="313"/>
      <c r="I41" s="313"/>
    </row>
    <row r="42" spans="1:11" s="46" customFormat="1">
      <c r="A42" s="59"/>
      <c r="F42" s="43"/>
      <c r="G42" s="43"/>
      <c r="H42" s="43"/>
      <c r="I42" s="43"/>
      <c r="J42" s="43"/>
      <c r="K42" s="43"/>
    </row>
    <row r="43" spans="1:11" s="46" customFormat="1">
      <c r="A43" s="59"/>
      <c r="F43" s="43"/>
      <c r="G43" s="43"/>
      <c r="H43" s="43"/>
      <c r="I43" s="43"/>
      <c r="J43" s="43"/>
      <c r="K43" s="43"/>
    </row>
    <row r="44" spans="1:11" s="46" customFormat="1">
      <c r="A44" s="59"/>
      <c r="F44" s="43"/>
      <c r="G44" s="43"/>
      <c r="H44" s="43"/>
      <c r="I44" s="43"/>
      <c r="J44" s="43"/>
      <c r="K44" s="43"/>
    </row>
    <row r="45" spans="1:11" s="46" customFormat="1">
      <c r="A45" s="59"/>
      <c r="F45" s="43"/>
      <c r="G45" s="43"/>
      <c r="H45" s="43"/>
      <c r="I45" s="43"/>
      <c r="J45" s="43"/>
      <c r="K45" s="43"/>
    </row>
    <row r="46" spans="1:11" s="46" customFormat="1">
      <c r="A46" s="59"/>
      <c r="F46" s="43"/>
      <c r="G46" s="43"/>
      <c r="H46" s="43"/>
      <c r="I46" s="43"/>
      <c r="J46" s="43"/>
      <c r="K46" s="43"/>
    </row>
    <row r="47" spans="1:11" s="46" customFormat="1">
      <c r="A47" s="59"/>
      <c r="F47" s="43"/>
      <c r="G47" s="43"/>
      <c r="H47" s="43"/>
      <c r="I47" s="43"/>
      <c r="J47" s="43"/>
      <c r="K47" s="43"/>
    </row>
    <row r="48" spans="1:11" s="46" customFormat="1">
      <c r="A48" s="59"/>
      <c r="F48" s="43"/>
      <c r="G48" s="43"/>
      <c r="H48" s="43"/>
      <c r="I48" s="43"/>
      <c r="J48" s="43"/>
      <c r="K48" s="43"/>
    </row>
    <row r="49" spans="1:11" s="46" customFormat="1">
      <c r="A49" s="59"/>
      <c r="F49" s="43"/>
      <c r="G49" s="43"/>
      <c r="H49" s="43"/>
      <c r="I49" s="43"/>
      <c r="J49" s="43"/>
      <c r="K49" s="43"/>
    </row>
    <row r="50" spans="1:11" s="46" customFormat="1">
      <c r="A50" s="59"/>
      <c r="F50" s="43"/>
      <c r="G50" s="43"/>
      <c r="H50" s="43"/>
      <c r="I50" s="43"/>
      <c r="J50" s="43"/>
      <c r="K50" s="43"/>
    </row>
    <row r="51" spans="1:11" s="46" customFormat="1">
      <c r="A51" s="59"/>
      <c r="F51" s="43"/>
      <c r="G51" s="43"/>
      <c r="H51" s="43"/>
      <c r="I51" s="43"/>
      <c r="J51" s="43"/>
      <c r="K51" s="43"/>
    </row>
    <row r="52" spans="1:11" s="46" customFormat="1">
      <c r="A52" s="59"/>
      <c r="F52" s="43"/>
      <c r="G52" s="43"/>
      <c r="H52" s="43"/>
      <c r="I52" s="43"/>
      <c r="J52" s="43"/>
      <c r="K52" s="43"/>
    </row>
    <row r="53" spans="1:11" s="46" customFormat="1">
      <c r="A53" s="59"/>
      <c r="F53" s="43"/>
      <c r="G53" s="43"/>
      <c r="H53" s="43"/>
      <c r="I53" s="43"/>
      <c r="J53" s="43"/>
      <c r="K53" s="43"/>
    </row>
    <row r="54" spans="1:11" s="46" customFormat="1">
      <c r="A54" s="59"/>
      <c r="F54" s="43"/>
      <c r="G54" s="43"/>
      <c r="H54" s="43"/>
      <c r="I54" s="43"/>
      <c r="J54" s="43"/>
      <c r="K54" s="43"/>
    </row>
    <row r="55" spans="1:11" s="46" customFormat="1">
      <c r="A55" s="59"/>
      <c r="F55" s="43"/>
      <c r="G55" s="43"/>
      <c r="H55" s="43"/>
      <c r="I55" s="43"/>
      <c r="J55" s="43"/>
      <c r="K55" s="43"/>
    </row>
    <row r="56" spans="1:11" s="46" customFormat="1">
      <c r="A56" s="59"/>
      <c r="F56" s="43"/>
      <c r="G56" s="43"/>
      <c r="H56" s="43"/>
      <c r="I56" s="43"/>
      <c r="J56" s="43"/>
      <c r="K56" s="43"/>
    </row>
    <row r="57" spans="1:11" s="46" customFormat="1">
      <c r="A57" s="59"/>
      <c r="F57" s="43"/>
      <c r="G57" s="43"/>
      <c r="H57" s="43"/>
      <c r="I57" s="43"/>
      <c r="J57" s="43"/>
      <c r="K57" s="43"/>
    </row>
    <row r="58" spans="1:11" s="46" customFormat="1">
      <c r="A58" s="59"/>
      <c r="F58" s="43"/>
      <c r="G58" s="43"/>
      <c r="H58" s="43"/>
      <c r="I58" s="43"/>
      <c r="J58" s="43"/>
      <c r="K58" s="43"/>
    </row>
    <row r="59" spans="1:11" s="46" customFormat="1">
      <c r="A59" s="59"/>
      <c r="F59" s="43"/>
      <c r="G59" s="43"/>
      <c r="H59" s="43"/>
      <c r="I59" s="43"/>
      <c r="J59" s="43"/>
      <c r="K59" s="43"/>
    </row>
    <row r="60" spans="1:11" s="46" customFormat="1">
      <c r="A60" s="59"/>
      <c r="F60" s="43"/>
      <c r="G60" s="43"/>
      <c r="H60" s="43"/>
      <c r="I60" s="43"/>
      <c r="J60" s="43"/>
      <c r="K60" s="43"/>
    </row>
    <row r="61" spans="1:11" s="46" customFormat="1">
      <c r="A61" s="59"/>
      <c r="F61" s="43"/>
      <c r="G61" s="43"/>
      <c r="H61" s="43"/>
      <c r="I61" s="43"/>
      <c r="J61" s="43"/>
      <c r="K61" s="43"/>
    </row>
    <row r="62" spans="1:11" s="46" customFormat="1">
      <c r="A62" s="59"/>
      <c r="F62" s="43"/>
      <c r="G62" s="43"/>
      <c r="H62" s="43"/>
      <c r="I62" s="43"/>
      <c r="J62" s="43"/>
      <c r="K62" s="43"/>
    </row>
    <row r="63" spans="1:11" s="46" customFormat="1">
      <c r="A63" s="59"/>
      <c r="F63" s="43"/>
      <c r="G63" s="43"/>
      <c r="H63" s="43"/>
      <c r="I63" s="43"/>
      <c r="J63" s="43"/>
      <c r="K63" s="43"/>
    </row>
    <row r="64" spans="1:11" s="46" customFormat="1">
      <c r="A64" s="59"/>
      <c r="F64" s="43"/>
      <c r="G64" s="43"/>
      <c r="H64" s="43"/>
      <c r="I64" s="43"/>
      <c r="J64" s="43"/>
      <c r="K64" s="43"/>
    </row>
    <row r="65" spans="1:11" s="46" customFormat="1">
      <c r="A65" s="59"/>
      <c r="F65" s="43"/>
      <c r="G65" s="43"/>
      <c r="H65" s="43"/>
      <c r="I65" s="43"/>
      <c r="J65" s="43"/>
      <c r="K65" s="43"/>
    </row>
    <row r="66" spans="1:11" s="46" customFormat="1">
      <c r="A66" s="59"/>
      <c r="F66" s="43"/>
      <c r="G66" s="43"/>
      <c r="H66" s="43"/>
      <c r="I66" s="43"/>
      <c r="J66" s="43"/>
      <c r="K66" s="43"/>
    </row>
    <row r="67" spans="1:11" s="46" customFormat="1">
      <c r="A67" s="59"/>
      <c r="F67" s="43"/>
      <c r="G67" s="43"/>
      <c r="H67" s="43"/>
      <c r="I67" s="43"/>
      <c r="J67" s="43"/>
      <c r="K67" s="43"/>
    </row>
    <row r="68" spans="1:11" s="46" customFormat="1">
      <c r="A68" s="59"/>
      <c r="F68" s="43"/>
      <c r="G68" s="43"/>
      <c r="H68" s="43"/>
      <c r="I68" s="43"/>
      <c r="J68" s="43"/>
      <c r="K68" s="43"/>
    </row>
    <row r="69" spans="1:11" s="46" customFormat="1">
      <c r="A69" s="59"/>
      <c r="F69" s="43"/>
      <c r="G69" s="43"/>
      <c r="H69" s="43"/>
      <c r="I69" s="43"/>
      <c r="J69" s="43"/>
      <c r="K69" s="43"/>
    </row>
    <row r="70" spans="1:11" s="46" customFormat="1">
      <c r="A70" s="59"/>
      <c r="F70" s="43"/>
      <c r="G70" s="43"/>
      <c r="H70" s="43"/>
      <c r="I70" s="43"/>
      <c r="J70" s="43"/>
      <c r="K70" s="43"/>
    </row>
    <row r="71" spans="1:11" s="46" customFormat="1">
      <c r="A71" s="59"/>
      <c r="F71" s="43"/>
      <c r="G71" s="43"/>
      <c r="H71" s="43"/>
      <c r="I71" s="43"/>
      <c r="J71" s="43"/>
      <c r="K71" s="43"/>
    </row>
    <row r="72" spans="1:11" s="46" customFormat="1">
      <c r="A72" s="59"/>
      <c r="F72" s="43"/>
      <c r="G72" s="43"/>
      <c r="H72" s="43"/>
      <c r="I72" s="43"/>
      <c r="J72" s="43"/>
      <c r="K72" s="43"/>
    </row>
    <row r="73" spans="1:11" s="46" customFormat="1">
      <c r="A73" s="59"/>
      <c r="F73" s="43"/>
      <c r="G73" s="43"/>
      <c r="H73" s="43"/>
      <c r="I73" s="43"/>
      <c r="J73" s="43"/>
      <c r="K73" s="43"/>
    </row>
    <row r="74" spans="1:11" s="46" customFormat="1">
      <c r="A74" s="59"/>
      <c r="F74" s="43"/>
      <c r="G74" s="43"/>
      <c r="H74" s="43"/>
      <c r="I74" s="43"/>
      <c r="J74" s="43"/>
      <c r="K74" s="43"/>
    </row>
    <row r="75" spans="1:11" s="46" customFormat="1">
      <c r="A75" s="59"/>
      <c r="F75" s="43"/>
      <c r="G75" s="43"/>
      <c r="H75" s="43"/>
      <c r="I75" s="43"/>
      <c r="J75" s="43"/>
      <c r="K75" s="43"/>
    </row>
    <row r="76" spans="1:11" s="46" customFormat="1">
      <c r="A76" s="59"/>
      <c r="F76" s="43"/>
      <c r="G76" s="43"/>
      <c r="H76" s="43"/>
      <c r="I76" s="43"/>
      <c r="J76" s="43"/>
      <c r="K76" s="43"/>
    </row>
    <row r="77" spans="1:11" s="46" customFormat="1">
      <c r="A77" s="59"/>
      <c r="F77" s="43"/>
      <c r="G77" s="43"/>
      <c r="H77" s="43"/>
      <c r="I77" s="43"/>
      <c r="J77" s="43"/>
      <c r="K77" s="43"/>
    </row>
    <row r="78" spans="1:11" s="46" customFormat="1">
      <c r="A78" s="59"/>
      <c r="F78" s="43"/>
      <c r="G78" s="43"/>
      <c r="H78" s="43"/>
      <c r="I78" s="43"/>
      <c r="J78" s="43"/>
      <c r="K78" s="43"/>
    </row>
    <row r="79" spans="1:11" s="46" customFormat="1">
      <c r="A79" s="59"/>
      <c r="F79" s="43"/>
      <c r="G79" s="43"/>
      <c r="H79" s="43"/>
      <c r="I79" s="43"/>
      <c r="J79" s="43"/>
      <c r="K79" s="43"/>
    </row>
    <row r="80" spans="1:11" s="46" customFormat="1">
      <c r="A80" s="59"/>
      <c r="F80" s="43"/>
      <c r="G80" s="43"/>
      <c r="H80" s="43"/>
      <c r="I80" s="43"/>
      <c r="J80" s="43"/>
      <c r="K80" s="43"/>
    </row>
    <row r="81" spans="1:11" s="46" customFormat="1">
      <c r="A81" s="59"/>
      <c r="F81" s="43"/>
      <c r="G81" s="43"/>
      <c r="H81" s="43"/>
      <c r="I81" s="43"/>
      <c r="J81" s="43"/>
      <c r="K81" s="43"/>
    </row>
    <row r="82" spans="1:11" s="46" customFormat="1">
      <c r="A82" s="59"/>
      <c r="F82" s="43"/>
      <c r="G82" s="43"/>
      <c r="H82" s="43"/>
      <c r="I82" s="43"/>
      <c r="J82" s="43"/>
      <c r="K82" s="43"/>
    </row>
    <row r="83" spans="1:11" s="46" customFormat="1">
      <c r="A83" s="59"/>
      <c r="F83" s="43"/>
      <c r="G83" s="43"/>
      <c r="H83" s="43"/>
      <c r="I83" s="43"/>
      <c r="J83" s="43"/>
      <c r="K83" s="43"/>
    </row>
    <row r="84" spans="1:11" s="46" customFormat="1">
      <c r="A84" s="59"/>
      <c r="F84" s="43"/>
      <c r="G84" s="43"/>
      <c r="H84" s="43"/>
      <c r="I84" s="43"/>
      <c r="J84" s="43"/>
      <c r="K84" s="43"/>
    </row>
    <row r="85" spans="1:11" s="46" customFormat="1">
      <c r="A85" s="59"/>
      <c r="F85" s="43"/>
      <c r="G85" s="43"/>
      <c r="H85" s="43"/>
      <c r="I85" s="43"/>
      <c r="J85" s="43"/>
      <c r="K85" s="43"/>
    </row>
    <row r="86" spans="1:11" s="46" customFormat="1">
      <c r="A86" s="59"/>
      <c r="F86" s="43"/>
      <c r="G86" s="43"/>
      <c r="H86" s="43"/>
      <c r="I86" s="43"/>
      <c r="J86" s="43"/>
      <c r="K86" s="43"/>
    </row>
    <row r="87" spans="1:11" s="46" customFormat="1">
      <c r="A87" s="59"/>
      <c r="F87" s="43"/>
      <c r="G87" s="43"/>
      <c r="H87" s="43"/>
      <c r="I87" s="43"/>
      <c r="J87" s="43"/>
      <c r="K87" s="43"/>
    </row>
    <row r="88" spans="1:11" s="46" customFormat="1">
      <c r="A88" s="59"/>
      <c r="F88" s="43"/>
      <c r="G88" s="43"/>
      <c r="H88" s="43"/>
      <c r="I88" s="43"/>
      <c r="J88" s="43"/>
      <c r="K88" s="43"/>
    </row>
    <row r="89" spans="1:11" s="46" customFormat="1">
      <c r="A89" s="59"/>
      <c r="F89" s="43"/>
      <c r="G89" s="43"/>
      <c r="H89" s="43"/>
      <c r="I89" s="43"/>
      <c r="J89" s="43"/>
      <c r="K89" s="43"/>
    </row>
    <row r="90" spans="1:11" s="46" customFormat="1">
      <c r="A90" s="59"/>
      <c r="F90" s="43"/>
      <c r="G90" s="43"/>
      <c r="H90" s="43"/>
      <c r="I90" s="43"/>
      <c r="J90" s="43"/>
      <c r="K90" s="43"/>
    </row>
    <row r="91" spans="1:11" s="46" customFormat="1">
      <c r="A91" s="59"/>
      <c r="F91" s="43"/>
      <c r="G91" s="43"/>
      <c r="H91" s="43"/>
      <c r="I91" s="43"/>
      <c r="J91" s="43"/>
      <c r="K91" s="43"/>
    </row>
    <row r="92" spans="1:11" s="46" customFormat="1">
      <c r="A92" s="59"/>
      <c r="F92" s="43"/>
      <c r="G92" s="43"/>
      <c r="H92" s="43"/>
      <c r="I92" s="43"/>
      <c r="J92" s="43"/>
      <c r="K92" s="43"/>
    </row>
    <row r="93" spans="1:11" s="46" customFormat="1">
      <c r="A93" s="59"/>
      <c r="F93" s="43"/>
      <c r="G93" s="43"/>
      <c r="H93" s="43"/>
      <c r="I93" s="43"/>
      <c r="J93" s="43"/>
      <c r="K93" s="43"/>
    </row>
    <row r="94" spans="1:11" s="46" customFormat="1">
      <c r="A94" s="59"/>
      <c r="F94" s="43"/>
      <c r="G94" s="43"/>
      <c r="H94" s="43"/>
      <c r="I94" s="43"/>
      <c r="J94" s="43"/>
      <c r="K94" s="43"/>
    </row>
    <row r="95" spans="1:11" s="46" customFormat="1">
      <c r="A95" s="59"/>
      <c r="F95" s="43"/>
      <c r="G95" s="43"/>
      <c r="H95" s="43"/>
      <c r="I95" s="43"/>
      <c r="J95" s="43"/>
      <c r="K95" s="43"/>
    </row>
    <row r="96" spans="1:11" s="46" customFormat="1">
      <c r="A96" s="59"/>
      <c r="F96" s="43"/>
      <c r="G96" s="43"/>
      <c r="H96" s="43"/>
      <c r="I96" s="43"/>
      <c r="J96" s="43"/>
      <c r="K96" s="43"/>
    </row>
    <row r="97" spans="1:11" s="46" customFormat="1">
      <c r="A97" s="59"/>
      <c r="F97" s="43"/>
      <c r="G97" s="43"/>
      <c r="H97" s="43"/>
      <c r="I97" s="43"/>
      <c r="J97" s="43"/>
      <c r="K97" s="43"/>
    </row>
    <row r="98" spans="1:11" s="46" customFormat="1">
      <c r="A98" s="59"/>
      <c r="F98" s="43"/>
      <c r="G98" s="43"/>
      <c r="H98" s="43"/>
      <c r="I98" s="43"/>
      <c r="J98" s="43"/>
      <c r="K98" s="43"/>
    </row>
    <row r="99" spans="1:11" s="46" customFormat="1">
      <c r="A99" s="59"/>
      <c r="F99" s="43"/>
      <c r="G99" s="43"/>
      <c r="H99" s="43"/>
      <c r="I99" s="43"/>
      <c r="J99" s="43"/>
      <c r="K99" s="43"/>
    </row>
    <row r="100" spans="1:11" s="46" customFormat="1">
      <c r="A100" s="59"/>
      <c r="F100" s="43"/>
      <c r="G100" s="43"/>
      <c r="H100" s="43"/>
      <c r="I100" s="43"/>
      <c r="J100" s="43"/>
      <c r="K100" s="43"/>
    </row>
    <row r="101" spans="1:11" s="46" customFormat="1">
      <c r="A101" s="59"/>
      <c r="F101" s="43"/>
      <c r="G101" s="43"/>
      <c r="H101" s="43"/>
      <c r="I101" s="43"/>
      <c r="J101" s="43"/>
      <c r="K101" s="43"/>
    </row>
    <row r="102" spans="1:11" s="46" customFormat="1">
      <c r="A102" s="59"/>
      <c r="F102" s="43"/>
      <c r="G102" s="43"/>
      <c r="H102" s="43"/>
      <c r="I102" s="43"/>
      <c r="J102" s="43"/>
      <c r="K102" s="43"/>
    </row>
    <row r="103" spans="1:11" s="46" customFormat="1">
      <c r="A103" s="59"/>
      <c r="F103" s="43"/>
      <c r="G103" s="43"/>
      <c r="H103" s="43"/>
      <c r="I103" s="43"/>
      <c r="J103" s="43"/>
      <c r="K103" s="43"/>
    </row>
    <row r="104" spans="1:11" s="46" customFormat="1">
      <c r="A104" s="59"/>
      <c r="F104" s="43"/>
      <c r="G104" s="43"/>
      <c r="H104" s="43"/>
      <c r="I104" s="43"/>
      <c r="J104" s="43"/>
      <c r="K104" s="43"/>
    </row>
    <row r="105" spans="1:11" s="46" customFormat="1">
      <c r="A105" s="59"/>
      <c r="F105" s="43"/>
      <c r="G105" s="43"/>
      <c r="H105" s="43"/>
      <c r="I105" s="43"/>
      <c r="J105" s="43"/>
      <c r="K105" s="43"/>
    </row>
    <row r="106" spans="1:11" s="46" customFormat="1">
      <c r="A106" s="59"/>
      <c r="F106" s="43"/>
      <c r="G106" s="43"/>
      <c r="H106" s="43"/>
      <c r="I106" s="43"/>
      <c r="J106" s="43"/>
      <c r="K106" s="43"/>
    </row>
    <row r="107" spans="1:11" s="46" customFormat="1">
      <c r="A107" s="59"/>
      <c r="F107" s="43"/>
      <c r="G107" s="43"/>
      <c r="H107" s="43"/>
      <c r="I107" s="43"/>
      <c r="J107" s="43"/>
      <c r="K107" s="43"/>
    </row>
    <row r="108" spans="1:11" s="46" customFormat="1">
      <c r="A108" s="59"/>
      <c r="F108" s="43"/>
      <c r="G108" s="43"/>
      <c r="H108" s="43"/>
      <c r="I108" s="43"/>
      <c r="J108" s="43"/>
      <c r="K108" s="43"/>
    </row>
    <row r="109" spans="1:11" s="46" customFormat="1">
      <c r="A109" s="59"/>
      <c r="F109" s="43"/>
      <c r="G109" s="43"/>
      <c r="H109" s="43"/>
      <c r="I109" s="43"/>
      <c r="J109" s="43"/>
      <c r="K109" s="43"/>
    </row>
    <row r="110" spans="1:11" s="46" customFormat="1">
      <c r="A110" s="59"/>
      <c r="F110" s="43"/>
      <c r="G110" s="43"/>
      <c r="H110" s="43"/>
      <c r="I110" s="43"/>
      <c r="J110" s="43"/>
      <c r="K110" s="43"/>
    </row>
    <row r="111" spans="1:11" s="46" customFormat="1">
      <c r="A111" s="59"/>
      <c r="F111" s="43"/>
      <c r="G111" s="43"/>
      <c r="H111" s="43"/>
      <c r="I111" s="43"/>
      <c r="J111" s="43"/>
      <c r="K111" s="43"/>
    </row>
    <row r="112" spans="1:11" s="46" customFormat="1">
      <c r="A112" s="59"/>
      <c r="F112" s="43"/>
      <c r="G112" s="43"/>
      <c r="H112" s="43"/>
      <c r="I112" s="43"/>
      <c r="J112" s="43"/>
      <c r="K112" s="43"/>
    </row>
    <row r="113" spans="1:11" s="46" customFormat="1">
      <c r="A113" s="59"/>
      <c r="F113" s="43"/>
      <c r="G113" s="43"/>
      <c r="H113" s="43"/>
      <c r="I113" s="43"/>
      <c r="J113" s="43"/>
      <c r="K113" s="43"/>
    </row>
    <row r="114" spans="1:11" s="46" customFormat="1">
      <c r="A114" s="59"/>
      <c r="F114" s="43"/>
      <c r="G114" s="43"/>
      <c r="H114" s="43"/>
      <c r="I114" s="43"/>
      <c r="J114" s="43"/>
      <c r="K114" s="43"/>
    </row>
    <row r="115" spans="1:11" s="46" customFormat="1">
      <c r="A115" s="59"/>
      <c r="F115" s="43"/>
      <c r="G115" s="43"/>
      <c r="H115" s="43"/>
      <c r="I115" s="43"/>
      <c r="J115" s="43"/>
      <c r="K115" s="43"/>
    </row>
    <row r="116" spans="1:11" s="46" customFormat="1">
      <c r="A116" s="59"/>
      <c r="F116" s="43"/>
      <c r="G116" s="43"/>
      <c r="H116" s="43"/>
      <c r="I116" s="43"/>
      <c r="J116" s="43"/>
      <c r="K116" s="43"/>
    </row>
    <row r="117" spans="1:11" s="46" customFormat="1">
      <c r="A117" s="59"/>
      <c r="F117" s="43"/>
      <c r="G117" s="43"/>
      <c r="H117" s="43"/>
      <c r="I117" s="43"/>
      <c r="J117" s="43"/>
      <c r="K117" s="43"/>
    </row>
    <row r="118" spans="1:11" s="46" customFormat="1">
      <c r="A118" s="59"/>
      <c r="F118" s="43"/>
      <c r="G118" s="43"/>
      <c r="H118" s="43"/>
      <c r="I118" s="43"/>
      <c r="J118" s="43"/>
      <c r="K118" s="43"/>
    </row>
    <row r="119" spans="1:11" s="46" customFormat="1">
      <c r="A119" s="59"/>
      <c r="F119" s="43"/>
      <c r="G119" s="43"/>
      <c r="H119" s="43"/>
      <c r="I119" s="43"/>
      <c r="J119" s="43"/>
      <c r="K119" s="43"/>
    </row>
    <row r="120" spans="1:11" s="46" customFormat="1">
      <c r="A120" s="59"/>
      <c r="F120" s="43"/>
      <c r="G120" s="43"/>
      <c r="H120" s="43"/>
      <c r="I120" s="43"/>
      <c r="J120" s="43"/>
      <c r="K120" s="43"/>
    </row>
    <row r="121" spans="1:11" s="46" customFormat="1">
      <c r="A121" s="59"/>
      <c r="F121" s="43"/>
      <c r="G121" s="43"/>
      <c r="H121" s="43"/>
      <c r="I121" s="43"/>
      <c r="J121" s="43"/>
      <c r="K121" s="43"/>
    </row>
    <row r="122" spans="1:11" s="46" customFormat="1">
      <c r="A122" s="59"/>
      <c r="F122" s="43"/>
      <c r="G122" s="43"/>
      <c r="H122" s="43"/>
      <c r="I122" s="43"/>
      <c r="J122" s="43"/>
      <c r="K122" s="43"/>
    </row>
    <row r="123" spans="1:11" s="46" customFormat="1">
      <c r="A123" s="59"/>
      <c r="F123" s="43"/>
      <c r="G123" s="43"/>
      <c r="H123" s="43"/>
      <c r="I123" s="43"/>
      <c r="J123" s="43"/>
      <c r="K123" s="43"/>
    </row>
    <row r="124" spans="1:11" s="46" customFormat="1">
      <c r="A124" s="59"/>
      <c r="F124" s="43"/>
      <c r="G124" s="43"/>
      <c r="H124" s="43"/>
      <c r="I124" s="43"/>
      <c r="J124" s="43"/>
      <c r="K124" s="43"/>
    </row>
    <row r="125" spans="1:11" s="46" customFormat="1">
      <c r="A125" s="59"/>
      <c r="F125" s="43"/>
      <c r="G125" s="43"/>
      <c r="H125" s="43"/>
      <c r="I125" s="43"/>
      <c r="J125" s="43"/>
      <c r="K125" s="43"/>
    </row>
    <row r="126" spans="1:11" s="46" customFormat="1">
      <c r="A126" s="59"/>
      <c r="F126" s="43"/>
      <c r="G126" s="43"/>
      <c r="H126" s="43"/>
      <c r="I126" s="43"/>
      <c r="J126" s="43"/>
      <c r="K126" s="43"/>
    </row>
    <row r="127" spans="1:11" s="46" customFormat="1">
      <c r="A127" s="59"/>
      <c r="F127" s="43"/>
      <c r="G127" s="43"/>
      <c r="H127" s="43"/>
      <c r="I127" s="43"/>
      <c r="J127" s="43"/>
      <c r="K127" s="43"/>
    </row>
    <row r="128" spans="1:11" s="46" customFormat="1">
      <c r="A128" s="59"/>
      <c r="F128" s="43"/>
      <c r="G128" s="43"/>
      <c r="H128" s="43"/>
      <c r="I128" s="43"/>
      <c r="J128" s="43"/>
      <c r="K128" s="43"/>
    </row>
    <row r="129" spans="1:11" s="46" customFormat="1">
      <c r="A129" s="59"/>
      <c r="F129" s="43"/>
      <c r="G129" s="43"/>
      <c r="H129" s="43"/>
      <c r="I129" s="43"/>
      <c r="J129" s="43"/>
      <c r="K129" s="43"/>
    </row>
    <row r="130" spans="1:11" s="46" customFormat="1">
      <c r="A130" s="59"/>
      <c r="F130" s="43"/>
      <c r="G130" s="43"/>
      <c r="H130" s="43"/>
      <c r="I130" s="43"/>
      <c r="J130" s="43"/>
      <c r="K130" s="43"/>
    </row>
    <row r="131" spans="1:11" s="46" customFormat="1">
      <c r="A131" s="59"/>
      <c r="F131" s="43"/>
      <c r="G131" s="43"/>
      <c r="H131" s="43"/>
      <c r="I131" s="43"/>
      <c r="J131" s="43"/>
      <c r="K131" s="43"/>
    </row>
    <row r="132" spans="1:11" s="46" customFormat="1">
      <c r="A132" s="59"/>
      <c r="F132" s="43"/>
      <c r="G132" s="43"/>
      <c r="H132" s="43"/>
      <c r="I132" s="43"/>
      <c r="J132" s="43"/>
      <c r="K132" s="43"/>
    </row>
    <row r="133" spans="1:11" s="46" customFormat="1">
      <c r="A133" s="59"/>
      <c r="F133" s="43"/>
      <c r="G133" s="43"/>
      <c r="H133" s="43"/>
      <c r="I133" s="43"/>
      <c r="J133" s="43"/>
      <c r="K133" s="43"/>
    </row>
    <row r="134" spans="1:11" s="46" customFormat="1">
      <c r="A134" s="59"/>
      <c r="F134" s="43"/>
      <c r="G134" s="43"/>
      <c r="H134" s="43"/>
      <c r="I134" s="43"/>
      <c r="J134" s="43"/>
      <c r="K134" s="43"/>
    </row>
    <row r="135" spans="1:11" s="46" customFormat="1">
      <c r="A135" s="59"/>
      <c r="F135" s="43"/>
      <c r="G135" s="43"/>
      <c r="H135" s="43"/>
      <c r="I135" s="43"/>
      <c r="J135" s="43"/>
      <c r="K135" s="43"/>
    </row>
    <row r="136" spans="1:11" s="46" customFormat="1">
      <c r="A136" s="59"/>
      <c r="F136" s="43"/>
      <c r="G136" s="43"/>
      <c r="H136" s="43"/>
      <c r="I136" s="43"/>
      <c r="J136" s="43"/>
      <c r="K136" s="43"/>
    </row>
    <row r="137" spans="1:11" s="46" customFormat="1">
      <c r="A137" s="59"/>
      <c r="F137" s="43"/>
      <c r="G137" s="43"/>
      <c r="H137" s="43"/>
      <c r="I137" s="43"/>
      <c r="J137" s="43"/>
      <c r="K137" s="43"/>
    </row>
    <row r="138" spans="1:11" s="46" customFormat="1">
      <c r="A138" s="59"/>
      <c r="F138" s="43"/>
      <c r="G138" s="43"/>
      <c r="H138" s="43"/>
      <c r="I138" s="43"/>
      <c r="J138" s="43"/>
      <c r="K138" s="43"/>
    </row>
    <row r="139" spans="1:11" s="46" customFormat="1">
      <c r="A139" s="59"/>
      <c r="F139" s="43"/>
      <c r="G139" s="43"/>
      <c r="H139" s="43"/>
      <c r="I139" s="43"/>
      <c r="J139" s="43"/>
      <c r="K139" s="43"/>
    </row>
    <row r="140" spans="1:11" s="46" customFormat="1">
      <c r="A140" s="59"/>
      <c r="F140" s="43"/>
      <c r="G140" s="43"/>
      <c r="H140" s="43"/>
      <c r="I140" s="43"/>
      <c r="J140" s="43"/>
      <c r="K140" s="43"/>
    </row>
    <row r="141" spans="1:11" s="46" customFormat="1">
      <c r="A141" s="59"/>
      <c r="F141" s="43"/>
      <c r="G141" s="43"/>
      <c r="H141" s="43"/>
      <c r="I141" s="43"/>
      <c r="J141" s="43"/>
      <c r="K141" s="43"/>
    </row>
    <row r="142" spans="1:11" s="46" customFormat="1">
      <c r="A142" s="59"/>
      <c r="F142" s="43"/>
      <c r="G142" s="43"/>
      <c r="H142" s="43"/>
      <c r="I142" s="43"/>
      <c r="J142" s="43"/>
      <c r="K142" s="43"/>
    </row>
    <row r="143" spans="1:11" s="46" customFormat="1">
      <c r="A143" s="59"/>
      <c r="F143" s="43"/>
      <c r="G143" s="43"/>
      <c r="H143" s="43"/>
      <c r="I143" s="43"/>
      <c r="J143" s="43"/>
      <c r="K143" s="43"/>
    </row>
    <row r="144" spans="1:11" s="46" customFormat="1">
      <c r="A144" s="59"/>
      <c r="F144" s="43"/>
      <c r="G144" s="43"/>
      <c r="H144" s="43"/>
      <c r="I144" s="43"/>
      <c r="J144" s="43"/>
      <c r="K144" s="43"/>
    </row>
    <row r="145" spans="1:11" s="46" customFormat="1">
      <c r="A145" s="59"/>
      <c r="F145" s="43"/>
      <c r="G145" s="43"/>
      <c r="H145" s="43"/>
      <c r="I145" s="43"/>
      <c r="J145" s="43"/>
      <c r="K145" s="43"/>
    </row>
    <row r="146" spans="1:11" s="46" customFormat="1">
      <c r="A146" s="59"/>
      <c r="F146" s="43"/>
      <c r="G146" s="43"/>
      <c r="H146" s="43"/>
      <c r="I146" s="43"/>
      <c r="J146" s="43"/>
      <c r="K146" s="43"/>
    </row>
    <row r="147" spans="1:11" s="46" customFormat="1">
      <c r="A147" s="59"/>
      <c r="F147" s="43"/>
      <c r="G147" s="43"/>
      <c r="H147" s="43"/>
      <c r="I147" s="43"/>
      <c r="J147" s="43"/>
      <c r="K147" s="43"/>
    </row>
    <row r="148" spans="1:11" s="46" customFormat="1">
      <c r="A148" s="59"/>
      <c r="F148" s="43"/>
      <c r="G148" s="43"/>
      <c r="H148" s="43"/>
      <c r="I148" s="43"/>
      <c r="J148" s="43"/>
      <c r="K148" s="43"/>
    </row>
    <row r="149" spans="1:11" s="46" customFormat="1">
      <c r="A149" s="59"/>
      <c r="F149" s="43"/>
      <c r="G149" s="43"/>
      <c r="H149" s="43"/>
      <c r="I149" s="43"/>
      <c r="J149" s="43"/>
      <c r="K149" s="43"/>
    </row>
    <row r="150" spans="1:11" s="46" customFormat="1">
      <c r="A150" s="59"/>
      <c r="F150" s="43"/>
      <c r="G150" s="43"/>
      <c r="H150" s="43"/>
      <c r="I150" s="43"/>
      <c r="J150" s="43"/>
      <c r="K150" s="43"/>
    </row>
    <row r="151" spans="1:11" s="46" customFormat="1">
      <c r="A151" s="59"/>
      <c r="F151" s="43"/>
      <c r="G151" s="43"/>
      <c r="H151" s="43"/>
      <c r="I151" s="43"/>
      <c r="J151" s="43"/>
      <c r="K151" s="43"/>
    </row>
    <row r="152" spans="1:11" s="46" customFormat="1">
      <c r="A152" s="59"/>
      <c r="F152" s="43"/>
      <c r="G152" s="43"/>
      <c r="H152" s="43"/>
      <c r="I152" s="43"/>
      <c r="J152" s="43"/>
      <c r="K152" s="43"/>
    </row>
    <row r="153" spans="1:11" s="46" customFormat="1">
      <c r="A153" s="59"/>
      <c r="F153" s="43"/>
      <c r="G153" s="43"/>
      <c r="H153" s="43"/>
      <c r="I153" s="43"/>
      <c r="J153" s="43"/>
      <c r="K153" s="43"/>
    </row>
    <row r="154" spans="1:11" s="46" customFormat="1">
      <c r="A154" s="59"/>
      <c r="F154" s="43"/>
      <c r="G154" s="43"/>
      <c r="H154" s="43"/>
      <c r="I154" s="43"/>
      <c r="J154" s="43"/>
      <c r="K154" s="43"/>
    </row>
    <row r="155" spans="1:11" s="46" customFormat="1">
      <c r="A155" s="59"/>
      <c r="F155" s="43"/>
      <c r="G155" s="43"/>
      <c r="H155" s="43"/>
      <c r="I155" s="43"/>
      <c r="J155" s="43"/>
      <c r="K155" s="43"/>
    </row>
    <row r="156" spans="1:11" s="46" customFormat="1">
      <c r="A156" s="59"/>
      <c r="F156" s="43"/>
      <c r="G156" s="43"/>
      <c r="H156" s="43"/>
      <c r="I156" s="43"/>
      <c r="J156" s="43"/>
      <c r="K156" s="43"/>
    </row>
    <row r="157" spans="1:11" s="46" customFormat="1">
      <c r="A157" s="59"/>
      <c r="F157" s="43"/>
      <c r="G157" s="43"/>
      <c r="H157" s="43"/>
      <c r="I157" s="43"/>
      <c r="J157" s="43"/>
      <c r="K157" s="43"/>
    </row>
    <row r="158" spans="1:11" s="46" customFormat="1">
      <c r="A158" s="59"/>
      <c r="F158" s="43"/>
      <c r="G158" s="43"/>
      <c r="H158" s="43"/>
      <c r="I158" s="43"/>
      <c r="J158" s="43"/>
      <c r="K158" s="43"/>
    </row>
    <row r="159" spans="1:11" s="46" customFormat="1">
      <c r="A159" s="59"/>
      <c r="F159" s="43"/>
      <c r="G159" s="43"/>
      <c r="H159" s="43"/>
      <c r="I159" s="43"/>
      <c r="J159" s="43"/>
      <c r="K159" s="43"/>
    </row>
    <row r="160" spans="1:11" s="46" customFormat="1">
      <c r="A160" s="59"/>
      <c r="F160" s="43"/>
      <c r="G160" s="43"/>
      <c r="H160" s="43"/>
      <c r="I160" s="43"/>
      <c r="J160" s="43"/>
      <c r="K160" s="43"/>
    </row>
    <row r="161" spans="1:11" s="46" customFormat="1">
      <c r="A161" s="59"/>
      <c r="F161" s="43"/>
      <c r="G161" s="43"/>
      <c r="H161" s="43"/>
      <c r="I161" s="43"/>
      <c r="J161" s="43"/>
      <c r="K161" s="43"/>
    </row>
    <row r="162" spans="1:11" s="46" customFormat="1">
      <c r="A162" s="59"/>
      <c r="F162" s="43"/>
      <c r="G162" s="43"/>
      <c r="H162" s="43"/>
      <c r="I162" s="43"/>
      <c r="J162" s="43"/>
      <c r="K162" s="43"/>
    </row>
    <row r="163" spans="1:11" s="46" customFormat="1">
      <c r="A163" s="59"/>
      <c r="F163" s="43"/>
      <c r="G163" s="43"/>
      <c r="H163" s="43"/>
      <c r="I163" s="43"/>
      <c r="J163" s="43"/>
      <c r="K163" s="43"/>
    </row>
    <row r="164" spans="1:11" s="46" customFormat="1">
      <c r="A164" s="59"/>
      <c r="F164" s="43"/>
      <c r="G164" s="43"/>
      <c r="H164" s="43"/>
      <c r="I164" s="43"/>
      <c r="J164" s="43"/>
      <c r="K164" s="43"/>
    </row>
    <row r="165" spans="1:11" s="46" customFormat="1">
      <c r="A165" s="59"/>
      <c r="F165" s="43"/>
      <c r="G165" s="43"/>
      <c r="H165" s="43"/>
      <c r="I165" s="43"/>
      <c r="J165" s="43"/>
      <c r="K165" s="43"/>
    </row>
    <row r="166" spans="1:11" s="46" customFormat="1">
      <c r="A166" s="59"/>
      <c r="F166" s="43"/>
      <c r="G166" s="43"/>
      <c r="H166" s="43"/>
      <c r="I166" s="43"/>
      <c r="J166" s="43"/>
      <c r="K166" s="43"/>
    </row>
    <row r="167" spans="1:11" s="46" customFormat="1">
      <c r="A167" s="59"/>
      <c r="F167" s="43"/>
      <c r="G167" s="43"/>
      <c r="H167" s="43"/>
      <c r="I167" s="43"/>
      <c r="J167" s="43"/>
      <c r="K167" s="43"/>
    </row>
    <row r="168" spans="1:11" s="46" customFormat="1">
      <c r="A168" s="59"/>
      <c r="F168" s="43"/>
      <c r="G168" s="43"/>
      <c r="H168" s="43"/>
      <c r="I168" s="43"/>
      <c r="J168" s="43"/>
      <c r="K168" s="43"/>
    </row>
    <row r="169" spans="1:11" s="46" customFormat="1">
      <c r="A169" s="59"/>
      <c r="F169" s="43"/>
      <c r="G169" s="43"/>
      <c r="H169" s="43"/>
      <c r="I169" s="43"/>
      <c r="J169" s="43"/>
      <c r="K169" s="43"/>
    </row>
    <row r="170" spans="1:11" s="46" customFormat="1">
      <c r="A170" s="59"/>
      <c r="F170" s="43"/>
      <c r="G170" s="43"/>
      <c r="H170" s="43"/>
      <c r="I170" s="43"/>
      <c r="J170" s="43"/>
      <c r="K170" s="43"/>
    </row>
    <row r="171" spans="1:11" s="46" customFormat="1">
      <c r="A171" s="59"/>
      <c r="F171" s="43"/>
      <c r="G171" s="43"/>
      <c r="H171" s="43"/>
      <c r="I171" s="43"/>
      <c r="J171" s="43"/>
      <c r="K171" s="43"/>
    </row>
    <row r="172" spans="1:11" s="46" customFormat="1">
      <c r="A172" s="59"/>
      <c r="F172" s="43"/>
      <c r="G172" s="43"/>
      <c r="H172" s="43"/>
      <c r="I172" s="43"/>
      <c r="J172" s="43"/>
      <c r="K172" s="43"/>
    </row>
    <row r="173" spans="1:11" s="46" customFormat="1">
      <c r="A173" s="59"/>
      <c r="F173" s="43"/>
      <c r="G173" s="43"/>
      <c r="H173" s="43"/>
      <c r="I173" s="43"/>
      <c r="J173" s="43"/>
      <c r="K173" s="43"/>
    </row>
    <row r="174" spans="1:11" s="46" customFormat="1">
      <c r="A174" s="59"/>
      <c r="F174" s="43"/>
      <c r="G174" s="43"/>
      <c r="H174" s="43"/>
      <c r="I174" s="43"/>
      <c r="J174" s="43"/>
      <c r="K174" s="43"/>
    </row>
    <row r="175" spans="1:11" s="46" customFormat="1">
      <c r="A175" s="59"/>
      <c r="F175" s="43"/>
      <c r="G175" s="43"/>
      <c r="H175" s="43"/>
      <c r="I175" s="43"/>
      <c r="J175" s="43"/>
      <c r="K175" s="43"/>
    </row>
    <row r="176" spans="1:11" s="46" customFormat="1">
      <c r="A176" s="59"/>
      <c r="F176" s="43"/>
      <c r="G176" s="43"/>
      <c r="H176" s="43"/>
      <c r="I176" s="43"/>
      <c r="J176" s="43"/>
      <c r="K176" s="43"/>
    </row>
    <row r="177" spans="1:11" s="46" customFormat="1">
      <c r="A177" s="59"/>
      <c r="F177" s="43"/>
      <c r="G177" s="43"/>
      <c r="H177" s="43"/>
      <c r="I177" s="43"/>
      <c r="J177" s="43"/>
      <c r="K177" s="43"/>
    </row>
    <row r="178" spans="1:11" s="46" customFormat="1">
      <c r="A178" s="59"/>
      <c r="F178" s="43"/>
      <c r="G178" s="43"/>
      <c r="H178" s="43"/>
      <c r="I178" s="43"/>
      <c r="J178" s="43"/>
      <c r="K178" s="43"/>
    </row>
    <row r="179" spans="1:11" s="46" customFormat="1">
      <c r="A179" s="59"/>
      <c r="F179" s="43"/>
      <c r="G179" s="43"/>
      <c r="H179" s="43"/>
      <c r="I179" s="43"/>
      <c r="J179" s="43"/>
      <c r="K179" s="43"/>
    </row>
    <row r="180" spans="1:11" s="46" customFormat="1">
      <c r="A180" s="59"/>
      <c r="F180" s="43"/>
      <c r="G180" s="43"/>
      <c r="H180" s="43"/>
      <c r="I180" s="43"/>
      <c r="J180" s="43"/>
      <c r="K180" s="43"/>
    </row>
    <row r="181" spans="1:11" s="46" customFormat="1">
      <c r="A181" s="59"/>
      <c r="F181" s="43"/>
      <c r="G181" s="43"/>
      <c r="H181" s="43"/>
      <c r="I181" s="43"/>
      <c r="J181" s="43"/>
      <c r="K181" s="43"/>
    </row>
    <row r="182" spans="1:11" s="46" customFormat="1">
      <c r="A182" s="59"/>
      <c r="F182" s="43"/>
      <c r="G182" s="43"/>
      <c r="H182" s="43"/>
      <c r="I182" s="43"/>
      <c r="J182" s="43"/>
      <c r="K182" s="43"/>
    </row>
    <row r="183" spans="1:11" s="46" customFormat="1">
      <c r="A183" s="59"/>
      <c r="F183" s="43"/>
      <c r="G183" s="43"/>
      <c r="H183" s="43"/>
      <c r="I183" s="43"/>
      <c r="J183" s="43"/>
      <c r="K183" s="43"/>
    </row>
    <row r="184" spans="1:11" s="46" customFormat="1">
      <c r="A184" s="59"/>
      <c r="F184" s="43"/>
      <c r="G184" s="43"/>
      <c r="H184" s="43"/>
      <c r="I184" s="43"/>
      <c r="J184" s="43"/>
      <c r="K184" s="43"/>
    </row>
    <row r="185" spans="1:11" s="46" customFormat="1">
      <c r="A185" s="59"/>
      <c r="F185" s="43"/>
      <c r="G185" s="43"/>
      <c r="H185" s="43"/>
      <c r="I185" s="43"/>
      <c r="J185" s="43"/>
      <c r="K185" s="43"/>
    </row>
    <row r="186" spans="1:11" s="46" customFormat="1">
      <c r="A186" s="59"/>
      <c r="F186" s="43"/>
      <c r="G186" s="43"/>
      <c r="H186" s="43"/>
      <c r="I186" s="43"/>
      <c r="J186" s="43"/>
      <c r="K186" s="43"/>
    </row>
    <row r="187" spans="1:11" s="46" customFormat="1">
      <c r="A187" s="59"/>
      <c r="F187" s="43"/>
      <c r="G187" s="43"/>
      <c r="H187" s="43"/>
      <c r="I187" s="43"/>
      <c r="J187" s="43"/>
      <c r="K187" s="43"/>
    </row>
    <row r="188" spans="1:11" s="46" customFormat="1">
      <c r="A188" s="59"/>
      <c r="F188" s="43"/>
      <c r="G188" s="43"/>
      <c r="H188" s="43"/>
      <c r="I188" s="43"/>
      <c r="J188" s="43"/>
      <c r="K188" s="43"/>
    </row>
    <row r="189" spans="1:11" s="46" customFormat="1">
      <c r="A189" s="59"/>
      <c r="F189" s="43"/>
      <c r="G189" s="43"/>
      <c r="H189" s="43"/>
      <c r="I189" s="43"/>
      <c r="J189" s="43"/>
      <c r="K189" s="43"/>
    </row>
    <row r="190" spans="1:11" s="46" customFormat="1">
      <c r="A190" s="59"/>
      <c r="F190" s="43"/>
      <c r="G190" s="43"/>
      <c r="H190" s="43"/>
      <c r="I190" s="43"/>
      <c r="J190" s="43"/>
      <c r="K190" s="43"/>
    </row>
    <row r="191" spans="1:11" s="46" customFormat="1">
      <c r="A191" s="59"/>
      <c r="F191" s="43"/>
      <c r="G191" s="43"/>
      <c r="H191" s="43"/>
      <c r="I191" s="43"/>
      <c r="J191" s="43"/>
      <c r="K191" s="43"/>
    </row>
  </sheetData>
  <sheetProtection password="C6FB" sheet="1" objects="1" scenarios="1" formatCells="0" formatColumns="0" formatRows="0" insertRows="0" deleteRows="0"/>
  <mergeCells count="13">
    <mergeCell ref="C41:E41"/>
    <mergeCell ref="G41:I41"/>
    <mergeCell ref="A6:I6"/>
    <mergeCell ref="A18:I18"/>
    <mergeCell ref="C40:E40"/>
    <mergeCell ref="G40:I40"/>
    <mergeCell ref="A1:I1"/>
    <mergeCell ref="A3:A4"/>
    <mergeCell ref="B3:B4"/>
    <mergeCell ref="C3:C4"/>
    <mergeCell ref="D3:D4"/>
    <mergeCell ref="E3:E4"/>
    <mergeCell ref="F3:I3"/>
  </mergeCells>
  <phoneticPr fontId="3" type="noConversion"/>
  <pageMargins left="0.78740157480314965" right="0.39370078740157483" top="0.59055118110236227" bottom="0.59055118110236227" header="0.19685039370078741" footer="0.11811023622047245"/>
  <pageSetup paperSize="9" scale="50" fitToHeight="2" orientation="portrait" horizontalDpi="300" verticalDpi="3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113"/>
  <sheetViews>
    <sheetView windowProtection="1" view="pageBreakPreview" zoomScale="75" zoomScaleNormal="75" zoomScaleSheetLayoutView="50" workbookViewId="0">
      <pane ySplit="5" topLeftCell="A27" activePane="bottomLeft" state="frozen"/>
      <selection pane="bottomLeft" activeCell="A39" sqref="A39"/>
    </sheetView>
  </sheetViews>
  <sheetFormatPr defaultRowHeight="18.75" outlineLevelRow="1"/>
  <cols>
    <col min="1" max="1" width="53.28515625" style="1" customWidth="1"/>
    <col min="2" max="2" width="13.7109375" style="1" customWidth="1"/>
    <col min="3" max="3" width="12.140625" style="1" customWidth="1"/>
    <col min="4" max="4" width="13.140625" style="1" customWidth="1"/>
    <col min="5" max="5" width="13.85546875" style="1" customWidth="1"/>
    <col min="6" max="6" width="12.42578125" style="1" bestFit="1" customWidth="1"/>
    <col min="7" max="7" width="10.7109375" style="1" bestFit="1" customWidth="1"/>
    <col min="8" max="8" width="11.42578125" style="1" bestFit="1" customWidth="1"/>
    <col min="9" max="9" width="10.7109375" style="1" bestFit="1" customWidth="1"/>
    <col min="10" max="16384" width="9.140625" style="1"/>
  </cols>
  <sheetData>
    <row r="1" spans="1:9">
      <c r="A1" s="309" t="s">
        <v>378</v>
      </c>
      <c r="B1" s="309"/>
      <c r="C1" s="309"/>
      <c r="D1" s="309"/>
      <c r="E1" s="309"/>
      <c r="F1" s="309"/>
      <c r="G1" s="309"/>
      <c r="H1" s="309"/>
      <c r="I1" s="309"/>
    </row>
    <row r="2" spans="1:9" outlineLevel="1">
      <c r="A2" s="18"/>
      <c r="B2" s="18"/>
      <c r="C2" s="18"/>
      <c r="D2" s="18"/>
      <c r="E2" s="18"/>
      <c r="F2" s="18"/>
      <c r="G2" s="18"/>
      <c r="H2" s="18"/>
      <c r="I2" s="18"/>
    </row>
    <row r="3" spans="1:9" ht="48" customHeight="1">
      <c r="A3" s="352" t="s">
        <v>274</v>
      </c>
      <c r="B3" s="346" t="s">
        <v>0</v>
      </c>
      <c r="C3" s="346" t="s">
        <v>32</v>
      </c>
      <c r="D3" s="346" t="s">
        <v>71</v>
      </c>
      <c r="E3" s="346" t="s">
        <v>180</v>
      </c>
      <c r="F3" s="347" t="s">
        <v>370</v>
      </c>
      <c r="G3" s="347"/>
      <c r="H3" s="347"/>
      <c r="I3" s="347"/>
    </row>
    <row r="4" spans="1:9" ht="38.25" customHeight="1">
      <c r="A4" s="353"/>
      <c r="B4" s="346"/>
      <c r="C4" s="346"/>
      <c r="D4" s="346"/>
      <c r="E4" s="346"/>
      <c r="F4" s="11" t="s">
        <v>379</v>
      </c>
      <c r="G4" s="11" t="s">
        <v>372</v>
      </c>
      <c r="H4" s="11" t="s">
        <v>373</v>
      </c>
      <c r="I4" s="11" t="s">
        <v>87</v>
      </c>
    </row>
    <row r="5" spans="1:9" ht="18" customHeight="1">
      <c r="A5" s="7">
        <v>1</v>
      </c>
      <c r="B5" s="11">
        <v>2</v>
      </c>
      <c r="C5" s="11">
        <v>3</v>
      </c>
      <c r="D5" s="11">
        <v>4</v>
      </c>
      <c r="E5" s="11">
        <v>5</v>
      </c>
      <c r="F5" s="11">
        <v>6</v>
      </c>
      <c r="G5" s="11">
        <v>7</v>
      </c>
      <c r="H5" s="11">
        <v>8</v>
      </c>
      <c r="I5" s="11">
        <v>9</v>
      </c>
    </row>
    <row r="6" spans="1:9" s="57" customFormat="1" ht="20.100000000000001" customHeight="1">
      <c r="A6" s="348" t="s">
        <v>170</v>
      </c>
      <c r="B6" s="349"/>
      <c r="C6" s="349"/>
      <c r="D6" s="349"/>
      <c r="E6" s="349"/>
      <c r="F6" s="349"/>
      <c r="G6" s="349"/>
      <c r="H6" s="349"/>
      <c r="I6" s="350"/>
    </row>
    <row r="7" spans="1:9" ht="37.5">
      <c r="A7" s="182" t="s">
        <v>190</v>
      </c>
      <c r="B7" s="167">
        <v>1170</v>
      </c>
      <c r="C7" s="187">
        <f>'I. Фін результат'!C86</f>
        <v>30</v>
      </c>
      <c r="D7" s="187">
        <f>'I. Фін результат'!D86</f>
        <v>2524</v>
      </c>
      <c r="E7" s="187">
        <f>'I. Фін результат'!E86</f>
        <v>-12867</v>
      </c>
      <c r="F7" s="187">
        <f>'I. Фін результат'!F86</f>
        <v>-1334</v>
      </c>
      <c r="G7" s="187">
        <f>'I. Фін результат'!G86</f>
        <v>571</v>
      </c>
      <c r="H7" s="187">
        <f>'I. Фін результат'!H86</f>
        <v>5265</v>
      </c>
      <c r="I7" s="187">
        <f>'I. Фін результат'!I86</f>
        <v>6229</v>
      </c>
    </row>
    <row r="8" spans="1:9" ht="20.100000000000001" customHeight="1">
      <c r="A8" s="182" t="s">
        <v>191</v>
      </c>
      <c r="B8" s="223"/>
      <c r="C8" s="193"/>
      <c r="D8" s="193"/>
      <c r="E8" s="193"/>
      <c r="F8" s="193"/>
      <c r="G8" s="193"/>
      <c r="H8" s="193"/>
      <c r="I8" s="193"/>
    </row>
    <row r="9" spans="1:9" ht="20.100000000000001" customHeight="1">
      <c r="A9" s="182" t="s">
        <v>194</v>
      </c>
      <c r="B9" s="186">
        <v>3000</v>
      </c>
      <c r="C9" s="187">
        <f>'I. Фін результат'!C112</f>
        <v>35769</v>
      </c>
      <c r="D9" s="187">
        <f>'I. Фін результат'!D112</f>
        <v>13983</v>
      </c>
      <c r="E9" s="187">
        <f>'I. Фін результат'!E112</f>
        <v>8280</v>
      </c>
      <c r="F9" s="187">
        <f>'I. Фін результат'!F112</f>
        <v>4975</v>
      </c>
      <c r="G9" s="187">
        <f>'I. Фін результат'!G112</f>
        <v>9930</v>
      </c>
      <c r="H9" s="187">
        <f>'I. Фін результат'!H112</f>
        <v>14895</v>
      </c>
      <c r="I9" s="187">
        <f>'I. Фін результат'!I112</f>
        <v>19861</v>
      </c>
    </row>
    <row r="10" spans="1:9" ht="20.100000000000001" customHeight="1">
      <c r="A10" s="182" t="s">
        <v>195</v>
      </c>
      <c r="B10" s="186">
        <v>3010</v>
      </c>
      <c r="C10" s="188">
        <v>-40939</v>
      </c>
      <c r="D10" s="188"/>
      <c r="E10" s="188"/>
      <c r="F10" s="188"/>
      <c r="G10" s="188"/>
      <c r="H10" s="188"/>
      <c r="I10" s="188"/>
    </row>
    <row r="11" spans="1:9" ht="37.5">
      <c r="A11" s="182" t="s">
        <v>196</v>
      </c>
      <c r="B11" s="186">
        <v>3020</v>
      </c>
      <c r="C11" s="188"/>
      <c r="D11" s="188"/>
      <c r="E11" s="188"/>
      <c r="F11" s="188"/>
      <c r="G11" s="188"/>
      <c r="H11" s="188"/>
      <c r="I11" s="188"/>
    </row>
    <row r="12" spans="1:9" ht="56.25">
      <c r="A12" s="182" t="s">
        <v>197</v>
      </c>
      <c r="B12" s="186">
        <v>3030</v>
      </c>
      <c r="C12" s="188">
        <v>21</v>
      </c>
      <c r="D12" s="188">
        <v>0</v>
      </c>
      <c r="E12" s="188">
        <f>E13+E14</f>
        <v>54279</v>
      </c>
      <c r="F12" s="188">
        <f>F13+F14+F15+F16</f>
        <v>5738</v>
      </c>
      <c r="G12" s="188"/>
      <c r="H12" s="188"/>
      <c r="I12" s="188"/>
    </row>
    <row r="13" spans="1:9">
      <c r="A13" s="182" t="s">
        <v>433</v>
      </c>
      <c r="B13" s="186" t="s">
        <v>431</v>
      </c>
      <c r="C13" s="188">
        <v>1</v>
      </c>
      <c r="D13" s="188"/>
      <c r="E13" s="188">
        <f>91777-E9</f>
        <v>83497</v>
      </c>
      <c r="F13" s="188">
        <f>24462-F9+1</f>
        <v>19488</v>
      </c>
      <c r="G13" s="188"/>
      <c r="H13" s="188"/>
      <c r="I13" s="188"/>
    </row>
    <row r="14" spans="1:9">
      <c r="A14" s="182" t="s">
        <v>434</v>
      </c>
      <c r="B14" s="186" t="s">
        <v>432</v>
      </c>
      <c r="C14" s="188">
        <v>20</v>
      </c>
      <c r="D14" s="188"/>
      <c r="E14" s="188">
        <v>-29218</v>
      </c>
      <c r="F14" s="188">
        <v>317</v>
      </c>
      <c r="G14" s="188"/>
      <c r="H14" s="188"/>
      <c r="I14" s="188"/>
    </row>
    <row r="15" spans="1:9">
      <c r="A15" s="182" t="s">
        <v>685</v>
      </c>
      <c r="B15" s="283" t="s">
        <v>684</v>
      </c>
      <c r="C15" s="188"/>
      <c r="D15" s="188"/>
      <c r="E15" s="188"/>
      <c r="F15" s="188">
        <v>-926</v>
      </c>
      <c r="G15" s="188"/>
      <c r="H15" s="188"/>
      <c r="I15" s="188"/>
    </row>
    <row r="16" spans="1:9">
      <c r="A16" s="182" t="s">
        <v>701</v>
      </c>
      <c r="B16" s="289" t="s">
        <v>700</v>
      </c>
      <c r="C16" s="188"/>
      <c r="D16" s="188"/>
      <c r="E16" s="188"/>
      <c r="F16" s="188">
        <v>-13141</v>
      </c>
      <c r="G16" s="188"/>
      <c r="H16" s="188"/>
      <c r="I16" s="188"/>
    </row>
    <row r="17" spans="1:9" ht="42.75" customHeight="1">
      <c r="A17" s="184" t="s">
        <v>256</v>
      </c>
      <c r="B17" s="224">
        <v>3040</v>
      </c>
      <c r="C17" s="189">
        <f>SUM(C7:C12)</f>
        <v>-5119</v>
      </c>
      <c r="D17" s="189">
        <f t="shared" ref="D17:I17" si="0">SUM(D7:D12)</f>
        <v>16507</v>
      </c>
      <c r="E17" s="189">
        <f t="shared" si="0"/>
        <v>49692</v>
      </c>
      <c r="F17" s="189">
        <f>SUM(F7:F12)</f>
        <v>9379</v>
      </c>
      <c r="G17" s="189">
        <f t="shared" si="0"/>
        <v>10501</v>
      </c>
      <c r="H17" s="189">
        <f t="shared" si="0"/>
        <v>20160</v>
      </c>
      <c r="I17" s="189">
        <f t="shared" si="0"/>
        <v>26090</v>
      </c>
    </row>
    <row r="18" spans="1:9" ht="37.5">
      <c r="A18" s="182" t="s">
        <v>198</v>
      </c>
      <c r="B18" s="186">
        <v>3050</v>
      </c>
      <c r="C18" s="188">
        <f>SUM(C19:C22)</f>
        <v>-19776</v>
      </c>
      <c r="D18" s="188">
        <f>SUM(D19:D22)</f>
        <v>0</v>
      </c>
      <c r="E18" s="188">
        <f>SUM(E19:E22)</f>
        <v>-13715</v>
      </c>
      <c r="F18" s="188">
        <f>SUM(F19:F22)</f>
        <v>-27568</v>
      </c>
      <c r="G18" s="188"/>
      <c r="H18" s="188"/>
      <c r="I18" s="188"/>
    </row>
    <row r="19" spans="1:9">
      <c r="A19" s="182" t="s">
        <v>436</v>
      </c>
      <c r="B19" s="186" t="s">
        <v>435</v>
      </c>
      <c r="C19" s="188">
        <v>-4646</v>
      </c>
      <c r="D19" s="188"/>
      <c r="E19" s="188">
        <v>-1534</v>
      </c>
      <c r="F19" s="188">
        <v>3912</v>
      </c>
      <c r="G19" s="188"/>
      <c r="H19" s="188"/>
      <c r="I19" s="188"/>
    </row>
    <row r="20" spans="1:9">
      <c r="A20" s="182" t="s">
        <v>437</v>
      </c>
      <c r="B20" s="186" t="s">
        <v>438</v>
      </c>
      <c r="C20" s="188">
        <v>-14117</v>
      </c>
      <c r="D20" s="188"/>
      <c r="E20" s="188">
        <v>-33795</v>
      </c>
      <c r="F20" s="188">
        <v>-31342</v>
      </c>
      <c r="G20" s="188"/>
      <c r="H20" s="188"/>
      <c r="I20" s="188"/>
    </row>
    <row r="21" spans="1:9">
      <c r="A21" s="182" t="s">
        <v>439</v>
      </c>
      <c r="B21" s="186" t="s">
        <v>440</v>
      </c>
      <c r="C21" s="188">
        <v>-1013</v>
      </c>
      <c r="D21" s="188"/>
      <c r="E21" s="188">
        <v>19526</v>
      </c>
      <c r="F21" s="188"/>
      <c r="G21" s="188"/>
      <c r="H21" s="188"/>
      <c r="I21" s="188"/>
    </row>
    <row r="22" spans="1:9">
      <c r="A22" s="182" t="s">
        <v>441</v>
      </c>
      <c r="B22" s="186" t="s">
        <v>442</v>
      </c>
      <c r="C22" s="188">
        <v>0</v>
      </c>
      <c r="D22" s="188"/>
      <c r="E22" s="188">
        <v>2088</v>
      </c>
      <c r="F22" s="188">
        <v>-138</v>
      </c>
      <c r="G22" s="188"/>
      <c r="H22" s="188"/>
      <c r="I22" s="188"/>
    </row>
    <row r="23" spans="1:9" ht="37.5">
      <c r="A23" s="182" t="s">
        <v>199</v>
      </c>
      <c r="B23" s="186">
        <v>3060</v>
      </c>
      <c r="C23" s="188">
        <v>-2945</v>
      </c>
      <c r="D23" s="188"/>
      <c r="E23" s="188">
        <v>173484</v>
      </c>
      <c r="F23" s="188">
        <v>56059</v>
      </c>
      <c r="G23" s="188"/>
      <c r="H23" s="188"/>
      <c r="I23" s="188"/>
    </row>
    <row r="24" spans="1:9" ht="20.100000000000001" customHeight="1">
      <c r="A24" s="184" t="s">
        <v>192</v>
      </c>
      <c r="B24" s="224">
        <v>3070</v>
      </c>
      <c r="C24" s="189">
        <f>SUM(C17:C18)+C23</f>
        <v>-27840</v>
      </c>
      <c r="D24" s="189">
        <f t="shared" ref="D24:I24" si="1">SUM(D17:D18)+D23</f>
        <v>16507</v>
      </c>
      <c r="E24" s="189">
        <f t="shared" si="1"/>
        <v>209461</v>
      </c>
      <c r="F24" s="189">
        <f>SUM(F17:F18)+F23</f>
        <v>37870</v>
      </c>
      <c r="G24" s="189">
        <f t="shared" si="1"/>
        <v>10501</v>
      </c>
      <c r="H24" s="189">
        <f t="shared" si="1"/>
        <v>20160</v>
      </c>
      <c r="I24" s="189">
        <f t="shared" si="1"/>
        <v>26090</v>
      </c>
    </row>
    <row r="25" spans="1:9" ht="20.100000000000001" customHeight="1">
      <c r="A25" s="182" t="s">
        <v>193</v>
      </c>
      <c r="B25" s="186">
        <v>3080</v>
      </c>
      <c r="C25" s="187">
        <f>'I. Фін результат'!C87</f>
        <v>0</v>
      </c>
      <c r="D25" s="187">
        <f>'I. Фін результат'!D87</f>
        <v>454</v>
      </c>
      <c r="E25" s="187">
        <f>'I. Фін результат'!E87</f>
        <v>0</v>
      </c>
      <c r="F25" s="187">
        <f>'I. Фін результат'!F87</f>
        <v>0</v>
      </c>
      <c r="G25" s="187">
        <f>'I. Фін результат'!G87</f>
        <v>103</v>
      </c>
      <c r="H25" s="187">
        <f>'I. Фін результат'!H87</f>
        <v>103</v>
      </c>
      <c r="I25" s="187">
        <f>'I. Фін результат'!I87</f>
        <v>1121</v>
      </c>
    </row>
    <row r="26" spans="1:9" ht="37.5">
      <c r="A26" s="166" t="s">
        <v>169</v>
      </c>
      <c r="B26" s="224">
        <v>3090</v>
      </c>
      <c r="C26" s="189">
        <f>C24-C25</f>
        <v>-27840</v>
      </c>
      <c r="D26" s="189">
        <f t="shared" ref="D26:I26" si="2">D24-D25</f>
        <v>16053</v>
      </c>
      <c r="E26" s="189">
        <f t="shared" si="2"/>
        <v>209461</v>
      </c>
      <c r="F26" s="189">
        <f t="shared" si="2"/>
        <v>37870</v>
      </c>
      <c r="G26" s="189">
        <f t="shared" si="2"/>
        <v>10398</v>
      </c>
      <c r="H26" s="189">
        <f t="shared" si="2"/>
        <v>20057</v>
      </c>
      <c r="I26" s="189">
        <f t="shared" si="2"/>
        <v>24969</v>
      </c>
    </row>
    <row r="27" spans="1:9" ht="20.100000000000001" customHeight="1">
      <c r="A27" s="348" t="s">
        <v>171</v>
      </c>
      <c r="B27" s="349"/>
      <c r="C27" s="349"/>
      <c r="D27" s="349"/>
      <c r="E27" s="349"/>
      <c r="F27" s="349"/>
      <c r="G27" s="349"/>
      <c r="H27" s="349"/>
      <c r="I27" s="350"/>
    </row>
    <row r="28" spans="1:9" ht="20.100000000000001" customHeight="1">
      <c r="A28" s="184" t="s">
        <v>289</v>
      </c>
      <c r="B28" s="167"/>
      <c r="C28" s="188"/>
      <c r="D28" s="188"/>
      <c r="E28" s="188"/>
      <c r="F28" s="188"/>
      <c r="G28" s="188"/>
      <c r="H28" s="188"/>
      <c r="I28" s="188"/>
    </row>
    <row r="29" spans="1:9" ht="20.100000000000001" customHeight="1">
      <c r="A29" s="72" t="s">
        <v>33</v>
      </c>
      <c r="B29" s="167">
        <v>3200</v>
      </c>
      <c r="C29" s="188"/>
      <c r="D29" s="188"/>
      <c r="E29" s="188"/>
      <c r="F29" s="188"/>
      <c r="G29" s="188"/>
      <c r="H29" s="188"/>
      <c r="I29" s="188"/>
    </row>
    <row r="30" spans="1:9" ht="20.100000000000001" customHeight="1">
      <c r="A30" s="72" t="s">
        <v>34</v>
      </c>
      <c r="B30" s="167">
        <v>3210</v>
      </c>
      <c r="C30" s="188"/>
      <c r="D30" s="188"/>
      <c r="E30" s="188"/>
      <c r="F30" s="188"/>
      <c r="G30" s="188"/>
      <c r="H30" s="188"/>
      <c r="I30" s="188"/>
    </row>
    <row r="31" spans="1:9" ht="20.100000000000001" customHeight="1">
      <c r="A31" s="72" t="s">
        <v>57</v>
      </c>
      <c r="B31" s="167">
        <v>3220</v>
      </c>
      <c r="C31" s="188"/>
      <c r="D31" s="188"/>
      <c r="E31" s="188"/>
      <c r="F31" s="188"/>
      <c r="G31" s="188"/>
      <c r="H31" s="188"/>
      <c r="I31" s="188"/>
    </row>
    <row r="32" spans="1:9" ht="20.100000000000001" customHeight="1">
      <c r="A32" s="182" t="s">
        <v>175</v>
      </c>
      <c r="B32" s="167"/>
      <c r="C32" s="188"/>
      <c r="D32" s="188"/>
      <c r="E32" s="188"/>
      <c r="F32" s="188"/>
      <c r="G32" s="188"/>
      <c r="H32" s="188"/>
      <c r="I32" s="188"/>
    </row>
    <row r="33" spans="1:9" ht="20.100000000000001" customHeight="1">
      <c r="A33" s="72" t="s">
        <v>176</v>
      </c>
      <c r="B33" s="167">
        <v>3230</v>
      </c>
      <c r="C33" s="188"/>
      <c r="D33" s="188"/>
      <c r="E33" s="188"/>
      <c r="F33" s="188"/>
      <c r="G33" s="188"/>
      <c r="H33" s="188"/>
      <c r="I33" s="188"/>
    </row>
    <row r="34" spans="1:9" ht="20.100000000000001" customHeight="1">
      <c r="A34" s="72" t="s">
        <v>177</v>
      </c>
      <c r="B34" s="167">
        <v>3240</v>
      </c>
      <c r="C34" s="188"/>
      <c r="D34" s="188"/>
      <c r="E34" s="188"/>
      <c r="F34" s="188"/>
      <c r="G34" s="188"/>
      <c r="H34" s="188"/>
      <c r="I34" s="188"/>
    </row>
    <row r="35" spans="1:9" ht="20.100000000000001" customHeight="1">
      <c r="A35" s="182" t="s">
        <v>178</v>
      </c>
      <c r="B35" s="167">
        <v>3250</v>
      </c>
      <c r="C35" s="188"/>
      <c r="D35" s="188"/>
      <c r="E35" s="188"/>
      <c r="F35" s="188"/>
      <c r="G35" s="188"/>
      <c r="H35" s="188"/>
      <c r="I35" s="188"/>
    </row>
    <row r="36" spans="1:9" ht="20.100000000000001" customHeight="1">
      <c r="A36" s="72" t="s">
        <v>131</v>
      </c>
      <c r="B36" s="167">
        <v>3260</v>
      </c>
      <c r="C36" s="188"/>
      <c r="D36" s="188"/>
      <c r="E36" s="188">
        <v>5</v>
      </c>
      <c r="F36" s="188"/>
      <c r="G36" s="188"/>
      <c r="H36" s="188"/>
      <c r="I36" s="188"/>
    </row>
    <row r="37" spans="1:9" ht="20.100000000000001" customHeight="1">
      <c r="A37" s="184" t="s">
        <v>291</v>
      </c>
      <c r="B37" s="167"/>
      <c r="C37" s="188"/>
      <c r="D37" s="188"/>
      <c r="E37" s="188"/>
      <c r="F37" s="188"/>
      <c r="G37" s="188"/>
      <c r="H37" s="188"/>
      <c r="I37" s="188"/>
    </row>
    <row r="38" spans="1:9" ht="37.5">
      <c r="A38" s="72" t="s">
        <v>132</v>
      </c>
      <c r="B38" s="167">
        <v>3270</v>
      </c>
      <c r="C38" s="188">
        <v>16132</v>
      </c>
      <c r="D38" s="188">
        <v>25000</v>
      </c>
      <c r="E38" s="188">
        <v>152650</v>
      </c>
      <c r="F38" s="188">
        <f>F39</f>
        <v>26865</v>
      </c>
      <c r="G38" s="188">
        <f t="shared" ref="G38:I38" si="3">G39</f>
        <v>26865</v>
      </c>
      <c r="H38" s="188">
        <f t="shared" si="3"/>
        <v>26865</v>
      </c>
      <c r="I38" s="188">
        <f t="shared" si="3"/>
        <v>26865</v>
      </c>
    </row>
    <row r="39" spans="1:9" ht="56.25">
      <c r="A39" s="295" t="s">
        <v>706</v>
      </c>
      <c r="B39" s="167" t="s">
        <v>669</v>
      </c>
      <c r="C39" s="188"/>
      <c r="D39" s="188"/>
      <c r="E39" s="188"/>
      <c r="F39" s="188">
        <v>26865</v>
      </c>
      <c r="G39" s="188">
        <v>26865</v>
      </c>
      <c r="H39" s="188">
        <v>26865</v>
      </c>
      <c r="I39" s="188">
        <v>26865</v>
      </c>
    </row>
    <row r="40" spans="1:9" ht="20.100000000000001" customHeight="1">
      <c r="A40" s="72" t="s">
        <v>133</v>
      </c>
      <c r="B40" s="167">
        <v>3280</v>
      </c>
      <c r="C40" s="188"/>
      <c r="D40" s="188"/>
      <c r="E40" s="188">
        <v>26066</v>
      </c>
      <c r="F40" s="188"/>
      <c r="G40" s="188"/>
      <c r="H40" s="188"/>
      <c r="I40" s="188"/>
    </row>
    <row r="41" spans="1:9" ht="37.5">
      <c r="A41" s="72" t="s">
        <v>134</v>
      </c>
      <c r="B41" s="167">
        <v>3290</v>
      </c>
      <c r="C41" s="188"/>
      <c r="D41" s="188"/>
      <c r="E41" s="188"/>
      <c r="F41" s="188">
        <v>5</v>
      </c>
      <c r="G41" s="188">
        <v>5</v>
      </c>
      <c r="H41" s="188">
        <v>5</v>
      </c>
      <c r="I41" s="188">
        <v>5</v>
      </c>
    </row>
    <row r="42" spans="1:9" ht="20.100000000000001" customHeight="1">
      <c r="A42" s="72" t="s">
        <v>58</v>
      </c>
      <c r="B42" s="167">
        <v>3300</v>
      </c>
      <c r="C42" s="188"/>
      <c r="D42" s="188"/>
      <c r="E42" s="188"/>
      <c r="F42" s="188"/>
      <c r="G42" s="188"/>
      <c r="H42" s="188"/>
      <c r="I42" s="188"/>
    </row>
    <row r="43" spans="1:9" ht="20.100000000000001" customHeight="1">
      <c r="A43" s="72" t="s">
        <v>126</v>
      </c>
      <c r="B43" s="167">
        <v>3310</v>
      </c>
      <c r="C43" s="188"/>
      <c r="D43" s="188"/>
      <c r="E43" s="188"/>
      <c r="F43" s="188"/>
      <c r="G43" s="188"/>
      <c r="H43" s="188"/>
      <c r="I43" s="188"/>
    </row>
    <row r="44" spans="1:9" ht="37.5">
      <c r="A44" s="184" t="s">
        <v>172</v>
      </c>
      <c r="B44" s="221">
        <v>3320</v>
      </c>
      <c r="C44" s="189">
        <f>(C29+C30+C31+C33+C34+C35+C36)-(C38+C40+C41+C42+C43)</f>
        <v>-16132</v>
      </c>
      <c r="D44" s="189">
        <f t="shared" ref="D44:I44" si="4">(D29+D30+D31+D33+D34+D35+D36)-(D38+D40+D41+D42+D43)</f>
        <v>-25000</v>
      </c>
      <c r="E44" s="189">
        <f t="shared" si="4"/>
        <v>-178711</v>
      </c>
      <c r="F44" s="189">
        <f t="shared" si="4"/>
        <v>-26870</v>
      </c>
      <c r="G44" s="189">
        <f t="shared" si="4"/>
        <v>-26870</v>
      </c>
      <c r="H44" s="189">
        <f t="shared" si="4"/>
        <v>-26870</v>
      </c>
      <c r="I44" s="189">
        <f t="shared" si="4"/>
        <v>-26870</v>
      </c>
    </row>
    <row r="45" spans="1:9" ht="20.100000000000001" customHeight="1">
      <c r="A45" s="348" t="s">
        <v>173</v>
      </c>
      <c r="B45" s="349"/>
      <c r="C45" s="349"/>
      <c r="D45" s="349"/>
      <c r="E45" s="349"/>
      <c r="F45" s="349"/>
      <c r="G45" s="349"/>
      <c r="H45" s="349"/>
      <c r="I45" s="350"/>
    </row>
    <row r="46" spans="1:9" ht="20.100000000000001" customHeight="1">
      <c r="A46" s="184" t="s">
        <v>290</v>
      </c>
      <c r="B46" s="167"/>
      <c r="C46" s="188"/>
      <c r="D46" s="188"/>
      <c r="E46" s="188"/>
      <c r="F46" s="188"/>
      <c r="G46" s="188"/>
      <c r="H46" s="188"/>
      <c r="I46" s="188"/>
    </row>
    <row r="47" spans="1:9" ht="20.100000000000001" customHeight="1">
      <c r="A47" s="182" t="s">
        <v>179</v>
      </c>
      <c r="B47" s="167">
        <v>3400</v>
      </c>
      <c r="C47" s="188">
        <v>124153</v>
      </c>
      <c r="D47" s="188"/>
      <c r="E47" s="188"/>
      <c r="F47" s="188"/>
      <c r="G47" s="188"/>
      <c r="H47" s="188"/>
      <c r="I47" s="188"/>
    </row>
    <row r="48" spans="1:9" ht="37.5">
      <c r="A48" s="72" t="s">
        <v>101</v>
      </c>
      <c r="B48" s="147"/>
      <c r="C48" s="188"/>
      <c r="D48" s="188"/>
      <c r="E48" s="188"/>
      <c r="F48" s="188"/>
      <c r="G48" s="188"/>
      <c r="H48" s="188"/>
      <c r="I48" s="188"/>
    </row>
    <row r="49" spans="1:10" ht="20.100000000000001" customHeight="1">
      <c r="A49" s="72" t="s">
        <v>100</v>
      </c>
      <c r="B49" s="167">
        <v>3410</v>
      </c>
      <c r="C49" s="188"/>
      <c r="D49" s="188"/>
      <c r="E49" s="188"/>
      <c r="F49" s="188"/>
      <c r="G49" s="188"/>
      <c r="H49" s="188"/>
      <c r="I49" s="188"/>
    </row>
    <row r="50" spans="1:10" ht="20.100000000000001" customHeight="1">
      <c r="A50" s="72" t="s">
        <v>105</v>
      </c>
      <c r="B50" s="186">
        <v>3420</v>
      </c>
      <c r="C50" s="188"/>
      <c r="D50" s="188"/>
      <c r="E50" s="188"/>
      <c r="F50" s="188"/>
      <c r="G50" s="188"/>
      <c r="H50" s="188"/>
      <c r="I50" s="188"/>
    </row>
    <row r="51" spans="1:10" ht="20.100000000000001" customHeight="1">
      <c r="A51" s="72" t="s">
        <v>135</v>
      </c>
      <c r="B51" s="167">
        <v>3430</v>
      </c>
      <c r="C51" s="188"/>
      <c r="D51" s="188"/>
      <c r="E51" s="188"/>
      <c r="F51" s="188"/>
      <c r="G51" s="188"/>
      <c r="H51" s="188"/>
      <c r="I51" s="188"/>
    </row>
    <row r="52" spans="1:10" ht="37.5">
      <c r="A52" s="72" t="s">
        <v>103</v>
      </c>
      <c r="B52" s="167"/>
      <c r="C52" s="188"/>
      <c r="D52" s="188"/>
      <c r="E52" s="188"/>
      <c r="F52" s="188"/>
      <c r="G52" s="188"/>
      <c r="H52" s="188"/>
      <c r="I52" s="188"/>
    </row>
    <row r="53" spans="1:10" ht="20.100000000000001" customHeight="1">
      <c r="A53" s="72" t="s">
        <v>100</v>
      </c>
      <c r="B53" s="186">
        <v>3440</v>
      </c>
      <c r="C53" s="188"/>
      <c r="D53" s="188"/>
      <c r="E53" s="188"/>
      <c r="F53" s="188"/>
      <c r="G53" s="188"/>
      <c r="H53" s="188"/>
      <c r="I53" s="188"/>
    </row>
    <row r="54" spans="1:10" ht="20.100000000000001" customHeight="1">
      <c r="A54" s="72" t="s">
        <v>105</v>
      </c>
      <c r="B54" s="186">
        <v>3450</v>
      </c>
      <c r="C54" s="188"/>
      <c r="D54" s="188"/>
      <c r="E54" s="188"/>
      <c r="F54" s="188"/>
      <c r="G54" s="188"/>
      <c r="H54" s="188"/>
      <c r="I54" s="188"/>
    </row>
    <row r="55" spans="1:10" ht="20.100000000000001" customHeight="1">
      <c r="A55" s="72" t="s">
        <v>135</v>
      </c>
      <c r="B55" s="186">
        <v>3460</v>
      </c>
      <c r="C55" s="188"/>
      <c r="D55" s="188"/>
      <c r="E55" s="188"/>
      <c r="F55" s="188"/>
      <c r="G55" s="188"/>
      <c r="H55" s="188"/>
      <c r="I55" s="188"/>
    </row>
    <row r="56" spans="1:10" ht="20.100000000000001" customHeight="1">
      <c r="A56" s="72" t="s">
        <v>130</v>
      </c>
      <c r="B56" s="186">
        <v>3470</v>
      </c>
      <c r="C56" s="188"/>
      <c r="D56" s="188"/>
      <c r="E56" s="188"/>
      <c r="F56" s="188"/>
      <c r="G56" s="188"/>
      <c r="H56" s="188"/>
      <c r="I56" s="188"/>
    </row>
    <row r="57" spans="1:10" ht="20.100000000000001" customHeight="1">
      <c r="A57" s="72" t="s">
        <v>131</v>
      </c>
      <c r="B57" s="186">
        <v>3480</v>
      </c>
      <c r="C57" s="188"/>
      <c r="D57" s="188">
        <v>25000</v>
      </c>
      <c r="E57" s="188"/>
      <c r="F57" s="188">
        <f>F58</f>
        <v>0</v>
      </c>
      <c r="G57" s="188">
        <f>G58</f>
        <v>75307</v>
      </c>
      <c r="H57" s="188">
        <f>H58</f>
        <v>75307</v>
      </c>
      <c r="I57" s="188">
        <f>I58</f>
        <v>75307</v>
      </c>
    </row>
    <row r="58" spans="1:10" ht="36.75" customHeight="1">
      <c r="A58" s="72" t="s">
        <v>457</v>
      </c>
      <c r="B58" s="186" t="s">
        <v>458</v>
      </c>
      <c r="C58" s="188"/>
      <c r="D58" s="188">
        <v>25000</v>
      </c>
      <c r="E58" s="188"/>
      <c r="F58" s="188">
        <v>0</v>
      </c>
      <c r="G58" s="188">
        <v>75307</v>
      </c>
      <c r="H58" s="188">
        <f>G58</f>
        <v>75307</v>
      </c>
      <c r="I58" s="188">
        <f>H58</f>
        <v>75307</v>
      </c>
      <c r="J58" s="277"/>
    </row>
    <row r="59" spans="1:10" ht="20.100000000000001" customHeight="1">
      <c r="A59" s="184" t="s">
        <v>291</v>
      </c>
      <c r="B59" s="167"/>
      <c r="C59" s="188"/>
      <c r="D59" s="188"/>
      <c r="E59" s="188"/>
      <c r="F59" s="188"/>
      <c r="G59" s="188"/>
      <c r="H59" s="188"/>
      <c r="I59" s="188"/>
    </row>
    <row r="60" spans="1:10" ht="37.5">
      <c r="A60" s="72" t="s">
        <v>376</v>
      </c>
      <c r="B60" s="167">
        <v>3490</v>
      </c>
      <c r="C60" s="187">
        <f>'ІІ. Розр. з бюджетом'!C9</f>
        <v>5</v>
      </c>
      <c r="D60" s="187">
        <f>'ІІ. Розр. з бюджетом'!D9</f>
        <v>310</v>
      </c>
      <c r="E60" s="187">
        <f>'ІІ. Розр. з бюджетом'!E9</f>
        <v>0</v>
      </c>
      <c r="F60" s="187">
        <f>'ІІ. Розр. з бюджетом'!F9</f>
        <v>0</v>
      </c>
      <c r="G60" s="187">
        <f>'ІІ. Розр. з бюджетом'!G9</f>
        <v>70</v>
      </c>
      <c r="H60" s="187">
        <f>'ІІ. Розр. з бюджетом'!H9</f>
        <v>70</v>
      </c>
      <c r="I60" s="187">
        <f>'ІІ. Розр. з бюджетом'!I9</f>
        <v>766</v>
      </c>
    </row>
    <row r="61" spans="1:10" ht="112.5">
      <c r="A61" s="72" t="s">
        <v>377</v>
      </c>
      <c r="B61" s="167">
        <v>3500</v>
      </c>
      <c r="C61" s="187">
        <f>'ІІ. Розр. з бюджетом'!C10</f>
        <v>15</v>
      </c>
      <c r="D61" s="187">
        <f>'ІІ. Розр. з бюджетом'!D10</f>
        <v>1056</v>
      </c>
      <c r="E61" s="187">
        <f>'ІІ. Розр. з бюджетом'!E10</f>
        <v>0</v>
      </c>
      <c r="F61" s="187">
        <f>'ІІ. Розр. з бюджетом'!F10</f>
        <v>0</v>
      </c>
      <c r="G61" s="187">
        <f>'ІІ. Розр. з бюджетом'!G10</f>
        <v>239</v>
      </c>
      <c r="H61" s="187">
        <f>'ІІ. Розр. з бюджетом'!H10</f>
        <v>239</v>
      </c>
      <c r="I61" s="187">
        <f>'ІІ. Розр. з бюджетом'!I10</f>
        <v>2605</v>
      </c>
    </row>
    <row r="62" spans="1:10" ht="37.5">
      <c r="A62" s="72" t="s">
        <v>104</v>
      </c>
      <c r="B62" s="167"/>
      <c r="C62" s="188"/>
      <c r="D62" s="188"/>
      <c r="E62" s="188"/>
      <c r="F62" s="188"/>
      <c r="G62" s="188"/>
      <c r="H62" s="188"/>
      <c r="I62" s="188"/>
    </row>
    <row r="63" spans="1:10" ht="20.100000000000001" customHeight="1">
      <c r="A63" s="72" t="s">
        <v>100</v>
      </c>
      <c r="B63" s="186">
        <v>3510</v>
      </c>
      <c r="C63" s="188"/>
      <c r="D63" s="188"/>
      <c r="E63" s="188"/>
      <c r="F63" s="188"/>
      <c r="G63" s="188"/>
      <c r="H63" s="188"/>
      <c r="I63" s="188"/>
    </row>
    <row r="64" spans="1:10" ht="20.100000000000001" customHeight="1">
      <c r="A64" s="72" t="s">
        <v>105</v>
      </c>
      <c r="B64" s="186">
        <v>3520</v>
      </c>
      <c r="C64" s="188"/>
      <c r="D64" s="188"/>
      <c r="E64" s="188"/>
      <c r="F64" s="188"/>
      <c r="G64" s="188"/>
      <c r="H64" s="188"/>
      <c r="I64" s="188"/>
    </row>
    <row r="65" spans="1:9" ht="20.100000000000001" customHeight="1">
      <c r="A65" s="72" t="s">
        <v>135</v>
      </c>
      <c r="B65" s="186">
        <v>3530</v>
      </c>
      <c r="C65" s="188"/>
      <c r="D65" s="188"/>
      <c r="E65" s="188"/>
      <c r="F65" s="188"/>
      <c r="G65" s="188"/>
      <c r="H65" s="188"/>
      <c r="I65" s="188"/>
    </row>
    <row r="66" spans="1:9" ht="37.5">
      <c r="A66" s="72" t="s">
        <v>102</v>
      </c>
      <c r="B66" s="167"/>
      <c r="C66" s="188"/>
      <c r="D66" s="188"/>
      <c r="E66" s="188"/>
      <c r="F66" s="188"/>
      <c r="G66" s="188"/>
      <c r="H66" s="188"/>
      <c r="I66" s="188"/>
    </row>
    <row r="67" spans="1:9" ht="39.75" customHeight="1">
      <c r="A67" s="72" t="s">
        <v>680</v>
      </c>
      <c r="B67" s="186">
        <v>3540</v>
      </c>
      <c r="C67" s="188"/>
      <c r="D67" s="188"/>
      <c r="E67" s="188"/>
      <c r="F67" s="188"/>
      <c r="G67" s="188">
        <v>39490</v>
      </c>
      <c r="H67" s="188">
        <v>44427</v>
      </c>
      <c r="I67" s="188">
        <v>59236</v>
      </c>
    </row>
    <row r="68" spans="1:9" ht="20.100000000000001" customHeight="1">
      <c r="A68" s="72" t="s">
        <v>105</v>
      </c>
      <c r="B68" s="186">
        <v>3550</v>
      </c>
      <c r="C68" s="188"/>
      <c r="D68" s="188"/>
      <c r="E68" s="188"/>
      <c r="F68" s="188"/>
      <c r="G68" s="188"/>
      <c r="H68" s="188"/>
      <c r="I68" s="188"/>
    </row>
    <row r="69" spans="1:9" ht="20.100000000000001" customHeight="1">
      <c r="A69" s="72" t="s">
        <v>135</v>
      </c>
      <c r="B69" s="186">
        <v>3560</v>
      </c>
      <c r="C69" s="188"/>
      <c r="D69" s="188"/>
      <c r="E69" s="188"/>
      <c r="F69" s="188"/>
      <c r="G69" s="188"/>
      <c r="H69" s="188"/>
      <c r="I69" s="188"/>
    </row>
    <row r="70" spans="1:9" ht="19.5" customHeight="1">
      <c r="A70" s="72" t="s">
        <v>126</v>
      </c>
      <c r="B70" s="186">
        <v>3570</v>
      </c>
      <c r="C70" s="188">
        <v>54495</v>
      </c>
      <c r="D70" s="188"/>
      <c r="E70" s="188">
        <f>E71</f>
        <v>8733</v>
      </c>
      <c r="F70" s="188">
        <f>F71</f>
        <v>6037</v>
      </c>
      <c r="G70" s="188"/>
      <c r="H70" s="188"/>
      <c r="I70" s="188"/>
    </row>
    <row r="71" spans="1:9" ht="19.5" customHeight="1">
      <c r="A71" s="72" t="s">
        <v>444</v>
      </c>
      <c r="B71" s="186" t="s">
        <v>443</v>
      </c>
      <c r="C71" s="188">
        <v>54495</v>
      </c>
      <c r="D71" s="188"/>
      <c r="E71" s="188">
        <v>8733</v>
      </c>
      <c r="F71" s="188">
        <v>6037</v>
      </c>
      <c r="G71" s="188"/>
      <c r="H71" s="188"/>
      <c r="I71" s="188"/>
    </row>
    <row r="72" spans="1:9" ht="37.5">
      <c r="A72" s="56" t="s">
        <v>174</v>
      </c>
      <c r="B72" s="91">
        <v>3580</v>
      </c>
      <c r="C72" s="189">
        <f t="shared" ref="C72:I72" si="5">(C47+C49+C50+C51+C53+C54+C55+C56+C57)-(C60+C61+C63+C64+C65+C67+C68+C69+C70)</f>
        <v>69638</v>
      </c>
      <c r="D72" s="189">
        <f t="shared" si="5"/>
        <v>23634</v>
      </c>
      <c r="E72" s="189">
        <f t="shared" si="5"/>
        <v>-8733</v>
      </c>
      <c r="F72" s="189">
        <f t="shared" si="5"/>
        <v>-6037</v>
      </c>
      <c r="G72" s="189">
        <f t="shared" si="5"/>
        <v>35508</v>
      </c>
      <c r="H72" s="189">
        <f t="shared" si="5"/>
        <v>30571</v>
      </c>
      <c r="I72" s="189">
        <f t="shared" si="5"/>
        <v>12700</v>
      </c>
    </row>
    <row r="73" spans="1:9" s="12" customFormat="1" ht="20.100000000000001" customHeight="1">
      <c r="A73" s="8" t="s">
        <v>35</v>
      </c>
      <c r="B73" s="6"/>
      <c r="C73" s="193"/>
      <c r="D73" s="193"/>
      <c r="E73" s="193"/>
      <c r="F73" s="193"/>
      <c r="G73" s="193"/>
      <c r="H73" s="193"/>
      <c r="I73" s="193"/>
    </row>
    <row r="74" spans="1:9" s="12" customFormat="1" ht="20.100000000000001" customHeight="1">
      <c r="A74" s="9" t="s">
        <v>36</v>
      </c>
      <c r="B74" s="6">
        <v>3600</v>
      </c>
      <c r="C74" s="188">
        <v>860</v>
      </c>
      <c r="D74" s="188">
        <v>26526</v>
      </c>
      <c r="E74" s="187">
        <f>C76</f>
        <v>26526</v>
      </c>
      <c r="F74" s="187">
        <f>E76</f>
        <v>48543</v>
      </c>
      <c r="G74" s="187">
        <f>E76</f>
        <v>48543</v>
      </c>
      <c r="H74" s="187">
        <f>E76</f>
        <v>48543</v>
      </c>
      <c r="I74" s="187">
        <f>E76</f>
        <v>48543</v>
      </c>
    </row>
    <row r="75" spans="1:9" s="12" customFormat="1" ht="37.5">
      <c r="A75" s="72" t="s">
        <v>183</v>
      </c>
      <c r="B75" s="6">
        <v>3610</v>
      </c>
      <c r="C75" s="188"/>
      <c r="D75" s="188"/>
      <c r="E75" s="188"/>
      <c r="F75" s="188"/>
      <c r="G75" s="188"/>
      <c r="H75" s="188"/>
      <c r="I75" s="188"/>
    </row>
    <row r="76" spans="1:9" s="12" customFormat="1" ht="20.100000000000001" customHeight="1">
      <c r="A76" s="9" t="s">
        <v>59</v>
      </c>
      <c r="B76" s="6">
        <v>3620</v>
      </c>
      <c r="C76" s="189">
        <f t="shared" ref="C76:I76" si="6">C74+C26+C44+C72</f>
        <v>26526</v>
      </c>
      <c r="D76" s="189">
        <f t="shared" si="6"/>
        <v>41213</v>
      </c>
      <c r="E76" s="189">
        <f t="shared" si="6"/>
        <v>48543</v>
      </c>
      <c r="F76" s="189">
        <f>F74+F26+F44+F72</f>
        <v>53506</v>
      </c>
      <c r="G76" s="189">
        <f t="shared" si="6"/>
        <v>67579</v>
      </c>
      <c r="H76" s="189">
        <f t="shared" si="6"/>
        <v>72301</v>
      </c>
      <c r="I76" s="189">
        <f t="shared" si="6"/>
        <v>59342</v>
      </c>
    </row>
    <row r="77" spans="1:9" s="12" customFormat="1" ht="20.100000000000001" customHeight="1">
      <c r="A77" s="9" t="s">
        <v>37</v>
      </c>
      <c r="B77" s="6">
        <v>3630</v>
      </c>
      <c r="C77" s="189">
        <f t="shared" ref="C77:I77" si="7">SUM(C26,C44,C72)</f>
        <v>25666</v>
      </c>
      <c r="D77" s="189">
        <f t="shared" si="7"/>
        <v>14687</v>
      </c>
      <c r="E77" s="189">
        <f t="shared" si="7"/>
        <v>22017</v>
      </c>
      <c r="F77" s="189">
        <f t="shared" si="7"/>
        <v>4963</v>
      </c>
      <c r="G77" s="189">
        <f t="shared" si="7"/>
        <v>19036</v>
      </c>
      <c r="H77" s="189">
        <f t="shared" si="7"/>
        <v>23758</v>
      </c>
      <c r="I77" s="189">
        <f t="shared" si="7"/>
        <v>10799</v>
      </c>
    </row>
    <row r="78" spans="1:9" s="12" customFormat="1" ht="20.100000000000001" customHeight="1">
      <c r="A78" s="147"/>
      <c r="B78" s="155"/>
      <c r="C78" s="156"/>
      <c r="D78" s="157"/>
      <c r="E78" s="157"/>
      <c r="F78" s="157"/>
      <c r="G78" s="157"/>
      <c r="H78" s="157"/>
      <c r="I78" s="157"/>
    </row>
    <row r="79" spans="1:9" s="12" customFormat="1" ht="20.100000000000001" customHeight="1">
      <c r="A79" s="147"/>
      <c r="B79" s="155"/>
      <c r="C79" s="156"/>
      <c r="D79" s="157"/>
      <c r="E79" s="157"/>
      <c r="F79" s="157"/>
      <c r="G79" s="157"/>
      <c r="H79" s="157"/>
      <c r="I79" s="157"/>
    </row>
    <row r="80" spans="1:9" s="12" customFormat="1" ht="20.100000000000001" customHeight="1">
      <c r="A80" s="147"/>
      <c r="B80" s="155"/>
      <c r="C80" s="156"/>
      <c r="D80" s="157"/>
      <c r="E80" s="157"/>
      <c r="F80" s="157"/>
      <c r="G80" s="157"/>
      <c r="H80" s="157"/>
      <c r="I80" s="157"/>
    </row>
    <row r="81" spans="1:9" s="2" customFormat="1" ht="37.5">
      <c r="A81" s="139" t="s">
        <v>463</v>
      </c>
      <c r="B81" s="140"/>
      <c r="C81" s="327" t="s">
        <v>120</v>
      </c>
      <c r="D81" s="328"/>
      <c r="E81" s="328"/>
      <c r="F81" s="141"/>
      <c r="G81" s="331" t="s">
        <v>416</v>
      </c>
      <c r="H81" s="331"/>
      <c r="I81" s="331"/>
    </row>
    <row r="82" spans="1:9" ht="20.100000000000001" customHeight="1">
      <c r="A82" s="97" t="s">
        <v>391</v>
      </c>
      <c r="B82" s="110"/>
      <c r="C82" s="312" t="s">
        <v>85</v>
      </c>
      <c r="D82" s="312"/>
      <c r="E82" s="312"/>
      <c r="F82" s="142"/>
      <c r="G82" s="313" t="s">
        <v>116</v>
      </c>
      <c r="H82" s="313"/>
      <c r="I82" s="313"/>
    </row>
    <row r="83" spans="1:9">
      <c r="C83" s="4"/>
    </row>
    <row r="84" spans="1:9">
      <c r="C84" s="4"/>
    </row>
    <row r="85" spans="1:9">
      <c r="C85" s="4"/>
    </row>
    <row r="86" spans="1:9">
      <c r="C86" s="4"/>
    </row>
    <row r="87" spans="1:9">
      <c r="C87" s="4"/>
    </row>
    <row r="88" spans="1:9">
      <c r="C88" s="4"/>
    </row>
    <row r="89" spans="1:9">
      <c r="C89" s="4"/>
    </row>
    <row r="90" spans="1:9">
      <c r="C90" s="4"/>
    </row>
    <row r="91" spans="1:9">
      <c r="C91" s="4"/>
    </row>
    <row r="92" spans="1:9">
      <c r="C92" s="4"/>
    </row>
    <row r="93" spans="1:9">
      <c r="C93" s="4"/>
    </row>
    <row r="94" spans="1:9">
      <c r="C94" s="4"/>
    </row>
    <row r="95" spans="1:9">
      <c r="C95" s="4"/>
    </row>
    <row r="96" spans="1:9">
      <c r="C96" s="4"/>
    </row>
    <row r="97" spans="3:3">
      <c r="C97" s="4"/>
    </row>
    <row r="98" spans="3:3">
      <c r="C98" s="4"/>
    </row>
    <row r="99" spans="3:3">
      <c r="C99" s="4"/>
    </row>
    <row r="100" spans="3:3">
      <c r="C100" s="4"/>
    </row>
    <row r="101" spans="3:3">
      <c r="C101" s="4"/>
    </row>
    <row r="102" spans="3:3">
      <c r="C102" s="4"/>
    </row>
    <row r="103" spans="3:3">
      <c r="C103" s="4"/>
    </row>
    <row r="104" spans="3:3">
      <c r="C104" s="4"/>
    </row>
    <row r="105" spans="3:3">
      <c r="C105" s="4"/>
    </row>
    <row r="106" spans="3:3">
      <c r="C106" s="4"/>
    </row>
    <row r="107" spans="3:3">
      <c r="C107" s="4"/>
    </row>
    <row r="108" spans="3:3">
      <c r="C108" s="4"/>
    </row>
    <row r="109" spans="3:3">
      <c r="C109" s="4"/>
    </row>
    <row r="110" spans="3:3">
      <c r="C110" s="4"/>
    </row>
    <row r="111" spans="3:3">
      <c r="C111" s="4"/>
    </row>
    <row r="112" spans="3:3">
      <c r="C112" s="4"/>
    </row>
    <row r="113" spans="3:3">
      <c r="C113" s="4"/>
    </row>
  </sheetData>
  <sheetProtection password="CF66" sheet="1" objects="1" scenarios="1" formatCells="0" formatColumns="0" formatRows="0" insertRows="0"/>
  <mergeCells count="14">
    <mergeCell ref="C82:E82"/>
    <mergeCell ref="G82:I82"/>
    <mergeCell ref="A27:I27"/>
    <mergeCell ref="A6:I6"/>
    <mergeCell ref="A45:I45"/>
    <mergeCell ref="C81:E81"/>
    <mergeCell ref="G81:I81"/>
    <mergeCell ref="A1:I1"/>
    <mergeCell ref="A3:A4"/>
    <mergeCell ref="B3:B4"/>
    <mergeCell ref="C3:C4"/>
    <mergeCell ref="D3:D4"/>
    <mergeCell ref="E3:E4"/>
    <mergeCell ref="F3:I3"/>
  </mergeCells>
  <phoneticPr fontId="3" type="noConversion"/>
  <pageMargins left="0.78740157480314965" right="0.39370078740157483" top="0.59055118110236227" bottom="0.59055118110236227" header="0.19685039370078741" footer="0.23622047244094491"/>
  <pageSetup paperSize="9" scale="5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P182"/>
  <sheetViews>
    <sheetView windowProtection="1" view="pageBreakPreview" zoomScale="50" zoomScaleNormal="75" zoomScaleSheetLayoutView="50" workbookViewId="0">
      <selection activeCell="G9" sqref="G9"/>
    </sheetView>
  </sheetViews>
  <sheetFormatPr defaultRowHeight="18.75"/>
  <cols>
    <col min="1" max="1" width="45" style="2" customWidth="1"/>
    <col min="2" max="2" width="11.7109375" style="22" customWidth="1"/>
    <col min="3" max="4" width="16" style="22" customWidth="1"/>
    <col min="5" max="5" width="15.28515625" style="22" customWidth="1"/>
    <col min="6" max="7" width="16.28515625" style="2" customWidth="1"/>
    <col min="8" max="8" width="15.85546875" style="2" customWidth="1"/>
    <col min="9" max="9" width="15.28515625" style="2" customWidth="1"/>
    <col min="10" max="10" width="9.5703125" style="2" customWidth="1"/>
    <col min="11" max="11" width="9.85546875" style="2" customWidth="1"/>
    <col min="12" max="16384" width="9.140625" style="2"/>
  </cols>
  <sheetData>
    <row r="1" spans="1:16">
      <c r="A1" s="309" t="s">
        <v>228</v>
      </c>
      <c r="B1" s="309"/>
      <c r="C1" s="309"/>
      <c r="D1" s="309"/>
      <c r="E1" s="309"/>
      <c r="F1" s="309"/>
      <c r="G1" s="309"/>
      <c r="H1" s="309"/>
      <c r="I1" s="309"/>
    </row>
    <row r="2" spans="1:16">
      <c r="A2" s="354"/>
      <c r="B2" s="354"/>
      <c r="C2" s="354"/>
      <c r="D2" s="354"/>
      <c r="E2" s="354"/>
      <c r="F2" s="354"/>
      <c r="G2" s="354"/>
      <c r="H2" s="354"/>
      <c r="I2" s="354"/>
    </row>
    <row r="3" spans="1:16" ht="43.5" customHeight="1">
      <c r="A3" s="344" t="s">
        <v>274</v>
      </c>
      <c r="B3" s="347" t="s">
        <v>18</v>
      </c>
      <c r="C3" s="347" t="s">
        <v>32</v>
      </c>
      <c r="D3" s="347" t="s">
        <v>40</v>
      </c>
      <c r="E3" s="346" t="s">
        <v>180</v>
      </c>
      <c r="F3" s="347" t="s">
        <v>370</v>
      </c>
      <c r="G3" s="347"/>
      <c r="H3" s="347"/>
      <c r="I3" s="347"/>
    </row>
    <row r="4" spans="1:16" ht="56.25" customHeight="1">
      <c r="A4" s="344"/>
      <c r="B4" s="347"/>
      <c r="C4" s="347"/>
      <c r="D4" s="347"/>
      <c r="E4" s="346"/>
      <c r="F4" s="11" t="s">
        <v>379</v>
      </c>
      <c r="G4" s="11" t="s">
        <v>372</v>
      </c>
      <c r="H4" s="11" t="s">
        <v>373</v>
      </c>
      <c r="I4" s="11" t="s">
        <v>87</v>
      </c>
    </row>
    <row r="5" spans="1:16" ht="18" customHeight="1">
      <c r="A5" s="6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</row>
    <row r="6" spans="1:16" s="5" customFormat="1" ht="42.75" customHeight="1">
      <c r="A6" s="8" t="s">
        <v>89</v>
      </c>
      <c r="B6" s="75">
        <v>4000</v>
      </c>
      <c r="C6" s="187">
        <f t="shared" ref="C6:I6" si="0">SUM(C7:C11)</f>
        <v>13443</v>
      </c>
      <c r="D6" s="187">
        <f t="shared" si="0"/>
        <v>20833</v>
      </c>
      <c r="E6" s="187">
        <f t="shared" si="0"/>
        <v>21875</v>
      </c>
      <c r="F6" s="187">
        <f t="shared" si="0"/>
        <v>22388</v>
      </c>
      <c r="G6" s="187">
        <f t="shared" si="0"/>
        <v>22388</v>
      </c>
      <c r="H6" s="187">
        <f t="shared" si="0"/>
        <v>22388</v>
      </c>
      <c r="I6" s="187">
        <f t="shared" si="0"/>
        <v>22388</v>
      </c>
    </row>
    <row r="7" spans="1:16" ht="20.100000000000001" customHeight="1">
      <c r="A7" s="8" t="s">
        <v>1</v>
      </c>
      <c r="B7" s="76" t="s">
        <v>237</v>
      </c>
      <c r="C7" s="188"/>
      <c r="D7" s="188"/>
      <c r="E7" s="188"/>
      <c r="F7" s="188"/>
      <c r="G7" s="188"/>
      <c r="H7" s="188"/>
      <c r="I7" s="188"/>
    </row>
    <row r="8" spans="1:16" ht="37.5">
      <c r="A8" s="8" t="s">
        <v>2</v>
      </c>
      <c r="B8" s="75">
        <v>4020</v>
      </c>
      <c r="C8" s="188">
        <v>13443</v>
      </c>
      <c r="D8" s="188">
        <v>20833</v>
      </c>
      <c r="E8" s="188">
        <v>21875</v>
      </c>
      <c r="F8" s="188">
        <f>ROUND('ІІІ. Рух грош. коштів'!F39/1.2,0)</f>
        <v>22388</v>
      </c>
      <c r="G8" s="188">
        <f>ROUND('ІІІ. Рух грош. коштів'!G39/1.2,0)</f>
        <v>22388</v>
      </c>
      <c r="H8" s="188">
        <f>ROUND('ІІІ. Рух грош. коштів'!H39/1.2,0)</f>
        <v>22388</v>
      </c>
      <c r="I8" s="188">
        <f>ROUND('ІІІ. Рух грош. коштів'!I39/1.2,0)</f>
        <v>22388</v>
      </c>
      <c r="P8" s="18"/>
    </row>
    <row r="9" spans="1:16" ht="37.5">
      <c r="A9" s="8" t="s">
        <v>31</v>
      </c>
      <c r="B9" s="76">
        <v>4030</v>
      </c>
      <c r="C9" s="188"/>
      <c r="D9" s="188"/>
      <c r="E9" s="188"/>
      <c r="F9" s="188"/>
      <c r="G9" s="188"/>
      <c r="H9" s="188"/>
      <c r="I9" s="188"/>
      <c r="O9" s="18"/>
    </row>
    <row r="10" spans="1:16" ht="37.5">
      <c r="A10" s="8" t="s">
        <v>3</v>
      </c>
      <c r="B10" s="75">
        <v>4040</v>
      </c>
      <c r="C10" s="188"/>
      <c r="D10" s="188"/>
      <c r="E10" s="188"/>
      <c r="F10" s="188"/>
      <c r="G10" s="188"/>
      <c r="H10" s="188"/>
      <c r="I10" s="188"/>
    </row>
    <row r="11" spans="1:16" ht="56.25">
      <c r="A11" s="8" t="s">
        <v>75</v>
      </c>
      <c r="B11" s="76">
        <v>4050</v>
      </c>
      <c r="C11" s="188"/>
      <c r="D11" s="188"/>
      <c r="E11" s="188"/>
      <c r="F11" s="188"/>
      <c r="G11" s="188"/>
      <c r="H11" s="188"/>
      <c r="I11" s="188"/>
    </row>
    <row r="12" spans="1:16" ht="20.100000000000001" customHeight="1">
      <c r="A12" s="110"/>
      <c r="B12" s="110"/>
      <c r="C12" s="110"/>
      <c r="D12" s="110"/>
      <c r="E12" s="110"/>
      <c r="F12" s="158"/>
      <c r="G12" s="158"/>
      <c r="H12" s="158"/>
      <c r="I12" s="158"/>
    </row>
    <row r="13" spans="1:16" ht="20.100000000000001" customHeight="1">
      <c r="A13" s="110"/>
      <c r="B13" s="110"/>
      <c r="C13" s="110"/>
      <c r="D13" s="110"/>
      <c r="E13" s="110"/>
      <c r="F13" s="158"/>
      <c r="G13" s="158"/>
      <c r="H13" s="158"/>
      <c r="I13" s="158"/>
    </row>
    <row r="14" spans="1:16" s="1" customFormat="1">
      <c r="A14" s="132"/>
      <c r="B14" s="147"/>
      <c r="C14" s="110"/>
      <c r="D14" s="110"/>
      <c r="E14" s="110"/>
      <c r="F14" s="110"/>
      <c r="G14" s="110"/>
      <c r="H14" s="110"/>
      <c r="I14" s="110"/>
      <c r="J14" s="2"/>
    </row>
    <row r="15" spans="1:16" ht="56.25">
      <c r="A15" s="139" t="s">
        <v>461</v>
      </c>
      <c r="B15" s="140"/>
      <c r="C15" s="327" t="s">
        <v>120</v>
      </c>
      <c r="D15" s="328"/>
      <c r="E15" s="328"/>
      <c r="F15" s="141"/>
      <c r="G15" s="331" t="s">
        <v>416</v>
      </c>
      <c r="H15" s="331"/>
      <c r="I15" s="331"/>
    </row>
    <row r="16" spans="1:16" s="1" customFormat="1" ht="20.100000000000001" customHeight="1">
      <c r="A16" s="111" t="s">
        <v>84</v>
      </c>
      <c r="B16" s="110"/>
      <c r="C16" s="312" t="s">
        <v>85</v>
      </c>
      <c r="D16" s="312"/>
      <c r="E16" s="312"/>
      <c r="F16" s="142"/>
      <c r="G16" s="313" t="s">
        <v>116</v>
      </c>
      <c r="H16" s="313"/>
      <c r="I16" s="313"/>
    </row>
    <row r="17" spans="1:9">
      <c r="A17" s="159"/>
      <c r="B17" s="111"/>
      <c r="C17" s="111"/>
      <c r="D17" s="111"/>
      <c r="E17" s="111"/>
      <c r="F17" s="110"/>
      <c r="G17" s="110"/>
      <c r="H17" s="110"/>
      <c r="I17" s="110"/>
    </row>
    <row r="18" spans="1:9">
      <c r="A18" s="159"/>
      <c r="B18" s="111"/>
      <c r="C18" s="111"/>
      <c r="D18" s="111"/>
      <c r="E18" s="111"/>
      <c r="F18" s="110"/>
      <c r="G18" s="110"/>
      <c r="H18" s="110"/>
      <c r="I18" s="110"/>
    </row>
    <row r="19" spans="1:9">
      <c r="A19" s="48"/>
    </row>
    <row r="20" spans="1:9">
      <c r="A20" s="48"/>
    </row>
    <row r="21" spans="1:9">
      <c r="A21" s="48"/>
    </row>
    <row r="22" spans="1:9">
      <c r="A22" s="48"/>
    </row>
    <row r="23" spans="1:9">
      <c r="A23" s="48"/>
    </row>
    <row r="24" spans="1:9">
      <c r="A24" s="48"/>
    </row>
    <row r="25" spans="1:9">
      <c r="A25" s="48"/>
    </row>
    <row r="26" spans="1:9">
      <c r="A26" s="48"/>
    </row>
    <row r="27" spans="1:9">
      <c r="A27" s="48"/>
    </row>
    <row r="28" spans="1:9">
      <c r="A28" s="48"/>
    </row>
    <row r="29" spans="1:9">
      <c r="A29" s="48"/>
    </row>
    <row r="30" spans="1:9">
      <c r="A30" s="48"/>
    </row>
    <row r="31" spans="1:9">
      <c r="A31" s="48"/>
    </row>
    <row r="32" spans="1:9">
      <c r="A32" s="48"/>
    </row>
    <row r="33" spans="1:1">
      <c r="A33" s="48"/>
    </row>
    <row r="34" spans="1:1">
      <c r="A34" s="48"/>
    </row>
    <row r="35" spans="1:1">
      <c r="A35" s="48"/>
    </row>
    <row r="36" spans="1:1">
      <c r="A36" s="48"/>
    </row>
    <row r="37" spans="1:1">
      <c r="A37" s="48"/>
    </row>
    <row r="38" spans="1:1">
      <c r="A38" s="48"/>
    </row>
    <row r="39" spans="1:1">
      <c r="A39" s="48"/>
    </row>
    <row r="40" spans="1:1">
      <c r="A40" s="48"/>
    </row>
    <row r="41" spans="1:1">
      <c r="A41" s="48"/>
    </row>
    <row r="42" spans="1:1">
      <c r="A42" s="48"/>
    </row>
    <row r="43" spans="1:1">
      <c r="A43" s="48"/>
    </row>
    <row r="44" spans="1:1">
      <c r="A44" s="48"/>
    </row>
    <row r="45" spans="1:1">
      <c r="A45" s="48"/>
    </row>
    <row r="46" spans="1:1">
      <c r="A46" s="48"/>
    </row>
    <row r="47" spans="1:1">
      <c r="A47" s="48"/>
    </row>
    <row r="48" spans="1:1">
      <c r="A48" s="48"/>
    </row>
    <row r="49" spans="1:1">
      <c r="A49" s="48"/>
    </row>
    <row r="50" spans="1:1">
      <c r="A50" s="48"/>
    </row>
    <row r="51" spans="1:1">
      <c r="A51" s="48"/>
    </row>
    <row r="52" spans="1:1">
      <c r="A52" s="48"/>
    </row>
    <row r="53" spans="1:1">
      <c r="A53" s="48"/>
    </row>
    <row r="54" spans="1:1">
      <c r="A54" s="48"/>
    </row>
    <row r="55" spans="1:1">
      <c r="A55" s="48"/>
    </row>
    <row r="56" spans="1:1">
      <c r="A56" s="48"/>
    </row>
    <row r="57" spans="1:1">
      <c r="A57" s="48"/>
    </row>
    <row r="58" spans="1:1">
      <c r="A58" s="48"/>
    </row>
    <row r="59" spans="1:1">
      <c r="A59" s="48"/>
    </row>
    <row r="60" spans="1:1">
      <c r="A60" s="48"/>
    </row>
    <row r="61" spans="1:1">
      <c r="A61" s="48"/>
    </row>
    <row r="62" spans="1:1">
      <c r="A62" s="48"/>
    </row>
    <row r="63" spans="1:1">
      <c r="A63" s="48"/>
    </row>
    <row r="64" spans="1:1">
      <c r="A64" s="48"/>
    </row>
    <row r="65" spans="1:1">
      <c r="A65" s="48"/>
    </row>
    <row r="66" spans="1:1">
      <c r="A66" s="48"/>
    </row>
    <row r="67" spans="1:1">
      <c r="A67" s="48"/>
    </row>
    <row r="68" spans="1:1">
      <c r="A68" s="48"/>
    </row>
    <row r="69" spans="1:1">
      <c r="A69" s="48"/>
    </row>
    <row r="70" spans="1:1">
      <c r="A70" s="48"/>
    </row>
    <row r="71" spans="1:1">
      <c r="A71" s="48"/>
    </row>
    <row r="72" spans="1:1">
      <c r="A72" s="48"/>
    </row>
    <row r="73" spans="1:1">
      <c r="A73" s="48"/>
    </row>
    <row r="74" spans="1:1">
      <c r="A74" s="48"/>
    </row>
    <row r="75" spans="1:1">
      <c r="A75" s="48"/>
    </row>
    <row r="76" spans="1:1">
      <c r="A76" s="48"/>
    </row>
    <row r="77" spans="1:1">
      <c r="A77" s="48"/>
    </row>
    <row r="78" spans="1:1">
      <c r="A78" s="48"/>
    </row>
    <row r="79" spans="1:1">
      <c r="A79" s="48"/>
    </row>
    <row r="80" spans="1:1">
      <c r="A80" s="48"/>
    </row>
    <row r="81" spans="1:1">
      <c r="A81" s="48"/>
    </row>
    <row r="82" spans="1:1">
      <c r="A82" s="48"/>
    </row>
    <row r="83" spans="1:1">
      <c r="A83" s="48"/>
    </row>
    <row r="84" spans="1:1">
      <c r="A84" s="48"/>
    </row>
    <row r="85" spans="1:1">
      <c r="A85" s="48"/>
    </row>
    <row r="86" spans="1:1">
      <c r="A86" s="48"/>
    </row>
    <row r="87" spans="1:1">
      <c r="A87" s="48"/>
    </row>
    <row r="88" spans="1:1">
      <c r="A88" s="48"/>
    </row>
    <row r="89" spans="1:1">
      <c r="A89" s="48"/>
    </row>
    <row r="90" spans="1:1">
      <c r="A90" s="48"/>
    </row>
    <row r="91" spans="1:1">
      <c r="A91" s="48"/>
    </row>
    <row r="92" spans="1:1">
      <c r="A92" s="48"/>
    </row>
    <row r="93" spans="1:1">
      <c r="A93" s="48"/>
    </row>
    <row r="94" spans="1:1">
      <c r="A94" s="48"/>
    </row>
    <row r="95" spans="1:1">
      <c r="A95" s="48"/>
    </row>
    <row r="96" spans="1:1">
      <c r="A96" s="48"/>
    </row>
    <row r="97" spans="1:1">
      <c r="A97" s="48"/>
    </row>
    <row r="98" spans="1:1">
      <c r="A98" s="48"/>
    </row>
    <row r="99" spans="1:1">
      <c r="A99" s="48"/>
    </row>
    <row r="100" spans="1:1">
      <c r="A100" s="48"/>
    </row>
    <row r="101" spans="1:1">
      <c r="A101" s="48"/>
    </row>
    <row r="102" spans="1:1">
      <c r="A102" s="48"/>
    </row>
    <row r="103" spans="1:1">
      <c r="A103" s="48"/>
    </row>
    <row r="104" spans="1:1">
      <c r="A104" s="48"/>
    </row>
    <row r="105" spans="1:1">
      <c r="A105" s="48"/>
    </row>
    <row r="106" spans="1:1">
      <c r="A106" s="48"/>
    </row>
    <row r="107" spans="1:1">
      <c r="A107" s="48"/>
    </row>
    <row r="108" spans="1:1">
      <c r="A108" s="48"/>
    </row>
    <row r="109" spans="1:1">
      <c r="A109" s="48"/>
    </row>
    <row r="110" spans="1:1">
      <c r="A110" s="48"/>
    </row>
    <row r="111" spans="1:1">
      <c r="A111" s="48"/>
    </row>
    <row r="112" spans="1:1">
      <c r="A112" s="48"/>
    </row>
    <row r="113" spans="1:1">
      <c r="A113" s="48"/>
    </row>
    <row r="114" spans="1:1">
      <c r="A114" s="48"/>
    </row>
    <row r="115" spans="1:1">
      <c r="A115" s="48"/>
    </row>
    <row r="116" spans="1:1">
      <c r="A116" s="48"/>
    </row>
    <row r="117" spans="1:1">
      <c r="A117" s="48"/>
    </row>
    <row r="118" spans="1:1">
      <c r="A118" s="48"/>
    </row>
    <row r="119" spans="1:1">
      <c r="A119" s="48"/>
    </row>
    <row r="120" spans="1:1">
      <c r="A120" s="48"/>
    </row>
    <row r="121" spans="1:1">
      <c r="A121" s="48"/>
    </row>
    <row r="122" spans="1:1">
      <c r="A122" s="48"/>
    </row>
    <row r="123" spans="1:1">
      <c r="A123" s="48"/>
    </row>
    <row r="124" spans="1:1">
      <c r="A124" s="48"/>
    </row>
    <row r="125" spans="1:1">
      <c r="A125" s="48"/>
    </row>
    <row r="126" spans="1:1">
      <c r="A126" s="48"/>
    </row>
    <row r="127" spans="1:1">
      <c r="A127" s="48"/>
    </row>
    <row r="128" spans="1:1">
      <c r="A128" s="48"/>
    </row>
    <row r="129" spans="1:1">
      <c r="A129" s="48"/>
    </row>
    <row r="130" spans="1:1">
      <c r="A130" s="48"/>
    </row>
    <row r="131" spans="1:1">
      <c r="A131" s="48"/>
    </row>
    <row r="132" spans="1:1">
      <c r="A132" s="48"/>
    </row>
    <row r="133" spans="1:1">
      <c r="A133" s="48"/>
    </row>
    <row r="134" spans="1:1">
      <c r="A134" s="48"/>
    </row>
    <row r="135" spans="1:1">
      <c r="A135" s="48"/>
    </row>
    <row r="136" spans="1:1">
      <c r="A136" s="48"/>
    </row>
    <row r="137" spans="1:1">
      <c r="A137" s="48"/>
    </row>
    <row r="138" spans="1:1">
      <c r="A138" s="48"/>
    </row>
    <row r="139" spans="1:1">
      <c r="A139" s="48"/>
    </row>
    <row r="140" spans="1:1">
      <c r="A140" s="48"/>
    </row>
    <row r="141" spans="1:1">
      <c r="A141" s="48"/>
    </row>
    <row r="142" spans="1:1">
      <c r="A142" s="48"/>
    </row>
    <row r="143" spans="1:1">
      <c r="A143" s="48"/>
    </row>
    <row r="144" spans="1:1">
      <c r="A144" s="48"/>
    </row>
    <row r="145" spans="1:1">
      <c r="A145" s="48"/>
    </row>
    <row r="146" spans="1:1">
      <c r="A146" s="48"/>
    </row>
    <row r="147" spans="1:1">
      <c r="A147" s="48"/>
    </row>
    <row r="148" spans="1:1">
      <c r="A148" s="48"/>
    </row>
    <row r="149" spans="1:1">
      <c r="A149" s="48"/>
    </row>
    <row r="150" spans="1:1">
      <c r="A150" s="48"/>
    </row>
    <row r="151" spans="1:1">
      <c r="A151" s="48"/>
    </row>
    <row r="152" spans="1:1">
      <c r="A152" s="48"/>
    </row>
    <row r="153" spans="1:1">
      <c r="A153" s="48"/>
    </row>
    <row r="154" spans="1:1">
      <c r="A154" s="48"/>
    </row>
    <row r="155" spans="1:1">
      <c r="A155" s="48"/>
    </row>
    <row r="156" spans="1:1">
      <c r="A156" s="48"/>
    </row>
    <row r="157" spans="1:1">
      <c r="A157" s="48"/>
    </row>
    <row r="158" spans="1:1">
      <c r="A158" s="48"/>
    </row>
    <row r="159" spans="1:1">
      <c r="A159" s="48"/>
    </row>
    <row r="160" spans="1:1">
      <c r="A160" s="48"/>
    </row>
    <row r="161" spans="1:1">
      <c r="A161" s="48"/>
    </row>
    <row r="162" spans="1:1">
      <c r="A162" s="48"/>
    </row>
    <row r="163" spans="1:1">
      <c r="A163" s="48"/>
    </row>
    <row r="164" spans="1:1">
      <c r="A164" s="48"/>
    </row>
    <row r="165" spans="1:1">
      <c r="A165" s="48"/>
    </row>
    <row r="166" spans="1:1">
      <c r="A166" s="48"/>
    </row>
    <row r="167" spans="1:1">
      <c r="A167" s="48"/>
    </row>
    <row r="168" spans="1:1">
      <c r="A168" s="48"/>
    </row>
    <row r="169" spans="1:1">
      <c r="A169" s="48"/>
    </row>
    <row r="170" spans="1:1">
      <c r="A170" s="48"/>
    </row>
    <row r="171" spans="1:1">
      <c r="A171" s="48"/>
    </row>
    <row r="172" spans="1:1">
      <c r="A172" s="48"/>
    </row>
    <row r="173" spans="1:1">
      <c r="A173" s="48"/>
    </row>
    <row r="174" spans="1:1">
      <c r="A174" s="48"/>
    </row>
    <row r="175" spans="1:1">
      <c r="A175" s="48"/>
    </row>
    <row r="176" spans="1:1">
      <c r="A176" s="48"/>
    </row>
    <row r="177" spans="1:1">
      <c r="A177" s="48"/>
    </row>
    <row r="178" spans="1:1">
      <c r="A178" s="48"/>
    </row>
    <row r="179" spans="1:1">
      <c r="A179" s="48"/>
    </row>
    <row r="180" spans="1:1">
      <c r="A180" s="48"/>
    </row>
    <row r="181" spans="1:1">
      <c r="A181" s="48"/>
    </row>
    <row r="182" spans="1:1">
      <c r="A182" s="48"/>
    </row>
  </sheetData>
  <sheetProtection password="C6FB" sheet="1" formatCells="0" formatColumns="0" formatRows="0"/>
  <mergeCells count="12">
    <mergeCell ref="C15:E15"/>
    <mergeCell ref="G15:I15"/>
    <mergeCell ref="C16:E16"/>
    <mergeCell ref="G16:I16"/>
    <mergeCell ref="A1:I1"/>
    <mergeCell ref="B3:B4"/>
    <mergeCell ref="C3:C4"/>
    <mergeCell ref="D3:D4"/>
    <mergeCell ref="A2:I2"/>
    <mergeCell ref="F3:I3"/>
    <mergeCell ref="E3:E4"/>
    <mergeCell ref="A3:A4"/>
  </mergeCells>
  <phoneticPr fontId="0" type="noConversion"/>
  <pageMargins left="0.78740157480314965" right="0.39370078740157483" top="0.59055118110236227" bottom="0.59055118110236227" header="0.27559055118110237" footer="0.31496062992125984"/>
  <pageSetup paperSize="9" scale="50" firstPageNumber="9" orientation="portrait" useFirstPageNumber="1" r:id="rId1"/>
  <headerFooter alignWithMargins="0"/>
  <ignoredErrors>
    <ignoredError sqref="B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31"/>
  <sheetViews>
    <sheetView windowProtection="1" view="pageBreakPreview" zoomScale="75" zoomScaleNormal="75" zoomScaleSheetLayoutView="75" workbookViewId="0">
      <pane ySplit="5" topLeftCell="A6" activePane="bottomLeft" state="frozen"/>
      <selection pane="bottomLeft" activeCell="G20" sqref="G20"/>
    </sheetView>
  </sheetViews>
  <sheetFormatPr defaultRowHeight="12.75"/>
  <cols>
    <col min="1" max="1" width="61" style="29" customWidth="1"/>
    <col min="2" max="2" width="13.85546875" style="29" customWidth="1"/>
    <col min="3" max="3" width="17.42578125" style="29" customWidth="1"/>
    <col min="4" max="4" width="18.28515625" style="29" customWidth="1"/>
    <col min="5" max="5" width="19.7109375" style="227" customWidth="1"/>
    <col min="6" max="6" width="18.5703125" style="29" customWidth="1"/>
    <col min="7" max="7" width="18.85546875" style="29" customWidth="1"/>
    <col min="8" max="8" width="37.42578125" style="29" customWidth="1"/>
    <col min="9" max="9" width="9.5703125" style="29" customWidth="1"/>
    <col min="10" max="16384" width="9.140625" style="29"/>
  </cols>
  <sheetData>
    <row r="1" spans="1:8" ht="25.5" customHeight="1">
      <c r="A1" s="355" t="s">
        <v>230</v>
      </c>
      <c r="B1" s="355"/>
      <c r="C1" s="355"/>
      <c r="D1" s="355"/>
      <c r="E1" s="355"/>
      <c r="F1" s="355"/>
      <c r="G1" s="355"/>
      <c r="H1" s="355"/>
    </row>
    <row r="2" spans="1:8" ht="16.5" customHeight="1">
      <c r="E2" s="29"/>
    </row>
    <row r="3" spans="1:8" ht="45" customHeight="1">
      <c r="A3" s="356" t="s">
        <v>274</v>
      </c>
      <c r="B3" s="356" t="s">
        <v>0</v>
      </c>
      <c r="C3" s="356" t="s">
        <v>111</v>
      </c>
      <c r="D3" s="356" t="s">
        <v>32</v>
      </c>
      <c r="E3" s="356" t="s">
        <v>112</v>
      </c>
      <c r="F3" s="358" t="s">
        <v>180</v>
      </c>
      <c r="G3" s="356" t="s">
        <v>113</v>
      </c>
      <c r="H3" s="356" t="s">
        <v>114</v>
      </c>
    </row>
    <row r="4" spans="1:8" ht="52.5" customHeight="1">
      <c r="A4" s="357"/>
      <c r="B4" s="357"/>
      <c r="C4" s="357"/>
      <c r="D4" s="357"/>
      <c r="E4" s="357"/>
      <c r="F4" s="359"/>
      <c r="G4" s="357"/>
      <c r="H4" s="357"/>
    </row>
    <row r="5" spans="1:8" s="61" customFormat="1" ht="18" customHeight="1">
      <c r="A5" s="39">
        <v>1</v>
      </c>
      <c r="B5" s="39">
        <v>2</v>
      </c>
      <c r="C5" s="39">
        <v>3</v>
      </c>
      <c r="D5" s="39">
        <v>4</v>
      </c>
      <c r="E5" s="39">
        <v>5</v>
      </c>
      <c r="F5" s="39">
        <v>6</v>
      </c>
      <c r="G5" s="39">
        <v>7</v>
      </c>
      <c r="H5" s="39">
        <v>8</v>
      </c>
    </row>
    <row r="6" spans="1:8" s="61" customFormat="1" ht="20.100000000000001" customHeight="1">
      <c r="A6" s="77" t="s">
        <v>202</v>
      </c>
      <c r="B6" s="60"/>
      <c r="C6" s="39"/>
      <c r="D6" s="39"/>
      <c r="E6" s="39"/>
      <c r="F6" s="39"/>
      <c r="G6" s="39"/>
      <c r="H6" s="39"/>
    </row>
    <row r="7" spans="1:8" ht="75">
      <c r="A7" s="8" t="s">
        <v>355</v>
      </c>
      <c r="B7" s="7">
        <v>5000</v>
      </c>
      <c r="C7" s="79" t="s">
        <v>342</v>
      </c>
      <c r="D7" s="194">
        <f>'Осн. фін. пок.'!C40*100/'Осн. фін. пок.'!C38</f>
        <v>-5.895203040368675</v>
      </c>
      <c r="E7" s="195">
        <f>F7</f>
        <v>28.810746740418807</v>
      </c>
      <c r="F7" s="196">
        <f>'Осн. фін. пок.'!F40*100/'Осн. фін. пок.'!F38</f>
        <v>28.810746740418807</v>
      </c>
      <c r="G7" s="194">
        <f>'Осн. фін. пок.'!E40*100/'Осн. фін. пок.'!E38</f>
        <v>11.703795936826403</v>
      </c>
      <c r="H7" s="87"/>
    </row>
    <row r="8" spans="1:8" ht="63.95" customHeight="1">
      <c r="A8" s="8" t="s">
        <v>356</v>
      </c>
      <c r="B8" s="7">
        <v>5010</v>
      </c>
      <c r="C8" s="79" t="s">
        <v>342</v>
      </c>
      <c r="D8" s="194">
        <f>'Осн. фін. пок.'!C45*100/'Осн. фін. пок.'!C38</f>
        <v>86.653499715713565</v>
      </c>
      <c r="E8" s="195">
        <f t="shared" ref="E8:E18" si="0">F8</f>
        <v>-7.7834847886210987</v>
      </c>
      <c r="F8" s="196">
        <f>'Осн. фін. пок.'!F45*100/'Осн. фін. пок.'!F38</f>
        <v>-7.7834847886210987</v>
      </c>
      <c r="G8" s="194">
        <f>'Осн. фін. пок.'!E45*100/'Осн. фін. пок.'!E38</f>
        <v>-18.4704659317166</v>
      </c>
      <c r="H8" s="87"/>
    </row>
    <row r="9" spans="1:8" ht="56.25">
      <c r="A9" s="89" t="s">
        <v>362</v>
      </c>
      <c r="B9" s="7">
        <v>5020</v>
      </c>
      <c r="C9" s="79" t="s">
        <v>342</v>
      </c>
      <c r="D9" s="194">
        <f>'Осн. фін. пок.'!C51/'Осн. фін. пок.'!C77</f>
        <v>3.7442806113661382E-5</v>
      </c>
      <c r="E9" s="195">
        <f t="shared" si="0"/>
        <v>-1.392698264944961E-2</v>
      </c>
      <c r="F9" s="196">
        <f>'Осн. фін. пок.'!F51/'Осн. фін. пок.'!F77</f>
        <v>-1.392698264944961E-2</v>
      </c>
      <c r="G9" s="194">
        <f>'Осн. фін. пок.'!E51/'Осн. фін. пок.'!E77</f>
        <v>5.7483294058334067E-3</v>
      </c>
      <c r="H9" s="87" t="s">
        <v>343</v>
      </c>
    </row>
    <row r="10" spans="1:8" ht="56.25">
      <c r="A10" s="89" t="s">
        <v>363</v>
      </c>
      <c r="B10" s="7">
        <v>5030</v>
      </c>
      <c r="C10" s="79" t="s">
        <v>342</v>
      </c>
      <c r="D10" s="194">
        <f>'Осн. фін. пок.'!C51/'Осн. фін. пок.'!C83</f>
        <v>3.7838655970939913E-5</v>
      </c>
      <c r="E10" s="195">
        <f t="shared" si="0"/>
        <v>-1.7340409474626159E-2</v>
      </c>
      <c r="F10" s="196">
        <f>'Осн. фін. пок.'!F51/'Осн. фін. пок.'!F83</f>
        <v>-1.7340409474626159E-2</v>
      </c>
      <c r="G10" s="194">
        <f>'Осн. фін. пок.'!E51/'Осн. фін. пок.'!E83</f>
        <v>6.867797585514702E-3</v>
      </c>
      <c r="H10" s="87"/>
    </row>
    <row r="11" spans="1:8" ht="75">
      <c r="A11" s="89" t="s">
        <v>364</v>
      </c>
      <c r="B11" s="7">
        <v>5040</v>
      </c>
      <c r="C11" s="79" t="s">
        <v>115</v>
      </c>
      <c r="D11" s="194">
        <f>'Осн. фін. пок.'!C51/'Осн. фін. пок.'!C38</f>
        <v>8.977466558937068E-4</v>
      </c>
      <c r="E11" s="195">
        <f t="shared" si="0"/>
        <v>-0.2033504543658633</v>
      </c>
      <c r="F11" s="196">
        <f>'Осн. фін. пок.'!F51/'Осн. фін. пок.'!F38</f>
        <v>-0.2033504543658633</v>
      </c>
      <c r="G11" s="194">
        <f>'Осн. фін. пок.'!E51/'Осн. фін. пок.'!E38</f>
        <v>3.0000998467059396E-2</v>
      </c>
      <c r="H11" s="87" t="s">
        <v>344</v>
      </c>
    </row>
    <row r="12" spans="1:8" ht="20.100000000000001" customHeight="1">
      <c r="A12" s="77" t="s">
        <v>204</v>
      </c>
      <c r="B12" s="7"/>
      <c r="C12" s="80"/>
      <c r="D12" s="88"/>
      <c r="E12" s="195"/>
      <c r="F12" s="88"/>
      <c r="G12" s="88"/>
      <c r="H12" s="87"/>
    </row>
    <row r="13" spans="1:8" ht="63.95" customHeight="1">
      <c r="A13" s="78" t="s">
        <v>312</v>
      </c>
      <c r="B13" s="7">
        <v>5100</v>
      </c>
      <c r="C13" s="79"/>
      <c r="D13" s="194">
        <f>('Осн. фін. пок.'!C78+'Осн. фін. пок.'!C79)/'Осн. фін. пок.'!C45</f>
        <v>0.28946368753669233</v>
      </c>
      <c r="E13" s="195">
        <f t="shared" si="0"/>
        <v>-36.927106598984771</v>
      </c>
      <c r="F13" s="196">
        <f>('Осн. фін. пок.'!F78+'Осн. фін. пок.'!F79)/'Осн. фін. пок.'!F45</f>
        <v>-36.927106598984771</v>
      </c>
      <c r="G13" s="194">
        <f>('Осн. фін. пок.'!E78+'Осн. фін. пок.'!E79)/'Осн. фін. пок.'!E45</f>
        <v>-4.6058572882218263</v>
      </c>
      <c r="H13" s="87"/>
    </row>
    <row r="14" spans="1:8" s="61" customFormat="1" ht="75">
      <c r="A14" s="78" t="s">
        <v>313</v>
      </c>
      <c r="B14" s="7">
        <v>5110</v>
      </c>
      <c r="C14" s="79" t="s">
        <v>189</v>
      </c>
      <c r="D14" s="194">
        <f>'Осн. фін. пок.'!C83/('Осн. фін. пок.'!C78+'Осн. фін. пок.'!C79)</f>
        <v>94.588403722261987</v>
      </c>
      <c r="E14" s="195">
        <f t="shared" si="0"/>
        <v>4.0800589444975968</v>
      </c>
      <c r="F14" s="196">
        <f>'Осн. фін. пок.'!F83/('Осн. фін. пок.'!F78+'Осн. фін. пок.'!F79)</f>
        <v>4.0800589444975968</v>
      </c>
      <c r="G14" s="194">
        <f>'Осн. фін. пок.'!E83/('Осн. фін. пок.'!E78+'Осн. фін. пок.'!E79)</f>
        <v>5.1348752114329113</v>
      </c>
      <c r="H14" s="87" t="s">
        <v>345</v>
      </c>
    </row>
    <row r="15" spans="1:8" s="61" customFormat="1" ht="112.5">
      <c r="A15" s="78" t="s">
        <v>314</v>
      </c>
      <c r="B15" s="7">
        <v>5120</v>
      </c>
      <c r="C15" s="79" t="s">
        <v>189</v>
      </c>
      <c r="D15" s="194">
        <f>'Осн. фін. пок.'!C75/'Осн. фін. пок.'!C79</f>
        <v>10.807921737055596</v>
      </c>
      <c r="E15" s="195">
        <f t="shared" si="0"/>
        <v>0.69459932037874039</v>
      </c>
      <c r="F15" s="196">
        <f>'Осн. фін. пок.'!F75/'Осн. фін. пок.'!F79</f>
        <v>0.69459932037874039</v>
      </c>
      <c r="G15" s="194">
        <f>'Осн. фін. пок.'!E75/'Осн. фін. пок.'!E79</f>
        <v>0.61108771445338117</v>
      </c>
      <c r="H15" s="87" t="s">
        <v>347</v>
      </c>
    </row>
    <row r="16" spans="1:8" ht="20.100000000000001" customHeight="1">
      <c r="A16" s="77" t="s">
        <v>203</v>
      </c>
      <c r="B16" s="7"/>
      <c r="C16" s="79"/>
      <c r="D16" s="196"/>
      <c r="E16" s="195"/>
      <c r="F16" s="196"/>
      <c r="G16" s="196"/>
      <c r="H16" s="87"/>
    </row>
    <row r="17" spans="1:10" ht="56.25">
      <c r="A17" s="78" t="s">
        <v>315</v>
      </c>
      <c r="B17" s="7">
        <v>5200</v>
      </c>
      <c r="C17" s="79"/>
      <c r="D17" s="194">
        <f>'Осн. фін. пок.'!C68/'I. Фін результат'!C112</f>
        <v>0.3758282311498784</v>
      </c>
      <c r="E17" s="195">
        <f t="shared" si="0"/>
        <v>2.6419082125603865</v>
      </c>
      <c r="F17" s="196">
        <f>'Осн. фін. пок.'!F68/'I. Фін результат'!E112</f>
        <v>2.6419082125603865</v>
      </c>
      <c r="G17" s="194">
        <f>'Осн. фін. пок.'!E68/'I. Фін результат'!I112</f>
        <v>1.1272342782337244</v>
      </c>
      <c r="H17" s="87"/>
    </row>
    <row r="18" spans="1:10" ht="75">
      <c r="A18" s="78" t="s">
        <v>316</v>
      </c>
      <c r="B18" s="7">
        <v>5210</v>
      </c>
      <c r="C18" s="79"/>
      <c r="D18" s="194">
        <f>'Осн. фін. пок.'!C68/'Осн. фін. пок.'!C38</f>
        <v>0.40228027650597004</v>
      </c>
      <c r="E18" s="195">
        <f t="shared" si="0"/>
        <v>0.34571315685499804</v>
      </c>
      <c r="F18" s="196">
        <f>'Осн. фін. пок.'!F68/'Осн. фін. пок.'!F38</f>
        <v>0.34571315685499804</v>
      </c>
      <c r="G18" s="194">
        <f>'Осн. фін. пок.'!E68/'Осн. фін. пок.'!E38</f>
        <v>0.1314922383869471</v>
      </c>
      <c r="H18" s="87"/>
    </row>
    <row r="19" spans="1:10" ht="63.95" customHeight="1">
      <c r="A19" s="78" t="s">
        <v>357</v>
      </c>
      <c r="B19" s="7">
        <v>5220</v>
      </c>
      <c r="C19" s="79" t="s">
        <v>342</v>
      </c>
      <c r="D19" s="195">
        <v>0.24</v>
      </c>
      <c r="E19" s="195">
        <v>0.28999999999999998</v>
      </c>
      <c r="F19" s="195">
        <v>0.28999999999999998</v>
      </c>
      <c r="G19" s="195">
        <v>0.28999999999999998</v>
      </c>
      <c r="H19" s="87" t="s">
        <v>346</v>
      </c>
    </row>
    <row r="20" spans="1:10" ht="20.100000000000001" customHeight="1">
      <c r="A20" s="60" t="s">
        <v>292</v>
      </c>
      <c r="B20" s="7"/>
      <c r="C20" s="79"/>
      <c r="D20" s="196"/>
      <c r="E20" s="195"/>
      <c r="F20" s="196"/>
      <c r="G20" s="196"/>
      <c r="H20" s="87"/>
    </row>
    <row r="21" spans="1:10" ht="112.5">
      <c r="A21" s="89" t="s">
        <v>358</v>
      </c>
      <c r="B21" s="7">
        <v>5300</v>
      </c>
      <c r="C21" s="79"/>
      <c r="D21" s="195"/>
      <c r="E21" s="195"/>
      <c r="F21" s="195"/>
      <c r="G21" s="195"/>
      <c r="H21" s="160"/>
    </row>
    <row r="22" spans="1:10" ht="20.100000000000001" customHeight="1">
      <c r="A22" s="161"/>
      <c r="B22" s="161"/>
      <c r="C22" s="161"/>
      <c r="D22" s="161"/>
      <c r="E22" s="161"/>
      <c r="F22" s="161"/>
      <c r="G22" s="161"/>
      <c r="H22" s="161"/>
    </row>
    <row r="23" spans="1:10" ht="20.100000000000001" customHeight="1">
      <c r="A23" s="161"/>
      <c r="B23" s="161"/>
      <c r="C23" s="161"/>
      <c r="D23" s="161"/>
      <c r="E23" s="161"/>
      <c r="F23" s="161"/>
      <c r="G23" s="161"/>
      <c r="H23" s="161"/>
    </row>
    <row r="24" spans="1:10" ht="20.100000000000001" customHeight="1">
      <c r="A24" s="161"/>
      <c r="B24" s="161"/>
      <c r="C24" s="161"/>
      <c r="D24" s="161"/>
      <c r="E24" s="161"/>
      <c r="F24" s="161"/>
      <c r="G24" s="161"/>
      <c r="H24" s="161"/>
    </row>
    <row r="25" spans="1:10" s="2" customFormat="1" ht="39.75" customHeight="1">
      <c r="A25" s="139" t="s">
        <v>462</v>
      </c>
      <c r="B25" s="139"/>
      <c r="C25" s="140"/>
      <c r="D25" s="327" t="s">
        <v>120</v>
      </c>
      <c r="E25" s="328"/>
      <c r="F25" s="328"/>
      <c r="G25" s="328"/>
      <c r="H25" s="110" t="s">
        <v>416</v>
      </c>
    </row>
    <row r="26" spans="1:10" s="1" customFormat="1" ht="20.100000000000001" customHeight="1">
      <c r="A26" s="97" t="s">
        <v>270</v>
      </c>
      <c r="B26" s="162"/>
      <c r="C26" s="110"/>
      <c r="D26" s="312" t="s">
        <v>85</v>
      </c>
      <c r="E26" s="312"/>
      <c r="F26" s="312"/>
      <c r="G26" s="312"/>
      <c r="H26" s="147" t="s">
        <v>271</v>
      </c>
      <c r="I26" s="58"/>
      <c r="J26" s="58"/>
    </row>
    <row r="27" spans="1:10">
      <c r="A27" s="161"/>
      <c r="B27" s="161"/>
      <c r="C27" s="161"/>
      <c r="D27" s="161"/>
      <c r="E27" s="228"/>
      <c r="F27" s="161"/>
      <c r="G27" s="161"/>
      <c r="H27" s="161"/>
    </row>
    <row r="28" spans="1:10">
      <c r="A28" s="161"/>
      <c r="B28" s="161"/>
      <c r="C28" s="161"/>
      <c r="D28" s="161"/>
      <c r="E28" s="228"/>
      <c r="F28" s="161"/>
      <c r="G28" s="161"/>
      <c r="H28" s="161"/>
    </row>
    <row r="29" spans="1:10">
      <c r="A29" s="161"/>
      <c r="B29" s="161"/>
      <c r="C29" s="161"/>
      <c r="D29" s="161"/>
      <c r="E29" s="228"/>
      <c r="F29" s="161"/>
      <c r="G29" s="161"/>
      <c r="H29" s="161"/>
    </row>
    <row r="30" spans="1:10">
      <c r="A30" s="161"/>
      <c r="B30" s="161"/>
      <c r="C30" s="161"/>
      <c r="D30" s="161"/>
      <c r="E30" s="228"/>
      <c r="F30" s="161"/>
      <c r="G30" s="161"/>
      <c r="H30" s="161"/>
    </row>
    <row r="31" spans="1:10">
      <c r="A31" s="161"/>
      <c r="B31" s="161"/>
      <c r="C31" s="161"/>
      <c r="D31" s="161"/>
      <c r="E31" s="228"/>
      <c r="F31" s="161"/>
      <c r="G31" s="161"/>
      <c r="H31" s="161"/>
    </row>
  </sheetData>
  <sheetProtection password="C6FB" sheet="1" formatCells="0" formatColumns="0" formatRows="0"/>
  <mergeCells count="11">
    <mergeCell ref="A1:H1"/>
    <mergeCell ref="H3:H4"/>
    <mergeCell ref="D25:G25"/>
    <mergeCell ref="D26:G26"/>
    <mergeCell ref="A3:A4"/>
    <mergeCell ref="B3:B4"/>
    <mergeCell ref="C3:C4"/>
    <mergeCell ref="D3:D4"/>
    <mergeCell ref="E3:E4"/>
    <mergeCell ref="F3:F4"/>
    <mergeCell ref="G3:G4"/>
  </mergeCells>
  <phoneticPr fontId="3" type="noConversion"/>
  <pageMargins left="0.78740157480314965" right="0.39370078740157483" top="0.59055118110236227" bottom="0.59055118110236227" header="0.27559055118110237" footer="0.31496062992125984"/>
  <pageSetup paperSize="9" scale="44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P98"/>
  <sheetViews>
    <sheetView windowProtection="1" tabSelected="1" view="pageBreakPreview" zoomScale="60" zoomScaleNormal="60" workbookViewId="0">
      <selection activeCell="Y35" sqref="Y35"/>
    </sheetView>
  </sheetViews>
  <sheetFormatPr defaultRowHeight="18.75"/>
  <cols>
    <col min="1" max="1" width="44.85546875" style="1" customWidth="1"/>
    <col min="2" max="2" width="13.5703125" style="17" customWidth="1"/>
    <col min="3" max="3" width="12.7109375" style="1" customWidth="1"/>
    <col min="4" max="4" width="16.140625" style="1" customWidth="1"/>
    <col min="5" max="5" width="15.42578125" style="1" customWidth="1"/>
    <col min="6" max="6" width="16.5703125" style="1" customWidth="1"/>
    <col min="7" max="7" width="15.28515625" style="1" customWidth="1"/>
    <col min="8" max="8" width="16.5703125" style="1" customWidth="1"/>
    <col min="9" max="9" width="16.140625" style="1" customWidth="1"/>
    <col min="10" max="10" width="16.42578125" style="1" customWidth="1"/>
    <col min="11" max="11" width="16.5703125" style="1" customWidth="1"/>
    <col min="12" max="12" width="16.85546875" style="1" customWidth="1"/>
    <col min="13" max="14" width="16.7109375" style="1" customWidth="1"/>
    <col min="15" max="15" width="19.5703125" style="1" customWidth="1"/>
    <col min="16" max="16384" width="9.140625" style="1"/>
  </cols>
  <sheetData>
    <row r="1" spans="1:15">
      <c r="A1" s="363" t="s">
        <v>136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63"/>
      <c r="N1" s="363"/>
      <c r="O1" s="363"/>
    </row>
    <row r="2" spans="1:15">
      <c r="A2" s="363" t="s">
        <v>445</v>
      </c>
      <c r="B2" s="363"/>
      <c r="C2" s="363"/>
      <c r="D2" s="363"/>
      <c r="E2" s="363"/>
      <c r="F2" s="363"/>
      <c r="G2" s="363"/>
      <c r="H2" s="363"/>
      <c r="I2" s="363"/>
      <c r="J2" s="363"/>
      <c r="K2" s="363"/>
      <c r="L2" s="363"/>
      <c r="M2" s="363"/>
      <c r="N2" s="363"/>
      <c r="O2" s="363"/>
    </row>
    <row r="3" spans="1:15">
      <c r="A3" s="312" t="s">
        <v>446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</row>
    <row r="4" spans="1:15" ht="20.100000000000001" customHeight="1">
      <c r="A4" s="364" t="s">
        <v>145</v>
      </c>
      <c r="B4" s="364"/>
      <c r="C4" s="364"/>
      <c r="D4" s="364"/>
      <c r="E4" s="364"/>
      <c r="F4" s="364"/>
      <c r="G4" s="364"/>
      <c r="H4" s="364"/>
      <c r="I4" s="364"/>
      <c r="J4" s="364"/>
      <c r="K4" s="364"/>
      <c r="L4" s="364"/>
      <c r="M4" s="364"/>
      <c r="N4" s="364"/>
      <c r="O4" s="364"/>
    </row>
    <row r="5" spans="1:15" ht="21.95" customHeight="1">
      <c r="A5" s="360" t="s">
        <v>99</v>
      </c>
      <c r="B5" s="360"/>
      <c r="C5" s="360"/>
      <c r="D5" s="360"/>
      <c r="E5" s="360"/>
      <c r="F5" s="360"/>
      <c r="G5" s="360"/>
      <c r="H5" s="360"/>
      <c r="I5" s="360"/>
      <c r="J5" s="360"/>
      <c r="K5" s="360"/>
      <c r="L5" s="360"/>
      <c r="M5" s="360"/>
      <c r="N5" s="360"/>
      <c r="O5" s="360"/>
    </row>
    <row r="6" spans="1:15" ht="10.5" customHeight="1">
      <c r="A6" s="82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</row>
    <row r="7" spans="1:15" ht="16.5" customHeight="1">
      <c r="A7" s="365" t="s">
        <v>348</v>
      </c>
      <c r="B7" s="365"/>
      <c r="C7" s="365"/>
      <c r="D7" s="365"/>
      <c r="E7" s="365"/>
      <c r="F7" s="365"/>
      <c r="G7" s="365"/>
      <c r="H7" s="365"/>
      <c r="I7" s="365"/>
      <c r="J7" s="365"/>
      <c r="K7" s="365"/>
      <c r="L7" s="365"/>
      <c r="M7" s="365"/>
      <c r="N7" s="365"/>
      <c r="O7" s="365"/>
    </row>
    <row r="8" spans="1:15" ht="10.5" customHeight="1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</row>
    <row r="9" spans="1:15" s="2" customFormat="1" ht="40.5" customHeight="1">
      <c r="A9" s="314" t="s">
        <v>274</v>
      </c>
      <c r="B9" s="314"/>
      <c r="C9" s="314"/>
      <c r="D9" s="315" t="s">
        <v>147</v>
      </c>
      <c r="E9" s="315"/>
      <c r="F9" s="315" t="s">
        <v>32</v>
      </c>
      <c r="G9" s="315"/>
      <c r="H9" s="315" t="s">
        <v>71</v>
      </c>
      <c r="I9" s="315"/>
      <c r="J9" s="315" t="s">
        <v>148</v>
      </c>
      <c r="K9" s="315"/>
      <c r="L9" s="315" t="s">
        <v>295</v>
      </c>
      <c r="M9" s="315"/>
      <c r="N9" s="315" t="s">
        <v>296</v>
      </c>
      <c r="O9" s="315"/>
    </row>
    <row r="10" spans="1:15" s="2" customFormat="1" ht="18" customHeight="1">
      <c r="A10" s="314">
        <v>1</v>
      </c>
      <c r="B10" s="314"/>
      <c r="C10" s="314"/>
      <c r="D10" s="315">
        <v>2</v>
      </c>
      <c r="E10" s="315"/>
      <c r="F10" s="315">
        <v>3</v>
      </c>
      <c r="G10" s="315"/>
      <c r="H10" s="315">
        <v>4</v>
      </c>
      <c r="I10" s="315"/>
      <c r="J10" s="315">
        <v>5</v>
      </c>
      <c r="K10" s="315"/>
      <c r="L10" s="315">
        <v>6</v>
      </c>
      <c r="M10" s="315"/>
      <c r="N10" s="315">
        <v>7</v>
      </c>
      <c r="O10" s="315"/>
    </row>
    <row r="11" spans="1:15" s="2" customFormat="1" ht="20.100000000000001" customHeight="1">
      <c r="A11" s="319" t="s">
        <v>146</v>
      </c>
      <c r="B11" s="320"/>
      <c r="C11" s="320"/>
      <c r="D11" s="320"/>
      <c r="E11" s="320"/>
      <c r="F11" s="320"/>
      <c r="G11" s="320"/>
      <c r="H11" s="320"/>
      <c r="I11" s="320"/>
      <c r="J11" s="320"/>
      <c r="K11" s="321"/>
      <c r="L11" s="366"/>
      <c r="M11" s="367"/>
      <c r="N11" s="366"/>
      <c r="O11" s="367"/>
    </row>
    <row r="12" spans="1:15" s="2" customFormat="1" ht="20.100000000000001" customHeight="1">
      <c r="A12" s="368" t="s">
        <v>317</v>
      </c>
      <c r="B12" s="368"/>
      <c r="C12" s="368"/>
      <c r="D12" s="361"/>
      <c r="E12" s="362"/>
      <c r="F12" s="361">
        <v>14</v>
      </c>
      <c r="G12" s="362"/>
      <c r="H12" s="361">
        <v>22</v>
      </c>
      <c r="I12" s="362"/>
      <c r="J12" s="361">
        <v>19</v>
      </c>
      <c r="K12" s="362"/>
      <c r="L12" s="366">
        <f>J12/H12*100%</f>
        <v>0.86363636363636365</v>
      </c>
      <c r="M12" s="367"/>
      <c r="N12" s="366">
        <f>J12/F12*100%</f>
        <v>1.3571428571428572</v>
      </c>
      <c r="O12" s="367"/>
    </row>
    <row r="13" spans="1:15" s="2" customFormat="1" ht="20.100000000000001" customHeight="1">
      <c r="A13" s="368" t="s">
        <v>318</v>
      </c>
      <c r="B13" s="368"/>
      <c r="C13" s="368"/>
      <c r="D13" s="361"/>
      <c r="E13" s="362"/>
      <c r="F13" s="361">
        <v>11</v>
      </c>
      <c r="G13" s="362"/>
      <c r="H13" s="361">
        <v>13</v>
      </c>
      <c r="I13" s="362"/>
      <c r="J13" s="361">
        <v>26</v>
      </c>
      <c r="K13" s="362"/>
      <c r="L13" s="366">
        <f t="shared" ref="L13:L33" si="0">J13/H13*100%</f>
        <v>2</v>
      </c>
      <c r="M13" s="367"/>
      <c r="N13" s="366">
        <f t="shared" ref="N13:N33" si="1">J13/F13*100%</f>
        <v>2.3636363636363638</v>
      </c>
      <c r="O13" s="367"/>
    </row>
    <row r="14" spans="1:15" s="2" customFormat="1" ht="20.100000000000001" customHeight="1">
      <c r="A14" s="368" t="s">
        <v>319</v>
      </c>
      <c r="B14" s="368"/>
      <c r="C14" s="368"/>
      <c r="D14" s="361"/>
      <c r="E14" s="362"/>
      <c r="F14" s="361">
        <v>12</v>
      </c>
      <c r="G14" s="362"/>
      <c r="H14" s="361">
        <v>13</v>
      </c>
      <c r="I14" s="362"/>
      <c r="J14" s="361">
        <v>21</v>
      </c>
      <c r="K14" s="362"/>
      <c r="L14" s="366">
        <f t="shared" si="0"/>
        <v>1.6153846153846154</v>
      </c>
      <c r="M14" s="367"/>
      <c r="N14" s="366">
        <f t="shared" si="1"/>
        <v>1.75</v>
      </c>
      <c r="O14" s="367"/>
    </row>
    <row r="15" spans="1:15" s="2" customFormat="1" ht="20.100000000000001" customHeight="1">
      <c r="A15" s="368" t="s">
        <v>320</v>
      </c>
      <c r="B15" s="368"/>
      <c r="C15" s="368"/>
      <c r="D15" s="361"/>
      <c r="E15" s="362"/>
      <c r="F15" s="361">
        <v>2</v>
      </c>
      <c r="G15" s="362"/>
      <c r="H15" s="361">
        <v>2</v>
      </c>
      <c r="I15" s="362"/>
      <c r="J15" s="361">
        <v>2</v>
      </c>
      <c r="K15" s="362"/>
      <c r="L15" s="366">
        <f t="shared" si="0"/>
        <v>1</v>
      </c>
      <c r="M15" s="367"/>
      <c r="N15" s="366">
        <f t="shared" si="1"/>
        <v>1</v>
      </c>
      <c r="O15" s="367"/>
    </row>
    <row r="16" spans="1:15" s="2" customFormat="1" ht="20.100000000000001" customHeight="1">
      <c r="A16" s="368" t="s">
        <v>321</v>
      </c>
      <c r="B16" s="368"/>
      <c r="C16" s="368"/>
      <c r="D16" s="361"/>
      <c r="E16" s="362"/>
      <c r="F16" s="361">
        <v>170</v>
      </c>
      <c r="G16" s="362"/>
      <c r="H16" s="361">
        <v>162</v>
      </c>
      <c r="I16" s="362"/>
      <c r="J16" s="361">
        <v>192</v>
      </c>
      <c r="K16" s="362"/>
      <c r="L16" s="366">
        <f t="shared" si="0"/>
        <v>1.1851851851851851</v>
      </c>
      <c r="M16" s="367"/>
      <c r="N16" s="366">
        <f t="shared" si="1"/>
        <v>1.1294117647058823</v>
      </c>
      <c r="O16" s="367"/>
    </row>
    <row r="17" spans="1:16" s="2" customFormat="1" ht="20.100000000000001" customHeight="1">
      <c r="A17" s="368" t="s">
        <v>322</v>
      </c>
      <c r="B17" s="368"/>
      <c r="C17" s="368"/>
      <c r="D17" s="361"/>
      <c r="E17" s="362"/>
      <c r="F17" s="361">
        <v>8</v>
      </c>
      <c r="G17" s="362"/>
      <c r="H17" s="361">
        <v>8</v>
      </c>
      <c r="I17" s="362"/>
      <c r="J17" s="361">
        <v>8</v>
      </c>
      <c r="K17" s="362"/>
      <c r="L17" s="366">
        <f t="shared" si="0"/>
        <v>1</v>
      </c>
      <c r="M17" s="367"/>
      <c r="N17" s="366">
        <f t="shared" si="1"/>
        <v>1</v>
      </c>
      <c r="O17" s="367"/>
    </row>
    <row r="18" spans="1:16" s="2" customFormat="1" ht="20.100000000000001" customHeight="1">
      <c r="A18" s="319" t="s">
        <v>293</v>
      </c>
      <c r="B18" s="320"/>
      <c r="C18" s="320"/>
      <c r="D18" s="320"/>
      <c r="E18" s="320"/>
      <c r="F18" s="320"/>
      <c r="G18" s="320"/>
      <c r="H18" s="320"/>
      <c r="I18" s="320"/>
      <c r="J18" s="320"/>
      <c r="K18" s="321"/>
      <c r="L18" s="366"/>
      <c r="M18" s="367"/>
      <c r="N18" s="366"/>
      <c r="O18" s="367"/>
    </row>
    <row r="19" spans="1:16" s="2" customFormat="1" ht="20.100000000000001" customHeight="1">
      <c r="A19" s="368" t="s">
        <v>272</v>
      </c>
      <c r="B19" s="368"/>
      <c r="C19" s="368"/>
      <c r="D19" s="344"/>
      <c r="E19" s="344"/>
      <c r="F19" s="361">
        <v>140</v>
      </c>
      <c r="G19" s="362"/>
      <c r="H19" s="361">
        <v>201</v>
      </c>
      <c r="I19" s="362"/>
      <c r="J19" s="361">
        <v>329</v>
      </c>
      <c r="K19" s="362"/>
      <c r="L19" s="366">
        <f>J19/H23*100%</f>
        <v>1.6368159203980099</v>
      </c>
      <c r="M19" s="367"/>
      <c r="N19" s="366">
        <f>J19/F23*100%</f>
        <v>2.35</v>
      </c>
      <c r="O19" s="367"/>
    </row>
    <row r="20" spans="1:16" s="2" customFormat="1" ht="20.100000000000001" customHeight="1">
      <c r="A20" s="368" t="s">
        <v>297</v>
      </c>
      <c r="B20" s="368"/>
      <c r="C20" s="368"/>
      <c r="D20" s="344"/>
      <c r="E20" s="344"/>
      <c r="F20" s="361">
        <v>4449</v>
      </c>
      <c r="G20" s="362"/>
      <c r="H20" s="361">
        <v>4830</v>
      </c>
      <c r="I20" s="362"/>
      <c r="J20" s="361">
        <v>5760</v>
      </c>
      <c r="K20" s="362"/>
      <c r="L20" s="366">
        <f>J20/H24*100%</f>
        <v>1.1925465838509317</v>
      </c>
      <c r="M20" s="367"/>
      <c r="N20" s="366">
        <f>J20/F24*100%</f>
        <v>1.2946729602157789</v>
      </c>
      <c r="O20" s="367"/>
      <c r="P20" s="249"/>
    </row>
    <row r="21" spans="1:16" s="2" customFormat="1" ht="20.100000000000001" customHeight="1">
      <c r="A21" s="368" t="s">
        <v>273</v>
      </c>
      <c r="B21" s="368"/>
      <c r="C21" s="368"/>
      <c r="D21" s="344"/>
      <c r="E21" s="344"/>
      <c r="F21" s="361">
        <v>12283</v>
      </c>
      <c r="G21" s="362"/>
      <c r="H21" s="361">
        <v>20667</v>
      </c>
      <c r="I21" s="362"/>
      <c r="J21" s="361">
        <v>24722</v>
      </c>
      <c r="K21" s="362"/>
      <c r="L21" s="366">
        <f>J21/H25*100%</f>
        <v>1.1962065127981807</v>
      </c>
      <c r="M21" s="367"/>
      <c r="N21" s="366">
        <f>J21/F25*100%</f>
        <v>2.0127004803386797</v>
      </c>
      <c r="O21" s="367"/>
      <c r="P21" s="249"/>
    </row>
    <row r="22" spans="1:16" s="2" customFormat="1" ht="20.100000000000001" customHeight="1">
      <c r="A22" s="319" t="s">
        <v>294</v>
      </c>
      <c r="B22" s="320"/>
      <c r="C22" s="320"/>
      <c r="D22" s="320"/>
      <c r="E22" s="320"/>
      <c r="F22" s="320"/>
      <c r="G22" s="320"/>
      <c r="H22" s="320"/>
      <c r="I22" s="320"/>
      <c r="J22" s="320"/>
      <c r="K22" s="321"/>
      <c r="L22" s="366"/>
      <c r="M22" s="367"/>
      <c r="N22" s="366"/>
      <c r="O22" s="367"/>
      <c r="P22" s="249"/>
    </row>
    <row r="23" spans="1:16" s="2" customFormat="1" ht="20.100000000000001" customHeight="1">
      <c r="A23" s="368" t="s">
        <v>272</v>
      </c>
      <c r="B23" s="368"/>
      <c r="C23" s="368"/>
      <c r="D23" s="361"/>
      <c r="E23" s="362"/>
      <c r="F23" s="361">
        <f>F19</f>
        <v>140</v>
      </c>
      <c r="G23" s="362"/>
      <c r="H23" s="361">
        <f>H19</f>
        <v>201</v>
      </c>
      <c r="I23" s="362"/>
      <c r="J23" s="361">
        <v>401</v>
      </c>
      <c r="K23" s="362"/>
      <c r="L23" s="366">
        <f>J23/H19*100%</f>
        <v>1.9950248756218905</v>
      </c>
      <c r="M23" s="367"/>
      <c r="N23" s="366">
        <f>J23/F19*100%</f>
        <v>2.8642857142857143</v>
      </c>
      <c r="O23" s="367"/>
      <c r="P23" s="249"/>
    </row>
    <row r="24" spans="1:16" s="2" customFormat="1" ht="20.100000000000001" customHeight="1">
      <c r="A24" s="368" t="s">
        <v>297</v>
      </c>
      <c r="B24" s="368"/>
      <c r="C24" s="368"/>
      <c r="D24" s="361"/>
      <c r="E24" s="362"/>
      <c r="F24" s="361">
        <f>F20</f>
        <v>4449</v>
      </c>
      <c r="G24" s="362"/>
      <c r="H24" s="361">
        <f>H20</f>
        <v>4830</v>
      </c>
      <c r="I24" s="362"/>
      <c r="J24" s="361">
        <v>7027</v>
      </c>
      <c r="K24" s="362"/>
      <c r="L24" s="366">
        <f>J24/H20*100%</f>
        <v>1.4548654244306418</v>
      </c>
      <c r="M24" s="367"/>
      <c r="N24" s="366">
        <f>J24/F20*100%</f>
        <v>1.5794560575410204</v>
      </c>
      <c r="O24" s="367"/>
      <c r="P24" s="249"/>
    </row>
    <row r="25" spans="1:16" s="2" customFormat="1" ht="20.100000000000001" customHeight="1">
      <c r="A25" s="368" t="s">
        <v>273</v>
      </c>
      <c r="B25" s="368"/>
      <c r="C25" s="368"/>
      <c r="D25" s="361"/>
      <c r="E25" s="362"/>
      <c r="F25" s="361">
        <f>F21</f>
        <v>12283</v>
      </c>
      <c r="G25" s="362"/>
      <c r="H25" s="361">
        <f>H21</f>
        <v>20667</v>
      </c>
      <c r="I25" s="362"/>
      <c r="J25" s="361">
        <v>30042</v>
      </c>
      <c r="K25" s="362"/>
      <c r="L25" s="366">
        <f>J25/H21*100%</f>
        <v>1.4536217157787779</v>
      </c>
      <c r="M25" s="367"/>
      <c r="N25" s="366">
        <f>J25/F21*100%</f>
        <v>2.4458194252218513</v>
      </c>
      <c r="O25" s="367"/>
      <c r="P25" s="249"/>
    </row>
    <row r="26" spans="1:16" s="2" customFormat="1" ht="38.25" customHeight="1">
      <c r="A26" s="319" t="s">
        <v>323</v>
      </c>
      <c r="B26" s="320"/>
      <c r="C26" s="320"/>
      <c r="D26" s="320"/>
      <c r="E26" s="320"/>
      <c r="F26" s="320"/>
      <c r="G26" s="320"/>
      <c r="H26" s="320"/>
      <c r="I26" s="320"/>
      <c r="J26" s="320"/>
      <c r="K26" s="321"/>
      <c r="L26" s="366"/>
      <c r="M26" s="367"/>
      <c r="N26" s="366"/>
      <c r="O26" s="367"/>
    </row>
    <row r="27" spans="1:16" s="2" customFormat="1" ht="20.100000000000001" customHeight="1">
      <c r="A27" s="368" t="s">
        <v>272</v>
      </c>
      <c r="B27" s="368"/>
      <c r="C27" s="368"/>
      <c r="D27" s="361"/>
      <c r="E27" s="362"/>
      <c r="F27" s="361">
        <f>F31</f>
        <v>14167</v>
      </c>
      <c r="G27" s="362"/>
      <c r="H27" s="361">
        <v>16750</v>
      </c>
      <c r="I27" s="362"/>
      <c r="J27" s="361">
        <v>27442</v>
      </c>
      <c r="K27" s="362"/>
      <c r="L27" s="366">
        <f t="shared" si="0"/>
        <v>1.6383283582089552</v>
      </c>
      <c r="M27" s="367"/>
      <c r="N27" s="366">
        <f t="shared" si="1"/>
        <v>1.93703677560528</v>
      </c>
      <c r="O27" s="367"/>
    </row>
    <row r="28" spans="1:16" s="2" customFormat="1" ht="20.100000000000001" customHeight="1">
      <c r="A28" s="368" t="s">
        <v>297</v>
      </c>
      <c r="B28" s="368"/>
      <c r="C28" s="368"/>
      <c r="D28" s="361"/>
      <c r="E28" s="362"/>
      <c r="F28" s="361">
        <f>F32</f>
        <v>11583</v>
      </c>
      <c r="G28" s="362"/>
      <c r="H28" s="361">
        <v>9583</v>
      </c>
      <c r="I28" s="362"/>
      <c r="J28" s="361">
        <v>8748</v>
      </c>
      <c r="K28" s="362"/>
      <c r="L28" s="366">
        <f t="shared" si="0"/>
        <v>0.91286653448815613</v>
      </c>
      <c r="M28" s="367"/>
      <c r="N28" s="366">
        <f t="shared" si="1"/>
        <v>0.75524475524475521</v>
      </c>
      <c r="O28" s="367"/>
    </row>
    <row r="29" spans="1:16" s="2" customFormat="1" ht="20.100000000000001" customHeight="1">
      <c r="A29" s="368" t="s">
        <v>273</v>
      </c>
      <c r="B29" s="368"/>
      <c r="C29" s="368"/>
      <c r="D29" s="361"/>
      <c r="E29" s="362"/>
      <c r="F29" s="361">
        <f>F33</f>
        <v>6933</v>
      </c>
      <c r="G29" s="362"/>
      <c r="H29" s="361">
        <v>9463</v>
      </c>
      <c r="I29" s="362"/>
      <c r="J29" s="361">
        <v>4374</v>
      </c>
      <c r="K29" s="362"/>
      <c r="L29" s="366">
        <f t="shared" si="0"/>
        <v>0.46222128289126069</v>
      </c>
      <c r="M29" s="367"/>
      <c r="N29" s="366">
        <f t="shared" si="1"/>
        <v>0.63089571614019901</v>
      </c>
      <c r="O29" s="367"/>
    </row>
    <row r="30" spans="1:16" s="2" customFormat="1" ht="20.100000000000001" customHeight="1">
      <c r="A30" s="319" t="s">
        <v>324</v>
      </c>
      <c r="B30" s="320"/>
      <c r="C30" s="320"/>
      <c r="D30" s="320"/>
      <c r="E30" s="320"/>
      <c r="F30" s="320"/>
      <c r="G30" s="320"/>
      <c r="H30" s="320"/>
      <c r="I30" s="320"/>
      <c r="J30" s="320"/>
      <c r="K30" s="321"/>
      <c r="L30" s="366"/>
      <c r="M30" s="367"/>
      <c r="N30" s="366"/>
      <c r="O30" s="367"/>
    </row>
    <row r="31" spans="1:16" s="2" customFormat="1" ht="20.100000000000001" customHeight="1">
      <c r="A31" s="368" t="s">
        <v>272</v>
      </c>
      <c r="B31" s="368"/>
      <c r="C31" s="368"/>
      <c r="D31" s="361"/>
      <c r="E31" s="362"/>
      <c r="F31" s="361">
        <v>14167</v>
      </c>
      <c r="G31" s="362"/>
      <c r="H31" s="361">
        <f>H27</f>
        <v>16750</v>
      </c>
      <c r="I31" s="362"/>
      <c r="J31" s="361">
        <v>27442</v>
      </c>
      <c r="K31" s="362"/>
      <c r="L31" s="366">
        <f t="shared" si="0"/>
        <v>1.6383283582089552</v>
      </c>
      <c r="M31" s="367"/>
      <c r="N31" s="366">
        <f t="shared" si="1"/>
        <v>1.93703677560528</v>
      </c>
      <c r="O31" s="367"/>
    </row>
    <row r="32" spans="1:16" s="2" customFormat="1" ht="20.100000000000001" customHeight="1">
      <c r="A32" s="368" t="s">
        <v>297</v>
      </c>
      <c r="B32" s="368"/>
      <c r="C32" s="368"/>
      <c r="D32" s="361"/>
      <c r="E32" s="362"/>
      <c r="F32" s="361">
        <v>11583</v>
      </c>
      <c r="G32" s="362"/>
      <c r="H32" s="361">
        <f>H28</f>
        <v>9583</v>
      </c>
      <c r="I32" s="362"/>
      <c r="J32" s="361">
        <v>8748</v>
      </c>
      <c r="K32" s="362"/>
      <c r="L32" s="366">
        <f t="shared" si="0"/>
        <v>0.91286653448815613</v>
      </c>
      <c r="M32" s="367"/>
      <c r="N32" s="366">
        <f t="shared" si="1"/>
        <v>0.75524475524475521</v>
      </c>
      <c r="O32" s="367"/>
    </row>
    <row r="33" spans="1:15" s="2" customFormat="1" ht="20.100000000000001" customHeight="1">
      <c r="A33" s="368" t="s">
        <v>273</v>
      </c>
      <c r="B33" s="368"/>
      <c r="C33" s="368"/>
      <c r="D33" s="361"/>
      <c r="E33" s="362"/>
      <c r="F33" s="361">
        <v>6933</v>
      </c>
      <c r="G33" s="362"/>
      <c r="H33" s="361">
        <f>H29</f>
        <v>9463</v>
      </c>
      <c r="I33" s="362"/>
      <c r="J33" s="361">
        <v>8729</v>
      </c>
      <c r="K33" s="362"/>
      <c r="L33" s="366">
        <f t="shared" si="0"/>
        <v>0.9224347458522667</v>
      </c>
      <c r="M33" s="367"/>
      <c r="N33" s="366">
        <f t="shared" si="1"/>
        <v>1.2590509159094188</v>
      </c>
      <c r="O33" s="367"/>
    </row>
    <row r="34" spans="1:15" ht="10.5" customHeight="1">
      <c r="A34" s="20"/>
      <c r="B34" s="20"/>
      <c r="C34" s="20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</row>
    <row r="35" spans="1:15" ht="20.100000000000001" customHeight="1">
      <c r="A35" s="375" t="s">
        <v>325</v>
      </c>
      <c r="B35" s="375"/>
      <c r="C35" s="375"/>
      <c r="D35" s="375"/>
      <c r="E35" s="375"/>
      <c r="F35" s="375"/>
      <c r="G35" s="375"/>
      <c r="H35" s="375"/>
      <c r="I35" s="375"/>
      <c r="J35" s="375"/>
      <c r="K35" s="375"/>
      <c r="L35" s="375"/>
      <c r="M35" s="375"/>
      <c r="N35" s="375"/>
      <c r="O35" s="375"/>
    </row>
    <row r="36" spans="1:15" ht="15" customHeight="1">
      <c r="A36" s="21"/>
      <c r="B36" s="21"/>
      <c r="C36" s="21"/>
      <c r="D36" s="21"/>
      <c r="E36" s="21"/>
      <c r="F36" s="21"/>
      <c r="G36" s="21"/>
      <c r="H36" s="21"/>
      <c r="I36" s="21"/>
    </row>
    <row r="37" spans="1:15" ht="21.95" customHeight="1">
      <c r="A37" s="372" t="s">
        <v>326</v>
      </c>
      <c r="B37" s="372"/>
      <c r="C37" s="372"/>
      <c r="D37" s="372"/>
      <c r="E37" s="372"/>
      <c r="F37" s="372"/>
      <c r="G37" s="372"/>
      <c r="H37" s="372"/>
      <c r="I37" s="372"/>
      <c r="J37" s="372"/>
      <c r="K37" s="372"/>
      <c r="L37" s="372"/>
      <c r="M37" s="372"/>
      <c r="N37" s="372"/>
      <c r="O37" s="372"/>
    </row>
    <row r="38" spans="1:15" ht="10.5" customHeight="1"/>
    <row r="39" spans="1:15" ht="60" customHeight="1">
      <c r="A39" s="37" t="s">
        <v>149</v>
      </c>
      <c r="B39" s="373" t="s">
        <v>327</v>
      </c>
      <c r="C39" s="374"/>
      <c r="D39" s="374"/>
      <c r="E39" s="374"/>
      <c r="F39" s="344" t="s">
        <v>93</v>
      </c>
      <c r="G39" s="344"/>
      <c r="H39" s="344"/>
      <c r="I39" s="344"/>
      <c r="J39" s="344"/>
      <c r="K39" s="344"/>
      <c r="L39" s="344"/>
      <c r="M39" s="344"/>
      <c r="N39" s="344"/>
      <c r="O39" s="344"/>
    </row>
    <row r="40" spans="1:15" ht="18" customHeight="1">
      <c r="A40" s="37">
        <v>1</v>
      </c>
      <c r="B40" s="373">
        <v>2</v>
      </c>
      <c r="C40" s="374"/>
      <c r="D40" s="374"/>
      <c r="E40" s="374"/>
      <c r="F40" s="344">
        <v>3</v>
      </c>
      <c r="G40" s="344"/>
      <c r="H40" s="344"/>
      <c r="I40" s="344"/>
      <c r="J40" s="344"/>
      <c r="K40" s="344"/>
      <c r="L40" s="344"/>
      <c r="M40" s="344"/>
      <c r="N40" s="344"/>
      <c r="O40" s="344"/>
    </row>
    <row r="41" spans="1:15" ht="20.100000000000001" customHeight="1">
      <c r="A41" s="163"/>
      <c r="B41" s="370"/>
      <c r="C41" s="371"/>
      <c r="D41" s="371"/>
      <c r="E41" s="371"/>
      <c r="F41" s="369"/>
      <c r="G41" s="369"/>
      <c r="H41" s="369"/>
      <c r="I41" s="369"/>
      <c r="J41" s="369"/>
      <c r="K41" s="369"/>
      <c r="L41" s="369"/>
      <c r="M41" s="369"/>
      <c r="N41" s="369"/>
      <c r="O41" s="369"/>
    </row>
    <row r="42" spans="1:15" ht="20.100000000000001" customHeight="1">
      <c r="A42" s="163"/>
      <c r="B42" s="370"/>
      <c r="C42" s="371"/>
      <c r="D42" s="371"/>
      <c r="E42" s="371"/>
      <c r="F42" s="369"/>
      <c r="G42" s="369"/>
      <c r="H42" s="369"/>
      <c r="I42" s="369"/>
      <c r="J42" s="369"/>
      <c r="K42" s="369"/>
      <c r="L42" s="369"/>
      <c r="M42" s="369"/>
      <c r="N42" s="369"/>
      <c r="O42" s="369"/>
    </row>
    <row r="43" spans="1:15" ht="20.100000000000001" customHeight="1">
      <c r="A43" s="163"/>
      <c r="B43" s="370"/>
      <c r="C43" s="371"/>
      <c r="D43" s="371"/>
      <c r="E43" s="371"/>
      <c r="F43" s="369"/>
      <c r="G43" s="369"/>
      <c r="H43" s="369"/>
      <c r="I43" s="369"/>
      <c r="J43" s="369"/>
      <c r="K43" s="369"/>
      <c r="L43" s="369"/>
      <c r="M43" s="369"/>
      <c r="N43" s="369"/>
      <c r="O43" s="369"/>
    </row>
    <row r="44" spans="1:15" ht="20.100000000000001" customHeight="1">
      <c r="A44" s="163"/>
      <c r="B44" s="370"/>
      <c r="C44" s="371"/>
      <c r="D44" s="371"/>
      <c r="E44" s="371"/>
      <c r="F44" s="369"/>
      <c r="G44" s="369"/>
      <c r="H44" s="369"/>
      <c r="I44" s="369"/>
      <c r="J44" s="369"/>
      <c r="K44" s="369"/>
      <c r="L44" s="369"/>
      <c r="M44" s="369"/>
      <c r="N44" s="369"/>
      <c r="O44" s="369"/>
    </row>
    <row r="45" spans="1:15" ht="20.100000000000001" customHeight="1">
      <c r="A45" s="163"/>
      <c r="B45" s="370"/>
      <c r="C45" s="371"/>
      <c r="D45" s="371"/>
      <c r="E45" s="371"/>
      <c r="F45" s="369"/>
      <c r="G45" s="369"/>
      <c r="H45" s="369"/>
      <c r="I45" s="369"/>
      <c r="J45" s="369"/>
      <c r="K45" s="369"/>
      <c r="L45" s="369"/>
      <c r="M45" s="369"/>
      <c r="N45" s="369"/>
      <c r="O45" s="369"/>
    </row>
    <row r="46" spans="1:15" ht="20.100000000000001" customHeight="1">
      <c r="A46" s="163"/>
      <c r="B46" s="370"/>
      <c r="C46" s="371"/>
      <c r="D46" s="371"/>
      <c r="E46" s="371"/>
      <c r="F46" s="369"/>
      <c r="G46" s="369"/>
      <c r="H46" s="369"/>
      <c r="I46" s="369"/>
      <c r="J46" s="369"/>
      <c r="K46" s="369"/>
      <c r="L46" s="369"/>
      <c r="M46" s="369"/>
      <c r="N46" s="369"/>
      <c r="O46" s="369"/>
    </row>
    <row r="47" spans="1:15" ht="20.100000000000001" customHeight="1">
      <c r="A47" s="163"/>
      <c r="B47" s="370"/>
      <c r="C47" s="371"/>
      <c r="D47" s="371"/>
      <c r="E47" s="371"/>
      <c r="F47" s="369"/>
      <c r="G47" s="369"/>
      <c r="H47" s="369"/>
      <c r="I47" s="369"/>
      <c r="J47" s="369"/>
      <c r="K47" s="369"/>
      <c r="L47" s="369"/>
      <c r="M47" s="369"/>
      <c r="N47" s="369"/>
      <c r="O47" s="369"/>
    </row>
    <row r="48" spans="1:15" ht="20.100000000000001" customHeight="1">
      <c r="A48" s="163"/>
      <c r="B48" s="370"/>
      <c r="C48" s="371"/>
      <c r="D48" s="371"/>
      <c r="E48" s="371"/>
      <c r="F48" s="370"/>
      <c r="G48" s="371"/>
      <c r="H48" s="371"/>
      <c r="I48" s="371"/>
      <c r="J48" s="371"/>
      <c r="K48" s="371"/>
      <c r="L48" s="371"/>
      <c r="M48" s="371"/>
      <c r="N48" s="371"/>
      <c r="O48" s="378"/>
    </row>
    <row r="49" spans="1:15" ht="20.100000000000001" customHeight="1">
      <c r="A49" s="163"/>
      <c r="B49" s="370"/>
      <c r="C49" s="371"/>
      <c r="D49" s="371"/>
      <c r="E49" s="378"/>
      <c r="F49" s="370"/>
      <c r="G49" s="371"/>
      <c r="H49" s="371"/>
      <c r="I49" s="371"/>
      <c r="J49" s="371"/>
      <c r="K49" s="371"/>
      <c r="L49" s="371"/>
      <c r="M49" s="371"/>
      <c r="N49" s="371"/>
      <c r="O49" s="378"/>
    </row>
    <row r="50" spans="1:15" ht="20.100000000000001" customHeight="1">
      <c r="A50" s="71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1:15" ht="21.95" customHeight="1">
      <c r="A51" s="376" t="s">
        <v>251</v>
      </c>
      <c r="B51" s="376"/>
      <c r="C51" s="376"/>
      <c r="D51" s="376"/>
      <c r="E51" s="376"/>
      <c r="F51" s="376"/>
      <c r="G51" s="376"/>
      <c r="H51" s="376"/>
      <c r="I51" s="376"/>
      <c r="J51" s="376"/>
    </row>
    <row r="52" spans="1:15" ht="20.100000000000001" customHeight="1">
      <c r="A52" s="16"/>
    </row>
    <row r="53" spans="1:15" ht="63.95" customHeight="1">
      <c r="A53" s="347" t="s">
        <v>274</v>
      </c>
      <c r="B53" s="347" t="s">
        <v>328</v>
      </c>
      <c r="C53" s="347"/>
      <c r="D53" s="377" t="s">
        <v>447</v>
      </c>
      <c r="E53" s="377"/>
      <c r="F53" s="377"/>
      <c r="G53" s="377" t="s">
        <v>407</v>
      </c>
      <c r="H53" s="377"/>
      <c r="I53" s="377"/>
      <c r="J53" s="379" t="s">
        <v>406</v>
      </c>
      <c r="K53" s="380"/>
      <c r="L53" s="381"/>
      <c r="M53" s="377" t="s">
        <v>405</v>
      </c>
      <c r="N53" s="377"/>
      <c r="O53" s="377"/>
    </row>
    <row r="54" spans="1:15" ht="168.75">
      <c r="A54" s="347"/>
      <c r="B54" s="7" t="s">
        <v>79</v>
      </c>
      <c r="C54" s="7" t="s">
        <v>80</v>
      </c>
      <c r="D54" s="7" t="s">
        <v>329</v>
      </c>
      <c r="E54" s="7" t="s">
        <v>330</v>
      </c>
      <c r="F54" s="7" t="s">
        <v>331</v>
      </c>
      <c r="G54" s="7" t="s">
        <v>329</v>
      </c>
      <c r="H54" s="7" t="s">
        <v>330</v>
      </c>
      <c r="I54" s="7" t="s">
        <v>331</v>
      </c>
      <c r="J54" s="7" t="s">
        <v>329</v>
      </c>
      <c r="K54" s="7" t="s">
        <v>330</v>
      </c>
      <c r="L54" s="7" t="s">
        <v>331</v>
      </c>
      <c r="M54" s="7" t="s">
        <v>329</v>
      </c>
      <c r="N54" s="7" t="s">
        <v>330</v>
      </c>
      <c r="O54" s="7" t="s">
        <v>331</v>
      </c>
    </row>
    <row r="55" spans="1:15" ht="18" customHeight="1">
      <c r="A55" s="7">
        <v>1</v>
      </c>
      <c r="B55" s="7">
        <v>2</v>
      </c>
      <c r="C55" s="7">
        <v>3</v>
      </c>
      <c r="D55" s="7">
        <v>4</v>
      </c>
      <c r="E55" s="7">
        <v>5</v>
      </c>
      <c r="F55" s="7">
        <v>6</v>
      </c>
      <c r="G55" s="7">
        <v>7</v>
      </c>
      <c r="H55" s="6">
        <v>8</v>
      </c>
      <c r="I55" s="6">
        <v>9</v>
      </c>
      <c r="J55" s="6">
        <v>10</v>
      </c>
      <c r="K55" s="6">
        <v>11</v>
      </c>
      <c r="L55" s="6">
        <v>12</v>
      </c>
      <c r="M55" s="6">
        <v>13</v>
      </c>
      <c r="N55" s="6">
        <v>14</v>
      </c>
      <c r="O55" s="6">
        <v>15</v>
      </c>
    </row>
    <row r="56" spans="1:15" ht="20.100000000000001" customHeight="1">
      <c r="A56" s="164" t="s">
        <v>418</v>
      </c>
      <c r="B56" s="109"/>
      <c r="C56" s="109"/>
      <c r="D56" s="109">
        <v>25756</v>
      </c>
      <c r="E56" s="109" t="s">
        <v>448</v>
      </c>
      <c r="F56" s="109">
        <v>227.9</v>
      </c>
      <c r="G56" s="109">
        <v>64150</v>
      </c>
      <c r="H56" s="109" t="s">
        <v>451</v>
      </c>
      <c r="I56" s="109">
        <v>252.6</v>
      </c>
      <c r="J56" s="109">
        <v>51900</v>
      </c>
      <c r="K56" s="109" t="s">
        <v>451</v>
      </c>
      <c r="L56" s="109">
        <v>205.14</v>
      </c>
      <c r="M56" s="188">
        <f>'I. Фін результат'!I8</f>
        <v>155473</v>
      </c>
      <c r="N56" s="109" t="s">
        <v>476</v>
      </c>
      <c r="O56" s="109">
        <v>377.36</v>
      </c>
    </row>
    <row r="57" spans="1:15" ht="20.100000000000001" customHeight="1">
      <c r="A57" s="164" t="s">
        <v>419</v>
      </c>
      <c r="B57" s="109"/>
      <c r="C57" s="109"/>
      <c r="D57" s="109">
        <v>902</v>
      </c>
      <c r="E57" s="109"/>
      <c r="F57" s="109"/>
      <c r="G57" s="109">
        <v>792</v>
      </c>
      <c r="H57" s="109"/>
      <c r="I57" s="109"/>
      <c r="J57" s="109">
        <v>1573</v>
      </c>
      <c r="K57" s="109"/>
      <c r="L57" s="109"/>
      <c r="M57" s="188">
        <f>'I. Фін результат'!I9</f>
        <v>2501</v>
      </c>
      <c r="N57" s="109" t="s">
        <v>702</v>
      </c>
      <c r="O57" s="109">
        <v>649.80999999999995</v>
      </c>
    </row>
    <row r="58" spans="1:15" ht="20.100000000000001" customHeight="1">
      <c r="A58" s="164" t="s">
        <v>421</v>
      </c>
      <c r="B58" s="109"/>
      <c r="C58" s="109"/>
      <c r="D58" s="109">
        <v>418</v>
      </c>
      <c r="E58" s="109"/>
      <c r="F58" s="109"/>
      <c r="G58" s="109">
        <v>215</v>
      </c>
      <c r="H58" s="109"/>
      <c r="I58" s="109"/>
      <c r="J58" s="109">
        <v>7499</v>
      </c>
      <c r="K58" s="109"/>
      <c r="L58" s="109"/>
      <c r="M58" s="188">
        <f>'I. Фін результат'!I10</f>
        <v>227</v>
      </c>
      <c r="N58" s="109" t="s">
        <v>475</v>
      </c>
      <c r="O58" s="109">
        <v>36.25</v>
      </c>
    </row>
    <row r="59" spans="1:15" ht="20.100000000000001" customHeight="1">
      <c r="A59" s="164" t="s">
        <v>424</v>
      </c>
      <c r="B59" s="109"/>
      <c r="C59" s="109"/>
      <c r="D59" s="109">
        <v>6341</v>
      </c>
      <c r="E59" s="109" t="s">
        <v>449</v>
      </c>
      <c r="F59" s="109">
        <v>90.6</v>
      </c>
      <c r="G59" s="109">
        <v>2116</v>
      </c>
      <c r="H59" s="109" t="s">
        <v>450</v>
      </c>
      <c r="I59" s="109">
        <v>31.1</v>
      </c>
      <c r="J59" s="109">
        <v>2303</v>
      </c>
      <c r="K59" s="109" t="s">
        <v>450</v>
      </c>
      <c r="L59" s="109">
        <v>33.869999999999997</v>
      </c>
      <c r="M59" s="188">
        <f>'I. Фін результат'!I11</f>
        <v>12060</v>
      </c>
      <c r="N59" s="109" t="s">
        <v>703</v>
      </c>
      <c r="O59" s="109">
        <v>50.04</v>
      </c>
    </row>
    <row r="60" spans="1:15" ht="20.100000000000001" customHeight="1">
      <c r="A60" s="165" t="s">
        <v>61</v>
      </c>
      <c r="B60" s="76">
        <v>100</v>
      </c>
      <c r="C60" s="76">
        <v>100</v>
      </c>
      <c r="D60" s="93">
        <f>SUM(D56:D59)</f>
        <v>33417</v>
      </c>
      <c r="E60" s="109"/>
      <c r="F60" s="150"/>
      <c r="G60" s="93">
        <f>SUM(G56:G59)</f>
        <v>67273</v>
      </c>
      <c r="H60" s="150"/>
      <c r="I60" s="150"/>
      <c r="J60" s="93">
        <f>SUM(J56:J59)</f>
        <v>63275</v>
      </c>
      <c r="K60" s="150"/>
      <c r="L60" s="150"/>
      <c r="M60" s="93">
        <f>SUM(M56:M59)</f>
        <v>170261</v>
      </c>
      <c r="N60" s="150"/>
      <c r="O60" s="150"/>
    </row>
    <row r="61" spans="1:15" ht="20.100000000000001" customHeight="1">
      <c r="A61" s="18"/>
      <c r="B61" s="19"/>
      <c r="C61" s="19"/>
      <c r="D61" s="19"/>
      <c r="E61" s="19"/>
      <c r="F61" s="10"/>
      <c r="G61" s="10"/>
      <c r="H61" s="10"/>
      <c r="I61" s="5"/>
      <c r="J61" s="5"/>
      <c r="K61" s="5"/>
      <c r="L61" s="5"/>
      <c r="M61" s="5"/>
      <c r="N61" s="5"/>
      <c r="O61" s="5"/>
    </row>
    <row r="62" spans="1:15" ht="21.95" customHeight="1">
      <c r="A62" s="372" t="s">
        <v>81</v>
      </c>
      <c r="B62" s="372"/>
      <c r="C62" s="372"/>
      <c r="D62" s="372"/>
      <c r="E62" s="372"/>
      <c r="F62" s="372"/>
      <c r="G62" s="372"/>
      <c r="H62" s="372"/>
      <c r="I62" s="372"/>
      <c r="J62" s="372"/>
      <c r="K62" s="372"/>
      <c r="L62" s="372"/>
      <c r="M62" s="372"/>
      <c r="N62" s="372"/>
      <c r="O62" s="372"/>
    </row>
    <row r="63" spans="1:15" ht="20.100000000000001" customHeight="1">
      <c r="A63" s="16"/>
    </row>
    <row r="64" spans="1:15" ht="63.95" customHeight="1">
      <c r="A64" s="7" t="s">
        <v>139</v>
      </c>
      <c r="B64" s="347" t="s">
        <v>78</v>
      </c>
      <c r="C64" s="347"/>
      <c r="D64" s="347" t="s">
        <v>73</v>
      </c>
      <c r="E64" s="347"/>
      <c r="F64" s="347" t="s">
        <v>74</v>
      </c>
      <c r="G64" s="347"/>
      <c r="H64" s="347" t="s">
        <v>332</v>
      </c>
      <c r="I64" s="347"/>
      <c r="J64" s="347"/>
      <c r="K64" s="382" t="s">
        <v>94</v>
      </c>
      <c r="L64" s="384"/>
      <c r="M64" s="382" t="s">
        <v>38</v>
      </c>
      <c r="N64" s="383"/>
      <c r="O64" s="384"/>
    </row>
    <row r="65" spans="1:15" ht="18" customHeight="1">
      <c r="A65" s="6">
        <v>1</v>
      </c>
      <c r="B65" s="344">
        <v>2</v>
      </c>
      <c r="C65" s="344"/>
      <c r="D65" s="344">
        <v>3</v>
      </c>
      <c r="E65" s="344"/>
      <c r="F65" s="387">
        <v>4</v>
      </c>
      <c r="G65" s="387"/>
      <c r="H65" s="344">
        <v>5</v>
      </c>
      <c r="I65" s="344"/>
      <c r="J65" s="344"/>
      <c r="K65" s="344">
        <v>6</v>
      </c>
      <c r="L65" s="344"/>
      <c r="M65" s="373">
        <v>7</v>
      </c>
      <c r="N65" s="374"/>
      <c r="O65" s="385"/>
    </row>
    <row r="66" spans="1:15" ht="20.100000000000001" customHeight="1">
      <c r="A66" s="164"/>
      <c r="B66" s="386"/>
      <c r="C66" s="386"/>
      <c r="D66" s="386"/>
      <c r="E66" s="386"/>
      <c r="F66" s="386"/>
      <c r="G66" s="386"/>
      <c r="H66" s="386"/>
      <c r="I66" s="386"/>
      <c r="J66" s="386"/>
      <c r="K66" s="388"/>
      <c r="L66" s="389"/>
      <c r="M66" s="386"/>
      <c r="N66" s="386"/>
      <c r="O66" s="386"/>
    </row>
    <row r="67" spans="1:15" ht="20.100000000000001" customHeight="1">
      <c r="A67" s="164"/>
      <c r="B67" s="388"/>
      <c r="C67" s="389"/>
      <c r="D67" s="388"/>
      <c r="E67" s="389"/>
      <c r="F67" s="388"/>
      <c r="G67" s="389"/>
      <c r="H67" s="388"/>
      <c r="I67" s="391"/>
      <c r="J67" s="389"/>
      <c r="K67" s="388"/>
      <c r="L67" s="389"/>
      <c r="M67" s="388"/>
      <c r="N67" s="391"/>
      <c r="O67" s="389"/>
    </row>
    <row r="68" spans="1:15" ht="20.100000000000001" customHeight="1">
      <c r="A68" s="164"/>
      <c r="B68" s="386"/>
      <c r="C68" s="386"/>
      <c r="D68" s="386"/>
      <c r="E68" s="386"/>
      <c r="F68" s="386"/>
      <c r="G68" s="386"/>
      <c r="H68" s="386"/>
      <c r="I68" s="386"/>
      <c r="J68" s="386"/>
      <c r="K68" s="388"/>
      <c r="L68" s="389"/>
      <c r="M68" s="386"/>
      <c r="N68" s="386"/>
      <c r="O68" s="386"/>
    </row>
    <row r="69" spans="1:15" ht="20.100000000000001" customHeight="1">
      <c r="A69" s="165" t="s">
        <v>61</v>
      </c>
      <c r="B69" s="390" t="s">
        <v>39</v>
      </c>
      <c r="C69" s="390"/>
      <c r="D69" s="390" t="s">
        <v>39</v>
      </c>
      <c r="E69" s="390"/>
      <c r="F69" s="390" t="s">
        <v>39</v>
      </c>
      <c r="G69" s="390"/>
      <c r="H69" s="386"/>
      <c r="I69" s="386"/>
      <c r="J69" s="386"/>
      <c r="K69" s="395">
        <f>SUM(K66:L68)</f>
        <v>0</v>
      </c>
      <c r="L69" s="396"/>
      <c r="M69" s="386"/>
      <c r="N69" s="386"/>
      <c r="O69" s="386"/>
    </row>
    <row r="70" spans="1:15" ht="20.100000000000001" customHeight="1">
      <c r="A70" s="10"/>
      <c r="B70" s="22"/>
      <c r="C70" s="22"/>
      <c r="D70" s="22"/>
      <c r="E70" s="22"/>
      <c r="F70" s="22"/>
      <c r="G70" s="22"/>
      <c r="H70" s="22"/>
      <c r="I70" s="22"/>
      <c r="J70" s="22"/>
      <c r="K70" s="2"/>
      <c r="L70" s="2"/>
      <c r="M70" s="2"/>
      <c r="N70" s="2"/>
      <c r="O70" s="2"/>
    </row>
    <row r="71" spans="1:15" ht="21.95" customHeight="1">
      <c r="A71" s="372" t="s">
        <v>82</v>
      </c>
      <c r="B71" s="372"/>
      <c r="C71" s="372"/>
      <c r="D71" s="372"/>
      <c r="E71" s="372"/>
      <c r="F71" s="372"/>
      <c r="G71" s="372"/>
      <c r="H71" s="372"/>
      <c r="I71" s="372"/>
      <c r="J71" s="372"/>
      <c r="K71" s="372"/>
      <c r="L71" s="372"/>
      <c r="M71" s="372"/>
      <c r="N71" s="372"/>
      <c r="O71" s="372"/>
    </row>
    <row r="72" spans="1:15" ht="20.100000000000001" customHeight="1">
      <c r="A72" s="5"/>
      <c r="B72" s="14"/>
      <c r="C72" s="5"/>
      <c r="D72" s="5"/>
      <c r="E72" s="5"/>
      <c r="F72" s="5"/>
      <c r="G72" s="5"/>
      <c r="H72" s="5"/>
      <c r="I72" s="13"/>
    </row>
    <row r="73" spans="1:15" ht="63.95" customHeight="1">
      <c r="A73" s="377" t="s">
        <v>72</v>
      </c>
      <c r="B73" s="377"/>
      <c r="C73" s="377"/>
      <c r="D73" s="377" t="s">
        <v>95</v>
      </c>
      <c r="E73" s="377"/>
      <c r="F73" s="377"/>
      <c r="G73" s="377" t="s">
        <v>359</v>
      </c>
      <c r="H73" s="377"/>
      <c r="I73" s="377"/>
      <c r="J73" s="377" t="s">
        <v>353</v>
      </c>
      <c r="K73" s="377"/>
      <c r="L73" s="377"/>
      <c r="M73" s="377" t="s">
        <v>96</v>
      </c>
      <c r="N73" s="377"/>
      <c r="O73" s="377"/>
    </row>
    <row r="74" spans="1:15" ht="18" customHeight="1">
      <c r="A74" s="377">
        <v>1</v>
      </c>
      <c r="B74" s="377"/>
      <c r="C74" s="377"/>
      <c r="D74" s="377">
        <v>2</v>
      </c>
      <c r="E74" s="377"/>
      <c r="F74" s="377"/>
      <c r="G74" s="377">
        <v>3</v>
      </c>
      <c r="H74" s="377"/>
      <c r="I74" s="377"/>
      <c r="J74" s="394">
        <v>4</v>
      </c>
      <c r="K74" s="394"/>
      <c r="L74" s="394"/>
      <c r="M74" s="394">
        <v>5</v>
      </c>
      <c r="N74" s="394"/>
      <c r="O74" s="394"/>
    </row>
    <row r="75" spans="1:15" ht="20.100000000000001" customHeight="1">
      <c r="A75" s="397" t="s">
        <v>333</v>
      </c>
      <c r="B75" s="397"/>
      <c r="C75" s="397"/>
      <c r="D75" s="393"/>
      <c r="E75" s="393"/>
      <c r="F75" s="393"/>
      <c r="G75" s="393"/>
      <c r="H75" s="393"/>
      <c r="I75" s="393"/>
      <c r="J75" s="393"/>
      <c r="K75" s="393"/>
      <c r="L75" s="393"/>
      <c r="M75" s="393"/>
      <c r="N75" s="393"/>
      <c r="O75" s="393"/>
    </row>
    <row r="76" spans="1:15" ht="20.100000000000001" customHeight="1">
      <c r="A76" s="397" t="s">
        <v>117</v>
      </c>
      <c r="B76" s="397"/>
      <c r="C76" s="397"/>
      <c r="D76" s="393"/>
      <c r="E76" s="393"/>
      <c r="F76" s="393"/>
      <c r="G76" s="393"/>
      <c r="H76" s="393"/>
      <c r="I76" s="393"/>
      <c r="J76" s="393"/>
      <c r="K76" s="393"/>
      <c r="L76" s="393"/>
      <c r="M76" s="393"/>
      <c r="N76" s="393"/>
      <c r="O76" s="393"/>
    </row>
    <row r="77" spans="1:15" ht="20.100000000000001" customHeight="1">
      <c r="A77" s="397"/>
      <c r="B77" s="397"/>
      <c r="C77" s="397"/>
      <c r="D77" s="361"/>
      <c r="E77" s="392"/>
      <c r="F77" s="362"/>
      <c r="G77" s="361"/>
      <c r="H77" s="392"/>
      <c r="I77" s="362"/>
      <c r="J77" s="361"/>
      <c r="K77" s="392"/>
      <c r="L77" s="362"/>
      <c r="M77" s="361"/>
      <c r="N77" s="392"/>
      <c r="O77" s="362"/>
    </row>
    <row r="78" spans="1:15" ht="20.100000000000001" customHeight="1">
      <c r="A78" s="397" t="s">
        <v>334</v>
      </c>
      <c r="B78" s="397"/>
      <c r="C78" s="397"/>
      <c r="D78" s="393"/>
      <c r="E78" s="393"/>
      <c r="F78" s="393"/>
      <c r="G78" s="393"/>
      <c r="H78" s="393"/>
      <c r="I78" s="393"/>
      <c r="J78" s="393"/>
      <c r="K78" s="393"/>
      <c r="L78" s="393"/>
      <c r="M78" s="393"/>
      <c r="N78" s="393"/>
      <c r="O78" s="393"/>
    </row>
    <row r="79" spans="1:15" ht="20.100000000000001" customHeight="1">
      <c r="A79" s="397" t="s">
        <v>118</v>
      </c>
      <c r="B79" s="397"/>
      <c r="C79" s="397"/>
      <c r="D79" s="393"/>
      <c r="E79" s="393"/>
      <c r="F79" s="393"/>
      <c r="G79" s="393"/>
      <c r="H79" s="393"/>
      <c r="I79" s="393"/>
      <c r="J79" s="393"/>
      <c r="K79" s="393"/>
      <c r="L79" s="393"/>
      <c r="M79" s="393"/>
      <c r="N79" s="393"/>
      <c r="O79" s="393"/>
    </row>
    <row r="80" spans="1:15" ht="20.100000000000001" customHeight="1">
      <c r="A80" s="397"/>
      <c r="B80" s="397"/>
      <c r="C80" s="397"/>
      <c r="D80" s="361"/>
      <c r="E80" s="392"/>
      <c r="F80" s="362"/>
      <c r="G80" s="361"/>
      <c r="H80" s="392"/>
      <c r="I80" s="362"/>
      <c r="J80" s="361"/>
      <c r="K80" s="392"/>
      <c r="L80" s="362"/>
      <c r="M80" s="361"/>
      <c r="N80" s="392"/>
      <c r="O80" s="362"/>
    </row>
    <row r="81" spans="1:15" ht="20.100000000000001" customHeight="1">
      <c r="A81" s="397" t="s">
        <v>335</v>
      </c>
      <c r="B81" s="397"/>
      <c r="C81" s="397"/>
      <c r="D81" s="393"/>
      <c r="E81" s="393"/>
      <c r="F81" s="393"/>
      <c r="G81" s="393"/>
      <c r="H81" s="393"/>
      <c r="I81" s="393"/>
      <c r="J81" s="393"/>
      <c r="K81" s="393"/>
      <c r="L81" s="393"/>
      <c r="M81" s="393"/>
      <c r="N81" s="393"/>
      <c r="O81" s="393"/>
    </row>
    <row r="82" spans="1:15" ht="20.100000000000001" customHeight="1">
      <c r="A82" s="397" t="s">
        <v>117</v>
      </c>
      <c r="B82" s="397"/>
      <c r="C82" s="397"/>
      <c r="D82" s="393"/>
      <c r="E82" s="393"/>
      <c r="F82" s="393"/>
      <c r="G82" s="393"/>
      <c r="H82" s="393"/>
      <c r="I82" s="393"/>
      <c r="J82" s="393"/>
      <c r="K82" s="393"/>
      <c r="L82" s="393"/>
      <c r="M82" s="393"/>
      <c r="N82" s="393"/>
      <c r="O82" s="393"/>
    </row>
    <row r="83" spans="1:15" ht="20.100000000000001" customHeight="1">
      <c r="A83" s="398"/>
      <c r="B83" s="399"/>
      <c r="C83" s="400"/>
      <c r="D83" s="393"/>
      <c r="E83" s="393"/>
      <c r="F83" s="393"/>
      <c r="G83" s="393"/>
      <c r="H83" s="393"/>
      <c r="I83" s="393"/>
      <c r="J83" s="393"/>
      <c r="K83" s="393"/>
      <c r="L83" s="393"/>
      <c r="M83" s="393"/>
      <c r="N83" s="393"/>
      <c r="O83" s="393"/>
    </row>
    <row r="84" spans="1:15" ht="20.100000000000001" customHeight="1">
      <c r="A84" s="398" t="s">
        <v>61</v>
      </c>
      <c r="B84" s="399"/>
      <c r="C84" s="400"/>
      <c r="D84" s="401"/>
      <c r="E84" s="401"/>
      <c r="F84" s="401"/>
      <c r="G84" s="401"/>
      <c r="H84" s="401"/>
      <c r="I84" s="401"/>
      <c r="J84" s="393"/>
      <c r="K84" s="393"/>
      <c r="L84" s="393"/>
      <c r="M84" s="393"/>
      <c r="N84" s="393"/>
      <c r="O84" s="393"/>
    </row>
    <row r="85" spans="1:15">
      <c r="C85" s="28"/>
      <c r="D85" s="28"/>
      <c r="E85" s="28"/>
    </row>
    <row r="86" spans="1:15">
      <c r="C86" s="28"/>
      <c r="D86" s="28"/>
      <c r="E86" s="28"/>
    </row>
    <row r="87" spans="1:15">
      <c r="C87" s="28"/>
      <c r="D87" s="28"/>
      <c r="E87" s="28"/>
    </row>
    <row r="88" spans="1:15">
      <c r="C88" s="28"/>
      <c r="D88" s="28"/>
      <c r="E88" s="28"/>
    </row>
    <row r="89" spans="1:15">
      <c r="C89" s="28"/>
      <c r="D89" s="28"/>
      <c r="E89" s="28"/>
    </row>
    <row r="90" spans="1:15">
      <c r="C90" s="28"/>
      <c r="D90" s="28"/>
      <c r="E90" s="28"/>
    </row>
    <row r="91" spans="1:15">
      <c r="C91" s="28"/>
      <c r="D91" s="28"/>
      <c r="E91" s="28"/>
    </row>
    <row r="92" spans="1:15">
      <c r="C92" s="28"/>
      <c r="D92" s="28"/>
      <c r="E92" s="28"/>
    </row>
    <row r="93" spans="1:15">
      <c r="C93" s="28"/>
      <c r="D93" s="28"/>
      <c r="E93" s="28"/>
    </row>
    <row r="94" spans="1:15">
      <c r="C94" s="28"/>
      <c r="D94" s="28"/>
      <c r="E94" s="28"/>
    </row>
    <row r="95" spans="1:15">
      <c r="C95" s="28"/>
      <c r="D95" s="28"/>
      <c r="E95" s="28"/>
    </row>
    <row r="96" spans="1:15">
      <c r="C96" s="28"/>
      <c r="D96" s="28"/>
      <c r="E96" s="28"/>
    </row>
    <row r="97" spans="3:5">
      <c r="C97" s="28"/>
      <c r="D97" s="28"/>
      <c r="E97" s="28"/>
    </row>
    <row r="98" spans="3:5">
      <c r="C98" s="28"/>
      <c r="D98" s="28"/>
      <c r="E98" s="28"/>
    </row>
  </sheetData>
  <sheetProtection password="CF66" sheet="1" objects="1" scenarios="1" insertColumns="0" insertRows="0"/>
  <mergeCells count="290">
    <mergeCell ref="A33:C33"/>
    <mergeCell ref="D33:E33"/>
    <mergeCell ref="F33:G33"/>
    <mergeCell ref="H33:I33"/>
    <mergeCell ref="J33:K33"/>
    <mergeCell ref="L33:M33"/>
    <mergeCell ref="D32:E32"/>
    <mergeCell ref="F32:G32"/>
    <mergeCell ref="H32:I32"/>
    <mergeCell ref="D79:F79"/>
    <mergeCell ref="G79:I79"/>
    <mergeCell ref="G80:I80"/>
    <mergeCell ref="A80:C80"/>
    <mergeCell ref="D80:F80"/>
    <mergeCell ref="A84:C84"/>
    <mergeCell ref="D84:F84"/>
    <mergeCell ref="G84:I84"/>
    <mergeCell ref="A81:C81"/>
    <mergeCell ref="D81:F81"/>
    <mergeCell ref="G81:I81"/>
    <mergeCell ref="J84:L84"/>
    <mergeCell ref="M83:O83"/>
    <mergeCell ref="J82:L82"/>
    <mergeCell ref="M84:O84"/>
    <mergeCell ref="M82:O82"/>
    <mergeCell ref="J81:L81"/>
    <mergeCell ref="J83:L83"/>
    <mergeCell ref="M81:O81"/>
    <mergeCell ref="A76:C76"/>
    <mergeCell ref="D76:F76"/>
    <mergeCell ref="G76:I76"/>
    <mergeCell ref="J76:L76"/>
    <mergeCell ref="J79:L79"/>
    <mergeCell ref="M79:O79"/>
    <mergeCell ref="M80:O80"/>
    <mergeCell ref="J80:L80"/>
    <mergeCell ref="A82:C82"/>
    <mergeCell ref="A83:C83"/>
    <mergeCell ref="G83:I83"/>
    <mergeCell ref="D83:F83"/>
    <mergeCell ref="A79:C79"/>
    <mergeCell ref="G82:I82"/>
    <mergeCell ref="A78:C78"/>
    <mergeCell ref="D82:F82"/>
    <mergeCell ref="K67:L67"/>
    <mergeCell ref="H68:J68"/>
    <mergeCell ref="M76:O76"/>
    <mergeCell ref="M77:O77"/>
    <mergeCell ref="G78:I78"/>
    <mergeCell ref="G77:I77"/>
    <mergeCell ref="J77:L77"/>
    <mergeCell ref="J74:L74"/>
    <mergeCell ref="K68:L68"/>
    <mergeCell ref="M68:O68"/>
    <mergeCell ref="K69:L69"/>
    <mergeCell ref="M69:O69"/>
    <mergeCell ref="M73:O73"/>
    <mergeCell ref="H69:J69"/>
    <mergeCell ref="G74:I74"/>
    <mergeCell ref="A71:O71"/>
    <mergeCell ref="A73:C73"/>
    <mergeCell ref="M75:O75"/>
    <mergeCell ref="A75:C75"/>
    <mergeCell ref="D75:F75"/>
    <mergeCell ref="J75:L75"/>
    <mergeCell ref="G75:I75"/>
    <mergeCell ref="M67:O67"/>
    <mergeCell ref="A77:C77"/>
    <mergeCell ref="D77:F77"/>
    <mergeCell ref="M78:O78"/>
    <mergeCell ref="J78:L78"/>
    <mergeCell ref="D78:F78"/>
    <mergeCell ref="D73:F73"/>
    <mergeCell ref="G73:I73"/>
    <mergeCell ref="J73:L73"/>
    <mergeCell ref="M74:O74"/>
    <mergeCell ref="A74:C74"/>
    <mergeCell ref="D74:F74"/>
    <mergeCell ref="B69:C69"/>
    <mergeCell ref="D69:E69"/>
    <mergeCell ref="F69:G69"/>
    <mergeCell ref="H67:J67"/>
    <mergeCell ref="B68:C68"/>
    <mergeCell ref="B67:C67"/>
    <mergeCell ref="D67:E67"/>
    <mergeCell ref="F67:G67"/>
    <mergeCell ref="D68:E68"/>
    <mergeCell ref="F68:G68"/>
    <mergeCell ref="M66:O66"/>
    <mergeCell ref="B65:C65"/>
    <mergeCell ref="F65:G65"/>
    <mergeCell ref="H65:J65"/>
    <mergeCell ref="B66:C66"/>
    <mergeCell ref="H66:J66"/>
    <mergeCell ref="K66:L66"/>
    <mergeCell ref="D65:E65"/>
    <mergeCell ref="D66:E66"/>
    <mergeCell ref="F66:G66"/>
    <mergeCell ref="M64:O64"/>
    <mergeCell ref="K65:L65"/>
    <mergeCell ref="M65:O65"/>
    <mergeCell ref="A62:O62"/>
    <mergeCell ref="B64:C64"/>
    <mergeCell ref="D64:E64"/>
    <mergeCell ref="F64:G64"/>
    <mergeCell ref="H64:J64"/>
    <mergeCell ref="K64:L64"/>
    <mergeCell ref="A30:K30"/>
    <mergeCell ref="N28:O28"/>
    <mergeCell ref="A51:J51"/>
    <mergeCell ref="B53:C53"/>
    <mergeCell ref="D53:F53"/>
    <mergeCell ref="F48:O48"/>
    <mergeCell ref="F49:O49"/>
    <mergeCell ref="G53:I53"/>
    <mergeCell ref="J53:L53"/>
    <mergeCell ref="M53:O53"/>
    <mergeCell ref="A53:A54"/>
    <mergeCell ref="B48:E48"/>
    <mergeCell ref="B49:E49"/>
    <mergeCell ref="J28:K28"/>
    <mergeCell ref="L28:M28"/>
    <mergeCell ref="A31:C31"/>
    <mergeCell ref="D31:E31"/>
    <mergeCell ref="F31:G31"/>
    <mergeCell ref="H31:I31"/>
    <mergeCell ref="J32:K32"/>
    <mergeCell ref="J31:K31"/>
    <mergeCell ref="L32:M32"/>
    <mergeCell ref="N32:O32"/>
    <mergeCell ref="N33:O33"/>
    <mergeCell ref="L25:M25"/>
    <mergeCell ref="J21:K21"/>
    <mergeCell ref="F47:O47"/>
    <mergeCell ref="B47:E47"/>
    <mergeCell ref="L10:M10"/>
    <mergeCell ref="L15:M15"/>
    <mergeCell ref="L14:M14"/>
    <mergeCell ref="J15:K15"/>
    <mergeCell ref="L19:M19"/>
    <mergeCell ref="H17:I17"/>
    <mergeCell ref="L18:M18"/>
    <mergeCell ref="L17:M17"/>
    <mergeCell ref="F21:G21"/>
    <mergeCell ref="H21:I21"/>
    <mergeCell ref="A21:C21"/>
    <mergeCell ref="D21:E21"/>
    <mergeCell ref="A29:C29"/>
    <mergeCell ref="A32:C32"/>
    <mergeCell ref="L22:M22"/>
    <mergeCell ref="F25:G25"/>
    <mergeCell ref="H25:I25"/>
    <mergeCell ref="A23:C23"/>
    <mergeCell ref="D23:E23"/>
    <mergeCell ref="N30:O30"/>
    <mergeCell ref="N24:O24"/>
    <mergeCell ref="A25:C25"/>
    <mergeCell ref="F45:O45"/>
    <mergeCell ref="B45:E45"/>
    <mergeCell ref="B46:E46"/>
    <mergeCell ref="F46:O46"/>
    <mergeCell ref="F20:G20"/>
    <mergeCell ref="H20:I20"/>
    <mergeCell ref="J24:K24"/>
    <mergeCell ref="B41:E41"/>
    <mergeCell ref="N23:O23"/>
    <mergeCell ref="A24:C24"/>
    <mergeCell ref="A27:C27"/>
    <mergeCell ref="D27:E27"/>
    <mergeCell ref="J29:K29"/>
    <mergeCell ref="L29:M29"/>
    <mergeCell ref="N29:O29"/>
    <mergeCell ref="H29:I29"/>
    <mergeCell ref="A28:C28"/>
    <mergeCell ref="D28:E28"/>
    <mergeCell ref="F28:G28"/>
    <mergeCell ref="H28:I28"/>
    <mergeCell ref="L20:M20"/>
    <mergeCell ref="D20:E20"/>
    <mergeCell ref="A19:C19"/>
    <mergeCell ref="F23:G23"/>
    <mergeCell ref="F44:O44"/>
    <mergeCell ref="B42:E42"/>
    <mergeCell ref="B44:E44"/>
    <mergeCell ref="B43:E43"/>
    <mergeCell ref="N15:O15"/>
    <mergeCell ref="L13:M13"/>
    <mergeCell ref="J27:K27"/>
    <mergeCell ref="A26:K26"/>
    <mergeCell ref="L16:M16"/>
    <mergeCell ref="N16:O16"/>
    <mergeCell ref="A37:O37"/>
    <mergeCell ref="F40:O40"/>
    <mergeCell ref="B40:E40"/>
    <mergeCell ref="F39:O39"/>
    <mergeCell ref="B39:E39"/>
    <mergeCell ref="F43:O43"/>
    <mergeCell ref="A35:O35"/>
    <mergeCell ref="N22:O22"/>
    <mergeCell ref="J25:K25"/>
    <mergeCell ref="D29:E29"/>
    <mergeCell ref="F29:G29"/>
    <mergeCell ref="L24:M24"/>
    <mergeCell ref="A17:C17"/>
    <mergeCell ref="D17:E17"/>
    <mergeCell ref="F42:O42"/>
    <mergeCell ref="N17:O17"/>
    <mergeCell ref="F41:O41"/>
    <mergeCell ref="F24:G24"/>
    <mergeCell ref="H24:I24"/>
    <mergeCell ref="J20:K20"/>
    <mergeCell ref="D12:E12"/>
    <mergeCell ref="N27:O27"/>
    <mergeCell ref="N31:O31"/>
    <mergeCell ref="L31:M31"/>
    <mergeCell ref="L30:M30"/>
    <mergeCell ref="L27:M27"/>
    <mergeCell ref="L26:M26"/>
    <mergeCell ref="F27:G27"/>
    <mergeCell ref="H27:I27"/>
    <mergeCell ref="D24:E24"/>
    <mergeCell ref="D25:E25"/>
    <mergeCell ref="J23:K23"/>
    <mergeCell ref="A18:K18"/>
    <mergeCell ref="A20:C20"/>
    <mergeCell ref="H23:I23"/>
    <mergeCell ref="J19:K19"/>
    <mergeCell ref="N20:O20"/>
    <mergeCell ref="N14:O14"/>
    <mergeCell ref="N13:O13"/>
    <mergeCell ref="D14:E14"/>
    <mergeCell ref="A14:C14"/>
    <mergeCell ref="F14:G14"/>
    <mergeCell ref="N26:O26"/>
    <mergeCell ref="N25:O25"/>
    <mergeCell ref="J17:K17"/>
    <mergeCell ref="F17:G17"/>
    <mergeCell ref="A13:C13"/>
    <mergeCell ref="A15:C15"/>
    <mergeCell ref="H16:I16"/>
    <mergeCell ref="H15:I15"/>
    <mergeCell ref="D15:E15"/>
    <mergeCell ref="N19:O19"/>
    <mergeCell ref="N21:O21"/>
    <mergeCell ref="L21:M21"/>
    <mergeCell ref="N18:O18"/>
    <mergeCell ref="D19:E19"/>
    <mergeCell ref="A22:K22"/>
    <mergeCell ref="F19:G19"/>
    <mergeCell ref="H19:I19"/>
    <mergeCell ref="L23:M23"/>
    <mergeCell ref="J10:K10"/>
    <mergeCell ref="D10:E10"/>
    <mergeCell ref="F10:G10"/>
    <mergeCell ref="L12:M12"/>
    <mergeCell ref="A11:K11"/>
    <mergeCell ref="F15:G15"/>
    <mergeCell ref="D16:E16"/>
    <mergeCell ref="F16:G16"/>
    <mergeCell ref="A16:C16"/>
    <mergeCell ref="J14:K14"/>
    <mergeCell ref="H14:I14"/>
    <mergeCell ref="J16:K16"/>
    <mergeCell ref="J13:K13"/>
    <mergeCell ref="H13:I13"/>
    <mergeCell ref="F13:G13"/>
    <mergeCell ref="A5:O5"/>
    <mergeCell ref="L9:M9"/>
    <mergeCell ref="D13:E13"/>
    <mergeCell ref="F12:G12"/>
    <mergeCell ref="A1:O1"/>
    <mergeCell ref="A2:O2"/>
    <mergeCell ref="A3:O3"/>
    <mergeCell ref="D9:E9"/>
    <mergeCell ref="F9:G9"/>
    <mergeCell ref="A9:C9"/>
    <mergeCell ref="N9:O9"/>
    <mergeCell ref="A4:O4"/>
    <mergeCell ref="A7:O7"/>
    <mergeCell ref="J9:K9"/>
    <mergeCell ref="H9:I9"/>
    <mergeCell ref="N12:O12"/>
    <mergeCell ref="H10:I10"/>
    <mergeCell ref="N10:O10"/>
    <mergeCell ref="N11:O11"/>
    <mergeCell ref="L11:M11"/>
    <mergeCell ref="H12:I12"/>
    <mergeCell ref="J12:K12"/>
    <mergeCell ref="A12:C12"/>
    <mergeCell ref="A10:C10"/>
  </mergeCells>
  <phoneticPr fontId="3" type="noConversion"/>
  <pageMargins left="1.1811023622047245" right="0.39370078740157483" top="0.78740157480314965" bottom="0.78740157480314965" header="0.27559055118110237" footer="0.15748031496062992"/>
  <pageSetup paperSize="9" scale="47" orientation="landscape" horizontalDpi="300" verticalDpi="300" r:id="rId1"/>
  <headerFooter alignWithMargins="0"/>
  <rowBreaks count="1" manualBreakCount="1">
    <brk id="49" max="14" man="1"/>
  </rowBreaks>
  <ignoredErrors>
    <ignoredError sqref="E60:M60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3:U233"/>
  <sheetViews>
    <sheetView windowProtection="1" topLeftCell="BV43" zoomScale="120" zoomScaleNormal="120" workbookViewId="0">
      <selection activeCell="A43" sqref="A1:BU1048576"/>
    </sheetView>
  </sheetViews>
  <sheetFormatPr defaultRowHeight="12.75"/>
  <cols>
    <col min="1" max="1" width="0" hidden="1" customWidth="1"/>
    <col min="2" max="2" width="34.5703125" hidden="1" customWidth="1"/>
    <col min="3" max="3" width="7.5703125" hidden="1" customWidth="1"/>
    <col min="4" max="9" width="0" hidden="1" customWidth="1"/>
    <col min="10" max="10" width="7.28515625" hidden="1" customWidth="1"/>
    <col min="11" max="11" width="0" hidden="1" customWidth="1"/>
    <col min="12" max="12" width="13" hidden="1" customWidth="1"/>
    <col min="13" max="13" width="13.42578125" hidden="1" customWidth="1"/>
    <col min="14" max="14" width="13.5703125" hidden="1" customWidth="1"/>
    <col min="15" max="15" width="13.7109375" hidden="1" customWidth="1"/>
    <col min="16" max="16" width="14.5703125" hidden="1" customWidth="1"/>
    <col min="17" max="17" width="13.140625" hidden="1" customWidth="1"/>
    <col min="18" max="20" width="13.28515625" hidden="1" customWidth="1"/>
    <col min="21" max="21" width="13.42578125" hidden="1" customWidth="1"/>
    <col min="22" max="73" width="0" hidden="1" customWidth="1"/>
  </cols>
  <sheetData>
    <row r="3" spans="2:21" ht="15.75">
      <c r="B3" s="230"/>
    </row>
    <row r="4" spans="2:21" ht="16.5" thickBot="1">
      <c r="B4" s="231"/>
      <c r="I4" t="s">
        <v>674</v>
      </c>
      <c r="K4">
        <v>27280.799999999999</v>
      </c>
      <c r="L4" t="s">
        <v>675</v>
      </c>
      <c r="M4">
        <v>36631.980000000003</v>
      </c>
    </row>
    <row r="5" spans="2:21" ht="61.5" customHeight="1">
      <c r="B5" s="405" t="s">
        <v>478</v>
      </c>
      <c r="C5" s="405" t="s">
        <v>479</v>
      </c>
      <c r="D5" s="405" t="s">
        <v>480</v>
      </c>
      <c r="E5" s="408" t="s">
        <v>481</v>
      </c>
      <c r="F5" s="409"/>
      <c r="G5" s="405" t="s">
        <v>483</v>
      </c>
    </row>
    <row r="6" spans="2:21" ht="16.5" thickBot="1">
      <c r="B6" s="406"/>
      <c r="C6" s="406"/>
      <c r="D6" s="406"/>
      <c r="E6" s="410" t="s">
        <v>482</v>
      </c>
      <c r="F6" s="411"/>
      <c r="G6" s="406"/>
    </row>
    <row r="7" spans="2:21" ht="32.25" thickBot="1">
      <c r="B7" s="407"/>
      <c r="C7" s="407"/>
      <c r="D7" s="407"/>
      <c r="E7" s="232" t="s">
        <v>484</v>
      </c>
      <c r="F7" s="232" t="s">
        <v>485</v>
      </c>
      <c r="G7" s="407"/>
      <c r="M7" t="s">
        <v>380</v>
      </c>
      <c r="N7" t="s">
        <v>646</v>
      </c>
      <c r="O7" t="s">
        <v>372</v>
      </c>
      <c r="P7" t="s">
        <v>646</v>
      </c>
      <c r="Q7" t="s">
        <v>373</v>
      </c>
      <c r="R7" t="s">
        <v>646</v>
      </c>
      <c r="S7" t="s">
        <v>87</v>
      </c>
      <c r="T7" t="s">
        <v>646</v>
      </c>
      <c r="U7" s="245" t="s">
        <v>647</v>
      </c>
    </row>
    <row r="8" spans="2:21" ht="16.5" thickBot="1">
      <c r="B8" s="233" t="s">
        <v>486</v>
      </c>
      <c r="C8" s="232">
        <v>1</v>
      </c>
      <c r="D8" s="232">
        <v>27280.799999999999</v>
      </c>
      <c r="E8" s="232"/>
      <c r="F8" s="232"/>
      <c r="G8" s="232">
        <f>D8</f>
        <v>27280.799999999999</v>
      </c>
      <c r="M8">
        <f>D8*C8*2+M4</f>
        <v>91193.58</v>
      </c>
      <c r="N8">
        <f>F8*C8*3</f>
        <v>0</v>
      </c>
      <c r="O8">
        <f>M8+M4*3</f>
        <v>201089.52000000002</v>
      </c>
      <c r="P8">
        <f>F8*6*C8</f>
        <v>0</v>
      </c>
      <c r="Q8">
        <f>O8+M4*3</f>
        <v>310985.46000000002</v>
      </c>
      <c r="R8">
        <f>F8*C8*9</f>
        <v>0</v>
      </c>
      <c r="S8">
        <f>Q8+M4*3</f>
        <v>420881.4</v>
      </c>
      <c r="T8">
        <f>F8*12*C8</f>
        <v>0</v>
      </c>
      <c r="U8" s="245">
        <f>S8+T8</f>
        <v>420881.4</v>
      </c>
    </row>
    <row r="9" spans="2:21" ht="48" thickBot="1">
      <c r="B9" s="234" t="s">
        <v>487</v>
      </c>
      <c r="C9" s="232">
        <v>1</v>
      </c>
      <c r="D9" s="232">
        <v>19188</v>
      </c>
      <c r="E9" s="232"/>
      <c r="F9" s="232"/>
      <c r="G9" s="235">
        <v>19188</v>
      </c>
      <c r="M9">
        <f t="shared" ref="M9:M72" si="0">D9*C9*3</f>
        <v>57564</v>
      </c>
      <c r="N9">
        <f t="shared" ref="N9:N72" si="1">F9*C9*3</f>
        <v>0</v>
      </c>
      <c r="O9">
        <f t="shared" ref="O9:O72" si="2">D9*6*C9</f>
        <v>115128</v>
      </c>
      <c r="P9">
        <f t="shared" ref="P9:P72" si="3">F9*6*C9</f>
        <v>0</v>
      </c>
      <c r="Q9">
        <f t="shared" ref="Q9:Q72" si="4">D9*C9*9</f>
        <v>172692</v>
      </c>
      <c r="R9">
        <f t="shared" ref="R9:R72" si="5">F9*C9*9</f>
        <v>0</v>
      </c>
      <c r="S9">
        <f t="shared" ref="S9:S72" si="6">D9*12*C9</f>
        <v>230256</v>
      </c>
      <c r="T9">
        <f t="shared" ref="T9:T72" si="7">F9*12*C9</f>
        <v>0</v>
      </c>
      <c r="U9" s="245">
        <f t="shared" ref="U9:U72" si="8">S9+T9</f>
        <v>230256</v>
      </c>
    </row>
    <row r="10" spans="2:21" ht="32.25" thickBot="1">
      <c r="B10" s="234" t="s">
        <v>488</v>
      </c>
      <c r="C10" s="232">
        <v>1</v>
      </c>
      <c r="D10" s="232">
        <v>19188</v>
      </c>
      <c r="E10" s="232"/>
      <c r="F10" s="232"/>
      <c r="G10" s="235">
        <v>19188</v>
      </c>
      <c r="M10">
        <f t="shared" si="0"/>
        <v>57564</v>
      </c>
      <c r="N10">
        <f t="shared" si="1"/>
        <v>0</v>
      </c>
      <c r="O10">
        <f t="shared" si="2"/>
        <v>115128</v>
      </c>
      <c r="P10">
        <f t="shared" si="3"/>
        <v>0</v>
      </c>
      <c r="Q10">
        <f t="shared" si="4"/>
        <v>172692</v>
      </c>
      <c r="R10">
        <f t="shared" si="5"/>
        <v>0</v>
      </c>
      <c r="S10">
        <f t="shared" si="6"/>
        <v>230256</v>
      </c>
      <c r="T10">
        <f t="shared" si="7"/>
        <v>0</v>
      </c>
      <c r="U10" s="245">
        <f t="shared" si="8"/>
        <v>230256</v>
      </c>
    </row>
    <row r="11" spans="2:21" ht="16.5" thickBot="1">
      <c r="B11" s="233" t="s">
        <v>489</v>
      </c>
      <c r="C11" s="232">
        <v>1</v>
      </c>
      <c r="D11" s="232">
        <v>19188</v>
      </c>
      <c r="E11" s="232"/>
      <c r="F11" s="232"/>
      <c r="G11" s="235">
        <v>19188</v>
      </c>
      <c r="M11">
        <f t="shared" si="0"/>
        <v>57564</v>
      </c>
      <c r="N11">
        <f t="shared" si="1"/>
        <v>0</v>
      </c>
      <c r="O11">
        <f t="shared" si="2"/>
        <v>115128</v>
      </c>
      <c r="P11">
        <f t="shared" si="3"/>
        <v>0</v>
      </c>
      <c r="Q11">
        <f t="shared" si="4"/>
        <v>172692</v>
      </c>
      <c r="R11">
        <f t="shared" si="5"/>
        <v>0</v>
      </c>
      <c r="S11">
        <f t="shared" si="6"/>
        <v>230256</v>
      </c>
      <c r="T11">
        <f t="shared" si="7"/>
        <v>0</v>
      </c>
      <c r="U11" s="245">
        <f t="shared" si="8"/>
        <v>230256</v>
      </c>
    </row>
    <row r="12" spans="2:21" ht="16.5" thickBot="1">
      <c r="B12" s="233" t="s">
        <v>490</v>
      </c>
      <c r="C12" s="232">
        <v>1</v>
      </c>
      <c r="D12" s="232">
        <v>11513</v>
      </c>
      <c r="E12" s="232"/>
      <c r="F12" s="232"/>
      <c r="G12" s="235">
        <v>11513</v>
      </c>
      <c r="M12">
        <f t="shared" si="0"/>
        <v>34539</v>
      </c>
      <c r="N12">
        <f t="shared" si="1"/>
        <v>0</v>
      </c>
      <c r="O12">
        <f t="shared" si="2"/>
        <v>69078</v>
      </c>
      <c r="P12">
        <f t="shared" si="3"/>
        <v>0</v>
      </c>
      <c r="Q12">
        <f t="shared" si="4"/>
        <v>103617</v>
      </c>
      <c r="R12">
        <f t="shared" si="5"/>
        <v>0</v>
      </c>
      <c r="S12">
        <f t="shared" si="6"/>
        <v>138156</v>
      </c>
      <c r="T12">
        <f t="shared" si="7"/>
        <v>0</v>
      </c>
      <c r="U12" s="245">
        <f t="shared" si="8"/>
        <v>138156</v>
      </c>
    </row>
    <row r="13" spans="2:21" ht="32.25" thickBot="1">
      <c r="B13" s="234" t="s">
        <v>491</v>
      </c>
      <c r="C13" s="232">
        <v>1</v>
      </c>
      <c r="D13" s="232">
        <v>8722</v>
      </c>
      <c r="E13" s="232"/>
      <c r="F13" s="232"/>
      <c r="G13" s="235">
        <v>8722</v>
      </c>
      <c r="M13">
        <f t="shared" si="0"/>
        <v>26166</v>
      </c>
      <c r="N13">
        <f t="shared" si="1"/>
        <v>0</v>
      </c>
      <c r="O13">
        <f t="shared" si="2"/>
        <v>52332</v>
      </c>
      <c r="P13">
        <f t="shared" si="3"/>
        <v>0</v>
      </c>
      <c r="Q13">
        <f t="shared" si="4"/>
        <v>78498</v>
      </c>
      <c r="R13">
        <f t="shared" si="5"/>
        <v>0</v>
      </c>
      <c r="S13">
        <f t="shared" si="6"/>
        <v>104664</v>
      </c>
      <c r="T13">
        <f t="shared" si="7"/>
        <v>0</v>
      </c>
      <c r="U13" s="245">
        <f t="shared" si="8"/>
        <v>104664</v>
      </c>
    </row>
    <row r="14" spans="2:21" ht="32.25" thickBot="1">
      <c r="B14" s="234" t="s">
        <v>492</v>
      </c>
      <c r="C14" s="232">
        <v>1</v>
      </c>
      <c r="D14" s="232">
        <v>7326</v>
      </c>
      <c r="E14" s="232"/>
      <c r="F14" s="232"/>
      <c r="G14" s="235">
        <v>7326</v>
      </c>
      <c r="M14">
        <f t="shared" si="0"/>
        <v>21978</v>
      </c>
      <c r="N14">
        <f t="shared" si="1"/>
        <v>0</v>
      </c>
      <c r="O14">
        <f t="shared" si="2"/>
        <v>43956</v>
      </c>
      <c r="P14">
        <f t="shared" si="3"/>
        <v>0</v>
      </c>
      <c r="Q14">
        <f t="shared" si="4"/>
        <v>65934</v>
      </c>
      <c r="R14">
        <f t="shared" si="5"/>
        <v>0</v>
      </c>
      <c r="S14">
        <f t="shared" si="6"/>
        <v>87912</v>
      </c>
      <c r="T14">
        <f t="shared" si="7"/>
        <v>0</v>
      </c>
      <c r="U14" s="245">
        <f t="shared" si="8"/>
        <v>87912</v>
      </c>
    </row>
    <row r="15" spans="2:21" ht="16.5" thickBot="1">
      <c r="B15" s="233" t="s">
        <v>493</v>
      </c>
      <c r="C15" s="232">
        <v>1</v>
      </c>
      <c r="D15" s="232">
        <v>5233</v>
      </c>
      <c r="E15" s="232"/>
      <c r="F15" s="232"/>
      <c r="G15" s="235">
        <v>5233</v>
      </c>
      <c r="M15">
        <f t="shared" si="0"/>
        <v>15699</v>
      </c>
      <c r="N15">
        <f t="shared" si="1"/>
        <v>0</v>
      </c>
      <c r="O15">
        <f t="shared" si="2"/>
        <v>31398</v>
      </c>
      <c r="P15">
        <f t="shared" si="3"/>
        <v>0</v>
      </c>
      <c r="Q15">
        <f t="shared" si="4"/>
        <v>47097</v>
      </c>
      <c r="R15">
        <f t="shared" si="5"/>
        <v>0</v>
      </c>
      <c r="S15">
        <f t="shared" si="6"/>
        <v>62796</v>
      </c>
      <c r="T15">
        <f t="shared" si="7"/>
        <v>0</v>
      </c>
      <c r="U15" s="245">
        <f t="shared" si="8"/>
        <v>62796</v>
      </c>
    </row>
    <row r="16" spans="2:21" ht="32.25" thickBot="1">
      <c r="B16" s="233" t="s">
        <v>494</v>
      </c>
      <c r="C16" s="232">
        <v>1</v>
      </c>
      <c r="D16" s="232">
        <v>3066</v>
      </c>
      <c r="E16" s="232">
        <v>12</v>
      </c>
      <c r="F16" s="232">
        <v>368</v>
      </c>
      <c r="G16" s="235">
        <v>4090</v>
      </c>
      <c r="M16">
        <f t="shared" si="0"/>
        <v>9198</v>
      </c>
      <c r="N16">
        <f>F16*C16*3</f>
        <v>1104</v>
      </c>
      <c r="O16">
        <f t="shared" si="2"/>
        <v>18396</v>
      </c>
      <c r="P16">
        <f t="shared" si="3"/>
        <v>2208</v>
      </c>
      <c r="Q16">
        <f t="shared" si="4"/>
        <v>27594</v>
      </c>
      <c r="R16">
        <f t="shared" si="5"/>
        <v>3312</v>
      </c>
      <c r="S16">
        <f t="shared" si="6"/>
        <v>36792</v>
      </c>
      <c r="T16">
        <f t="shared" si="7"/>
        <v>4416</v>
      </c>
      <c r="U16" s="245">
        <f t="shared" si="8"/>
        <v>41208</v>
      </c>
    </row>
    <row r="17" spans="2:21" ht="16.5" thickBot="1">
      <c r="B17" s="233" t="s">
        <v>495</v>
      </c>
      <c r="C17" s="232">
        <v>9</v>
      </c>
      <c r="D17" s="232"/>
      <c r="E17" s="232"/>
      <c r="F17" s="232"/>
      <c r="G17" s="235">
        <v>94448</v>
      </c>
      <c r="M17">
        <f t="shared" si="0"/>
        <v>0</v>
      </c>
      <c r="N17">
        <f t="shared" si="1"/>
        <v>0</v>
      </c>
      <c r="O17">
        <f t="shared" si="2"/>
        <v>0</v>
      </c>
      <c r="P17">
        <f t="shared" si="3"/>
        <v>0</v>
      </c>
      <c r="Q17">
        <f t="shared" si="4"/>
        <v>0</v>
      </c>
      <c r="R17">
        <f t="shared" si="5"/>
        <v>0</v>
      </c>
      <c r="S17">
        <f t="shared" si="6"/>
        <v>0</v>
      </c>
      <c r="T17">
        <f t="shared" si="7"/>
        <v>0</v>
      </c>
      <c r="U17" s="245">
        <f t="shared" si="8"/>
        <v>0</v>
      </c>
    </row>
    <row r="18" spans="2:21" ht="16.5" thickBot="1">
      <c r="B18" s="236" t="s">
        <v>496</v>
      </c>
      <c r="M18">
        <f t="shared" si="0"/>
        <v>0</v>
      </c>
      <c r="N18">
        <f t="shared" si="1"/>
        <v>0</v>
      </c>
      <c r="O18">
        <f t="shared" si="2"/>
        <v>0</v>
      </c>
      <c r="P18">
        <f t="shared" si="3"/>
        <v>0</v>
      </c>
      <c r="Q18">
        <f t="shared" si="4"/>
        <v>0</v>
      </c>
      <c r="R18">
        <f t="shared" si="5"/>
        <v>0</v>
      </c>
      <c r="S18">
        <f t="shared" si="6"/>
        <v>0</v>
      </c>
      <c r="T18">
        <f t="shared" si="7"/>
        <v>0</v>
      </c>
      <c r="U18" s="245">
        <f t="shared" si="8"/>
        <v>0</v>
      </c>
    </row>
    <row r="19" spans="2:21" ht="16.5" thickBot="1">
      <c r="B19" s="237" t="s">
        <v>497</v>
      </c>
      <c r="C19" s="238">
        <v>1</v>
      </c>
      <c r="D19" s="238">
        <v>11000</v>
      </c>
      <c r="E19" s="238"/>
      <c r="F19" s="238"/>
      <c r="G19" s="238">
        <v>11000</v>
      </c>
      <c r="M19">
        <f t="shared" si="0"/>
        <v>33000</v>
      </c>
      <c r="N19">
        <f t="shared" si="1"/>
        <v>0</v>
      </c>
      <c r="O19">
        <f t="shared" si="2"/>
        <v>66000</v>
      </c>
      <c r="P19">
        <f t="shared" si="3"/>
        <v>0</v>
      </c>
      <c r="Q19">
        <f t="shared" si="4"/>
        <v>99000</v>
      </c>
      <c r="R19">
        <f t="shared" si="5"/>
        <v>0</v>
      </c>
      <c r="S19">
        <f t="shared" si="6"/>
        <v>132000</v>
      </c>
      <c r="T19">
        <f t="shared" si="7"/>
        <v>0</v>
      </c>
      <c r="U19" s="245">
        <f t="shared" si="8"/>
        <v>132000</v>
      </c>
    </row>
    <row r="20" spans="2:21" ht="16.5" thickBot="1">
      <c r="B20" s="233" t="s">
        <v>498</v>
      </c>
      <c r="C20" s="232">
        <v>1</v>
      </c>
      <c r="D20" s="232">
        <v>7000</v>
      </c>
      <c r="E20" s="232"/>
      <c r="F20" s="232"/>
      <c r="G20" s="232">
        <v>7000</v>
      </c>
      <c r="M20">
        <f t="shared" si="0"/>
        <v>21000</v>
      </c>
      <c r="N20">
        <f t="shared" si="1"/>
        <v>0</v>
      </c>
      <c r="O20">
        <f t="shared" si="2"/>
        <v>42000</v>
      </c>
      <c r="P20">
        <f t="shared" si="3"/>
        <v>0</v>
      </c>
      <c r="Q20">
        <f t="shared" si="4"/>
        <v>63000</v>
      </c>
      <c r="R20">
        <f t="shared" si="5"/>
        <v>0</v>
      </c>
      <c r="S20">
        <f t="shared" si="6"/>
        <v>84000</v>
      </c>
      <c r="T20">
        <f t="shared" si="7"/>
        <v>0</v>
      </c>
      <c r="U20" s="245">
        <f t="shared" si="8"/>
        <v>84000</v>
      </c>
    </row>
    <row r="21" spans="2:21" ht="16.5" thickBot="1">
      <c r="B21" s="233" t="s">
        <v>495</v>
      </c>
      <c r="C21" s="232">
        <v>2</v>
      </c>
      <c r="D21" s="232"/>
      <c r="E21" s="232"/>
      <c r="F21" s="232"/>
      <c r="G21" s="232">
        <v>18000</v>
      </c>
      <c r="M21">
        <f t="shared" si="0"/>
        <v>0</v>
      </c>
      <c r="N21">
        <f t="shared" si="1"/>
        <v>0</v>
      </c>
      <c r="O21">
        <f t="shared" si="2"/>
        <v>0</v>
      </c>
      <c r="P21">
        <f t="shared" si="3"/>
        <v>0</v>
      </c>
      <c r="Q21">
        <f t="shared" si="4"/>
        <v>0</v>
      </c>
      <c r="R21">
        <f t="shared" si="5"/>
        <v>0</v>
      </c>
      <c r="S21">
        <f t="shared" si="6"/>
        <v>0</v>
      </c>
      <c r="T21">
        <f t="shared" si="7"/>
        <v>0</v>
      </c>
      <c r="U21" s="245">
        <f t="shared" si="8"/>
        <v>0</v>
      </c>
    </row>
    <row r="22" spans="2:21" ht="32.25" thickBot="1">
      <c r="B22" s="236" t="s">
        <v>499</v>
      </c>
      <c r="M22">
        <f t="shared" si="0"/>
        <v>0</v>
      </c>
      <c r="N22">
        <f t="shared" si="1"/>
        <v>0</v>
      </c>
      <c r="O22">
        <f t="shared" si="2"/>
        <v>0</v>
      </c>
      <c r="P22">
        <f t="shared" si="3"/>
        <v>0</v>
      </c>
      <c r="Q22">
        <f t="shared" si="4"/>
        <v>0</v>
      </c>
      <c r="R22">
        <f t="shared" si="5"/>
        <v>0</v>
      </c>
      <c r="S22">
        <f t="shared" si="6"/>
        <v>0</v>
      </c>
      <c r="T22">
        <f t="shared" si="7"/>
        <v>0</v>
      </c>
      <c r="U22" s="245">
        <f t="shared" si="8"/>
        <v>0</v>
      </c>
    </row>
    <row r="23" spans="2:21" ht="16.5" thickBot="1">
      <c r="B23" s="237" t="s">
        <v>500</v>
      </c>
      <c r="C23" s="238">
        <v>1</v>
      </c>
      <c r="D23" s="238">
        <v>11000</v>
      </c>
      <c r="E23" s="239"/>
      <c r="F23" s="239"/>
      <c r="G23" s="238">
        <v>11000</v>
      </c>
      <c r="M23">
        <f t="shared" si="0"/>
        <v>33000</v>
      </c>
      <c r="N23">
        <f t="shared" si="1"/>
        <v>0</v>
      </c>
      <c r="O23">
        <f t="shared" si="2"/>
        <v>66000</v>
      </c>
      <c r="P23">
        <f t="shared" si="3"/>
        <v>0</v>
      </c>
      <c r="Q23">
        <f t="shared" si="4"/>
        <v>99000</v>
      </c>
      <c r="R23">
        <f t="shared" si="5"/>
        <v>0</v>
      </c>
      <c r="S23">
        <f t="shared" si="6"/>
        <v>132000</v>
      </c>
      <c r="T23">
        <f t="shared" si="7"/>
        <v>0</v>
      </c>
      <c r="U23" s="245">
        <f t="shared" si="8"/>
        <v>132000</v>
      </c>
    </row>
    <row r="24" spans="2:21" ht="16.5" thickBot="1">
      <c r="B24" s="233" t="s">
        <v>501</v>
      </c>
      <c r="C24" s="232">
        <v>1</v>
      </c>
      <c r="D24" s="232">
        <v>7675</v>
      </c>
      <c r="E24" s="232"/>
      <c r="F24" s="232"/>
      <c r="G24" s="232">
        <v>7675</v>
      </c>
      <c r="M24">
        <f t="shared" si="0"/>
        <v>23025</v>
      </c>
      <c r="N24">
        <f t="shared" si="1"/>
        <v>0</v>
      </c>
      <c r="O24">
        <f t="shared" si="2"/>
        <v>46050</v>
      </c>
      <c r="P24">
        <f t="shared" si="3"/>
        <v>0</v>
      </c>
      <c r="Q24">
        <f t="shared" si="4"/>
        <v>69075</v>
      </c>
      <c r="R24">
        <f t="shared" si="5"/>
        <v>0</v>
      </c>
      <c r="S24">
        <f t="shared" si="6"/>
        <v>92100</v>
      </c>
      <c r="T24">
        <f t="shared" si="7"/>
        <v>0</v>
      </c>
      <c r="U24" s="245">
        <f t="shared" si="8"/>
        <v>92100</v>
      </c>
    </row>
    <row r="25" spans="2:21" ht="48" thickBot="1">
      <c r="B25" s="233" t="s">
        <v>502</v>
      </c>
      <c r="C25" s="232">
        <v>1</v>
      </c>
      <c r="D25" s="232">
        <v>5233</v>
      </c>
      <c r="E25" s="232"/>
      <c r="F25" s="232"/>
      <c r="G25" s="232">
        <v>5233</v>
      </c>
      <c r="M25">
        <f t="shared" si="0"/>
        <v>15699</v>
      </c>
      <c r="N25">
        <f t="shared" si="1"/>
        <v>0</v>
      </c>
      <c r="O25">
        <f t="shared" si="2"/>
        <v>31398</v>
      </c>
      <c r="P25">
        <f t="shared" si="3"/>
        <v>0</v>
      </c>
      <c r="Q25">
        <f t="shared" si="4"/>
        <v>47097</v>
      </c>
      <c r="R25">
        <f t="shared" si="5"/>
        <v>0</v>
      </c>
      <c r="S25">
        <f t="shared" si="6"/>
        <v>62796</v>
      </c>
      <c r="T25">
        <f t="shared" si="7"/>
        <v>0</v>
      </c>
      <c r="U25" s="245">
        <f t="shared" si="8"/>
        <v>62796</v>
      </c>
    </row>
    <row r="26" spans="2:21" ht="16.5" thickBot="1">
      <c r="B26" s="233" t="s">
        <v>503</v>
      </c>
      <c r="C26" s="232">
        <v>1</v>
      </c>
      <c r="D26" s="232">
        <v>8500</v>
      </c>
      <c r="E26" s="232"/>
      <c r="F26" s="232"/>
      <c r="G26" s="232">
        <v>8500</v>
      </c>
      <c r="M26">
        <f t="shared" si="0"/>
        <v>25500</v>
      </c>
      <c r="N26">
        <f t="shared" si="1"/>
        <v>0</v>
      </c>
      <c r="O26">
        <f t="shared" si="2"/>
        <v>51000</v>
      </c>
      <c r="P26">
        <f t="shared" si="3"/>
        <v>0</v>
      </c>
      <c r="Q26">
        <f t="shared" si="4"/>
        <v>76500</v>
      </c>
      <c r="R26">
        <f t="shared" si="5"/>
        <v>0</v>
      </c>
      <c r="S26">
        <f t="shared" si="6"/>
        <v>102000</v>
      </c>
      <c r="T26">
        <f t="shared" si="7"/>
        <v>0</v>
      </c>
      <c r="U26" s="245">
        <f t="shared" si="8"/>
        <v>102000</v>
      </c>
    </row>
    <row r="27" spans="2:21" ht="16.5" thickBot="1">
      <c r="B27" s="233" t="s">
        <v>495</v>
      </c>
      <c r="C27" s="232">
        <v>4</v>
      </c>
      <c r="D27" s="232"/>
      <c r="E27" s="232"/>
      <c r="F27" s="232"/>
      <c r="G27" s="232">
        <v>32408</v>
      </c>
      <c r="M27">
        <f t="shared" si="0"/>
        <v>0</v>
      </c>
      <c r="N27">
        <f t="shared" si="1"/>
        <v>0</v>
      </c>
      <c r="O27">
        <f t="shared" si="2"/>
        <v>0</v>
      </c>
      <c r="P27">
        <f t="shared" si="3"/>
        <v>0</v>
      </c>
      <c r="Q27">
        <f t="shared" si="4"/>
        <v>0</v>
      </c>
      <c r="R27">
        <f t="shared" si="5"/>
        <v>0</v>
      </c>
      <c r="S27">
        <f t="shared" si="6"/>
        <v>0</v>
      </c>
      <c r="T27">
        <f t="shared" si="7"/>
        <v>0</v>
      </c>
      <c r="U27" s="245">
        <f t="shared" si="8"/>
        <v>0</v>
      </c>
    </row>
    <row r="28" spans="2:21" ht="32.25" thickBot="1">
      <c r="B28" s="231" t="s">
        <v>504</v>
      </c>
      <c r="M28">
        <f t="shared" si="0"/>
        <v>0</v>
      </c>
      <c r="N28">
        <f t="shared" si="1"/>
        <v>0</v>
      </c>
      <c r="O28">
        <f t="shared" si="2"/>
        <v>0</v>
      </c>
      <c r="P28">
        <f t="shared" si="3"/>
        <v>0</v>
      </c>
      <c r="Q28">
        <f t="shared" si="4"/>
        <v>0</v>
      </c>
      <c r="R28">
        <f t="shared" si="5"/>
        <v>0</v>
      </c>
      <c r="S28">
        <f t="shared" si="6"/>
        <v>0</v>
      </c>
      <c r="T28">
        <f t="shared" si="7"/>
        <v>0</v>
      </c>
      <c r="U28" s="245">
        <f t="shared" si="8"/>
        <v>0</v>
      </c>
    </row>
    <row r="29" spans="2:21" ht="16.5" thickBot="1">
      <c r="B29" s="237" t="s">
        <v>500</v>
      </c>
      <c r="C29" s="238">
        <v>1</v>
      </c>
      <c r="D29" s="238">
        <v>11000</v>
      </c>
      <c r="E29" s="238"/>
      <c r="F29" s="238"/>
      <c r="G29" s="238">
        <v>11000</v>
      </c>
      <c r="M29">
        <f t="shared" si="0"/>
        <v>33000</v>
      </c>
      <c r="N29">
        <f t="shared" si="1"/>
        <v>0</v>
      </c>
      <c r="O29">
        <f t="shared" si="2"/>
        <v>66000</v>
      </c>
      <c r="P29">
        <f t="shared" si="3"/>
        <v>0</v>
      </c>
      <c r="Q29">
        <f t="shared" si="4"/>
        <v>99000</v>
      </c>
      <c r="R29">
        <f t="shared" si="5"/>
        <v>0</v>
      </c>
      <c r="S29">
        <f t="shared" si="6"/>
        <v>132000</v>
      </c>
      <c r="T29">
        <f t="shared" si="7"/>
        <v>0</v>
      </c>
      <c r="U29" s="245">
        <f t="shared" si="8"/>
        <v>132000</v>
      </c>
    </row>
    <row r="30" spans="2:21" ht="32.25" thickBot="1">
      <c r="B30" s="234" t="s">
        <v>505</v>
      </c>
      <c r="C30" s="232">
        <v>1</v>
      </c>
      <c r="D30" s="232">
        <v>9943</v>
      </c>
      <c r="E30" s="232"/>
      <c r="F30" s="232"/>
      <c r="G30" s="232">
        <v>9943</v>
      </c>
      <c r="M30">
        <f t="shared" si="0"/>
        <v>29829</v>
      </c>
      <c r="N30">
        <f t="shared" si="1"/>
        <v>0</v>
      </c>
      <c r="O30">
        <f t="shared" si="2"/>
        <v>59658</v>
      </c>
      <c r="P30">
        <f t="shared" si="3"/>
        <v>0</v>
      </c>
      <c r="Q30">
        <f t="shared" si="4"/>
        <v>89487</v>
      </c>
      <c r="R30">
        <f t="shared" si="5"/>
        <v>0</v>
      </c>
      <c r="S30">
        <f t="shared" si="6"/>
        <v>119316</v>
      </c>
      <c r="T30">
        <f t="shared" si="7"/>
        <v>0</v>
      </c>
      <c r="U30" s="245">
        <f t="shared" si="8"/>
        <v>119316</v>
      </c>
    </row>
    <row r="31" spans="2:21" ht="16.5" thickBot="1">
      <c r="B31" s="233" t="s">
        <v>495</v>
      </c>
      <c r="C31" s="232">
        <v>2</v>
      </c>
      <c r="D31" s="232"/>
      <c r="E31" s="232"/>
      <c r="F31" s="232"/>
      <c r="G31" s="232">
        <v>20943</v>
      </c>
      <c r="M31">
        <f t="shared" si="0"/>
        <v>0</v>
      </c>
      <c r="N31">
        <f t="shared" si="1"/>
        <v>0</v>
      </c>
      <c r="O31">
        <f t="shared" si="2"/>
        <v>0</v>
      </c>
      <c r="P31">
        <f t="shared" si="3"/>
        <v>0</v>
      </c>
      <c r="Q31">
        <f t="shared" si="4"/>
        <v>0</v>
      </c>
      <c r="R31">
        <f t="shared" si="5"/>
        <v>0</v>
      </c>
      <c r="S31">
        <f t="shared" si="6"/>
        <v>0</v>
      </c>
      <c r="T31">
        <f t="shared" si="7"/>
        <v>0</v>
      </c>
      <c r="U31" s="245">
        <f t="shared" si="8"/>
        <v>0</v>
      </c>
    </row>
    <row r="32" spans="2:21" ht="16.5" thickBot="1">
      <c r="B32" s="236" t="s">
        <v>506</v>
      </c>
      <c r="M32">
        <f t="shared" si="0"/>
        <v>0</v>
      </c>
      <c r="N32">
        <f t="shared" si="1"/>
        <v>0</v>
      </c>
      <c r="O32">
        <f t="shared" si="2"/>
        <v>0</v>
      </c>
      <c r="P32">
        <f t="shared" si="3"/>
        <v>0</v>
      </c>
      <c r="Q32">
        <f t="shared" si="4"/>
        <v>0</v>
      </c>
      <c r="R32">
        <f t="shared" si="5"/>
        <v>0</v>
      </c>
      <c r="S32">
        <f t="shared" si="6"/>
        <v>0</v>
      </c>
      <c r="T32">
        <f t="shared" si="7"/>
        <v>0</v>
      </c>
      <c r="U32" s="245">
        <f t="shared" si="8"/>
        <v>0</v>
      </c>
    </row>
    <row r="33" spans="2:21" ht="16.5" thickBot="1">
      <c r="B33" s="237" t="s">
        <v>500</v>
      </c>
      <c r="C33" s="238">
        <v>1</v>
      </c>
      <c r="D33" s="238">
        <v>11000</v>
      </c>
      <c r="E33" s="238"/>
      <c r="F33" s="238"/>
      <c r="G33" s="238">
        <v>11000</v>
      </c>
      <c r="M33">
        <f t="shared" si="0"/>
        <v>33000</v>
      </c>
      <c r="N33">
        <f t="shared" si="1"/>
        <v>0</v>
      </c>
      <c r="O33">
        <f t="shared" si="2"/>
        <v>66000</v>
      </c>
      <c r="P33">
        <f t="shared" si="3"/>
        <v>0</v>
      </c>
      <c r="Q33">
        <f t="shared" si="4"/>
        <v>99000</v>
      </c>
      <c r="R33">
        <f t="shared" si="5"/>
        <v>0</v>
      </c>
      <c r="S33">
        <f t="shared" si="6"/>
        <v>132000</v>
      </c>
      <c r="T33">
        <f t="shared" si="7"/>
        <v>0</v>
      </c>
      <c r="U33" s="245">
        <f t="shared" si="8"/>
        <v>132000</v>
      </c>
    </row>
    <row r="34" spans="2:21" ht="16.5" thickBot="1">
      <c r="B34" s="233" t="s">
        <v>507</v>
      </c>
      <c r="C34" s="232">
        <v>1</v>
      </c>
      <c r="D34" s="232">
        <v>8500</v>
      </c>
      <c r="E34" s="232"/>
      <c r="F34" s="232"/>
      <c r="G34" s="232">
        <v>8500</v>
      </c>
      <c r="M34">
        <f t="shared" si="0"/>
        <v>25500</v>
      </c>
      <c r="N34">
        <f t="shared" si="1"/>
        <v>0</v>
      </c>
      <c r="O34">
        <f t="shared" si="2"/>
        <v>51000</v>
      </c>
      <c r="P34">
        <f t="shared" si="3"/>
        <v>0</v>
      </c>
      <c r="Q34">
        <f t="shared" si="4"/>
        <v>76500</v>
      </c>
      <c r="R34">
        <f t="shared" si="5"/>
        <v>0</v>
      </c>
      <c r="S34">
        <f t="shared" si="6"/>
        <v>102000</v>
      </c>
      <c r="T34">
        <f t="shared" si="7"/>
        <v>0</v>
      </c>
      <c r="U34" s="245">
        <f t="shared" si="8"/>
        <v>102000</v>
      </c>
    </row>
    <row r="35" spans="2:21" ht="16.5" thickBot="1">
      <c r="B35" s="233" t="s">
        <v>508</v>
      </c>
      <c r="C35" s="232">
        <v>3</v>
      </c>
      <c r="D35" s="232">
        <v>7802</v>
      </c>
      <c r="E35" s="232"/>
      <c r="F35" s="232"/>
      <c r="G35" s="232">
        <v>23406</v>
      </c>
      <c r="M35">
        <f t="shared" si="0"/>
        <v>70218</v>
      </c>
      <c r="N35">
        <f t="shared" si="1"/>
        <v>0</v>
      </c>
      <c r="O35">
        <f t="shared" si="2"/>
        <v>140436</v>
      </c>
      <c r="P35">
        <f t="shared" si="3"/>
        <v>0</v>
      </c>
      <c r="Q35">
        <f t="shared" si="4"/>
        <v>210654</v>
      </c>
      <c r="R35">
        <f t="shared" si="5"/>
        <v>0</v>
      </c>
      <c r="S35">
        <f t="shared" si="6"/>
        <v>280872</v>
      </c>
      <c r="T35">
        <f t="shared" si="7"/>
        <v>0</v>
      </c>
      <c r="U35" s="245">
        <f t="shared" si="8"/>
        <v>280872</v>
      </c>
    </row>
    <row r="36" spans="2:21" ht="16.5" thickBot="1">
      <c r="B36" s="234" t="s">
        <v>509</v>
      </c>
      <c r="C36" s="232">
        <v>1</v>
      </c>
      <c r="D36" s="232">
        <v>7802</v>
      </c>
      <c r="E36" s="232"/>
      <c r="F36" s="232"/>
      <c r="G36" s="232">
        <v>7802</v>
      </c>
      <c r="M36">
        <f t="shared" si="0"/>
        <v>23406</v>
      </c>
      <c r="N36">
        <f t="shared" si="1"/>
        <v>0</v>
      </c>
      <c r="O36">
        <f t="shared" si="2"/>
        <v>46812</v>
      </c>
      <c r="P36">
        <f t="shared" si="3"/>
        <v>0</v>
      </c>
      <c r="Q36">
        <f t="shared" si="4"/>
        <v>70218</v>
      </c>
      <c r="R36">
        <f t="shared" si="5"/>
        <v>0</v>
      </c>
      <c r="S36">
        <f t="shared" si="6"/>
        <v>93624</v>
      </c>
      <c r="T36">
        <f t="shared" si="7"/>
        <v>0</v>
      </c>
      <c r="U36" s="245">
        <f t="shared" si="8"/>
        <v>93624</v>
      </c>
    </row>
    <row r="37" spans="2:21" ht="16.5" thickBot="1">
      <c r="B37" s="233" t="s">
        <v>495</v>
      </c>
      <c r="C37" s="232">
        <v>6</v>
      </c>
      <c r="D37" s="232"/>
      <c r="E37" s="232"/>
      <c r="F37" s="232"/>
      <c r="G37" s="232">
        <v>50708</v>
      </c>
      <c r="M37">
        <f t="shared" si="0"/>
        <v>0</v>
      </c>
      <c r="N37">
        <f t="shared" si="1"/>
        <v>0</v>
      </c>
      <c r="O37">
        <f t="shared" si="2"/>
        <v>0</v>
      </c>
      <c r="P37">
        <f t="shared" si="3"/>
        <v>0</v>
      </c>
      <c r="Q37">
        <f t="shared" si="4"/>
        <v>0</v>
      </c>
      <c r="R37">
        <f t="shared" si="5"/>
        <v>0</v>
      </c>
      <c r="S37">
        <f t="shared" si="6"/>
        <v>0</v>
      </c>
      <c r="T37">
        <f t="shared" si="7"/>
        <v>0</v>
      </c>
      <c r="U37" s="245">
        <f t="shared" si="8"/>
        <v>0</v>
      </c>
    </row>
    <row r="38" spans="2:21" ht="16.5" thickBot="1">
      <c r="B38" s="236" t="s">
        <v>510</v>
      </c>
      <c r="M38">
        <f t="shared" si="0"/>
        <v>0</v>
      </c>
      <c r="N38">
        <f t="shared" si="1"/>
        <v>0</v>
      </c>
      <c r="O38">
        <f t="shared" si="2"/>
        <v>0</v>
      </c>
      <c r="P38">
        <f t="shared" si="3"/>
        <v>0</v>
      </c>
      <c r="Q38">
        <f t="shared" si="4"/>
        <v>0</v>
      </c>
      <c r="R38">
        <f t="shared" si="5"/>
        <v>0</v>
      </c>
      <c r="S38">
        <f t="shared" si="6"/>
        <v>0</v>
      </c>
      <c r="T38">
        <f t="shared" si="7"/>
        <v>0</v>
      </c>
      <c r="U38" s="245">
        <f t="shared" si="8"/>
        <v>0</v>
      </c>
    </row>
    <row r="39" spans="2:21" ht="16.5" thickBot="1">
      <c r="B39" s="237" t="s">
        <v>511</v>
      </c>
      <c r="C39" s="238">
        <v>1</v>
      </c>
      <c r="D39" s="238">
        <v>19188</v>
      </c>
      <c r="E39" s="238"/>
      <c r="F39" s="238"/>
      <c r="G39" s="240">
        <v>19188</v>
      </c>
      <c r="M39">
        <f t="shared" si="0"/>
        <v>57564</v>
      </c>
      <c r="N39">
        <f t="shared" si="1"/>
        <v>0</v>
      </c>
      <c r="O39">
        <f t="shared" si="2"/>
        <v>115128</v>
      </c>
      <c r="P39">
        <f t="shared" si="3"/>
        <v>0</v>
      </c>
      <c r="Q39">
        <f t="shared" si="4"/>
        <v>172692</v>
      </c>
      <c r="R39">
        <f t="shared" si="5"/>
        <v>0</v>
      </c>
      <c r="S39">
        <f t="shared" si="6"/>
        <v>230256</v>
      </c>
      <c r="T39">
        <f t="shared" si="7"/>
        <v>0</v>
      </c>
      <c r="U39" s="245">
        <f t="shared" si="8"/>
        <v>230256</v>
      </c>
    </row>
    <row r="40" spans="2:21" ht="16.5" thickBot="1">
      <c r="B40" s="233" t="s">
        <v>512</v>
      </c>
      <c r="C40" s="232">
        <v>1</v>
      </c>
      <c r="D40" s="232">
        <v>14130</v>
      </c>
      <c r="E40" s="232"/>
      <c r="F40" s="232"/>
      <c r="G40" s="232">
        <v>14130</v>
      </c>
      <c r="M40">
        <f t="shared" si="0"/>
        <v>42390</v>
      </c>
      <c r="N40">
        <f t="shared" si="1"/>
        <v>0</v>
      </c>
      <c r="O40">
        <f t="shared" si="2"/>
        <v>84780</v>
      </c>
      <c r="P40">
        <f t="shared" si="3"/>
        <v>0</v>
      </c>
      <c r="Q40">
        <f t="shared" si="4"/>
        <v>127170</v>
      </c>
      <c r="R40">
        <f t="shared" si="5"/>
        <v>0</v>
      </c>
      <c r="S40">
        <f t="shared" si="6"/>
        <v>169560</v>
      </c>
      <c r="T40">
        <f t="shared" si="7"/>
        <v>0</v>
      </c>
      <c r="U40" s="245">
        <f t="shared" si="8"/>
        <v>169560</v>
      </c>
    </row>
    <row r="41" spans="2:21" ht="16.5" thickBot="1">
      <c r="B41" s="233" t="s">
        <v>513</v>
      </c>
      <c r="C41" s="232">
        <v>4</v>
      </c>
      <c r="D41" s="232">
        <v>8500</v>
      </c>
      <c r="E41" s="232"/>
      <c r="F41" s="232"/>
      <c r="G41" s="232">
        <v>34000</v>
      </c>
      <c r="M41">
        <f t="shared" si="0"/>
        <v>102000</v>
      </c>
      <c r="N41">
        <f t="shared" si="1"/>
        <v>0</v>
      </c>
      <c r="O41">
        <f t="shared" si="2"/>
        <v>204000</v>
      </c>
      <c r="P41">
        <f t="shared" si="3"/>
        <v>0</v>
      </c>
      <c r="Q41">
        <f t="shared" si="4"/>
        <v>306000</v>
      </c>
      <c r="R41">
        <f t="shared" si="5"/>
        <v>0</v>
      </c>
      <c r="S41">
        <f t="shared" si="6"/>
        <v>408000</v>
      </c>
      <c r="T41">
        <f t="shared" si="7"/>
        <v>0</v>
      </c>
      <c r="U41" s="245">
        <f t="shared" si="8"/>
        <v>408000</v>
      </c>
    </row>
    <row r="42" spans="2:21" ht="16.5" thickBot="1">
      <c r="B42" s="233" t="s">
        <v>495</v>
      </c>
      <c r="C42" s="232">
        <v>6</v>
      </c>
      <c r="D42" s="232"/>
      <c r="E42" s="232"/>
      <c r="F42" s="232"/>
      <c r="G42" s="232">
        <v>67318</v>
      </c>
      <c r="M42">
        <f t="shared" si="0"/>
        <v>0</v>
      </c>
      <c r="N42">
        <f t="shared" si="1"/>
        <v>0</v>
      </c>
      <c r="O42">
        <f t="shared" si="2"/>
        <v>0</v>
      </c>
      <c r="P42">
        <f t="shared" si="3"/>
        <v>0</v>
      </c>
      <c r="Q42">
        <f t="shared" si="4"/>
        <v>0</v>
      </c>
      <c r="R42">
        <f t="shared" si="5"/>
        <v>0</v>
      </c>
      <c r="S42">
        <f t="shared" si="6"/>
        <v>0</v>
      </c>
      <c r="T42">
        <f t="shared" si="7"/>
        <v>0</v>
      </c>
      <c r="U42" s="245">
        <f t="shared" si="8"/>
        <v>0</v>
      </c>
    </row>
    <row r="43" spans="2:21" ht="32.25" thickBot="1">
      <c r="B43" s="236" t="s">
        <v>514</v>
      </c>
      <c r="M43">
        <f t="shared" si="0"/>
        <v>0</v>
      </c>
      <c r="N43">
        <f t="shared" si="1"/>
        <v>0</v>
      </c>
      <c r="O43">
        <f t="shared" si="2"/>
        <v>0</v>
      </c>
      <c r="P43">
        <f t="shared" si="3"/>
        <v>0</v>
      </c>
      <c r="Q43">
        <f t="shared" si="4"/>
        <v>0</v>
      </c>
      <c r="R43">
        <f t="shared" si="5"/>
        <v>0</v>
      </c>
      <c r="S43">
        <f t="shared" si="6"/>
        <v>0</v>
      </c>
      <c r="T43">
        <f t="shared" si="7"/>
        <v>0</v>
      </c>
      <c r="U43" s="245">
        <f t="shared" si="8"/>
        <v>0</v>
      </c>
    </row>
    <row r="44" spans="2:21" ht="16.5" thickBot="1">
      <c r="B44" s="237" t="s">
        <v>500</v>
      </c>
      <c r="C44" s="238">
        <v>1</v>
      </c>
      <c r="D44" s="238">
        <v>11000</v>
      </c>
      <c r="E44" s="238"/>
      <c r="F44" s="238"/>
      <c r="G44" s="238">
        <v>11000</v>
      </c>
      <c r="M44">
        <f t="shared" si="0"/>
        <v>33000</v>
      </c>
      <c r="N44">
        <f t="shared" si="1"/>
        <v>0</v>
      </c>
      <c r="O44">
        <f t="shared" si="2"/>
        <v>66000</v>
      </c>
      <c r="P44">
        <f t="shared" si="3"/>
        <v>0</v>
      </c>
      <c r="Q44">
        <f t="shared" si="4"/>
        <v>99000</v>
      </c>
      <c r="R44">
        <f t="shared" si="5"/>
        <v>0</v>
      </c>
      <c r="S44">
        <f t="shared" si="6"/>
        <v>132000</v>
      </c>
      <c r="T44">
        <f t="shared" si="7"/>
        <v>0</v>
      </c>
      <c r="U44" s="245">
        <f t="shared" si="8"/>
        <v>132000</v>
      </c>
    </row>
    <row r="45" spans="2:21" ht="16.5" thickBot="1">
      <c r="B45" s="233" t="s">
        <v>515</v>
      </c>
      <c r="C45" s="232">
        <v>1</v>
      </c>
      <c r="D45" s="232">
        <v>7800</v>
      </c>
      <c r="E45" s="232"/>
      <c r="F45" s="232"/>
      <c r="G45" s="232">
        <v>7800</v>
      </c>
      <c r="M45">
        <f t="shared" si="0"/>
        <v>23400</v>
      </c>
      <c r="N45">
        <f t="shared" si="1"/>
        <v>0</v>
      </c>
      <c r="O45">
        <f t="shared" si="2"/>
        <v>46800</v>
      </c>
      <c r="P45">
        <f t="shared" si="3"/>
        <v>0</v>
      </c>
      <c r="Q45">
        <f t="shared" si="4"/>
        <v>70200</v>
      </c>
      <c r="R45">
        <f t="shared" si="5"/>
        <v>0</v>
      </c>
      <c r="S45">
        <f t="shared" si="6"/>
        <v>93600</v>
      </c>
      <c r="T45">
        <f t="shared" si="7"/>
        <v>0</v>
      </c>
      <c r="U45" s="245">
        <f t="shared" si="8"/>
        <v>93600</v>
      </c>
    </row>
    <row r="46" spans="2:21" ht="16.5" thickBot="1">
      <c r="B46" s="233" t="s">
        <v>516</v>
      </c>
      <c r="C46" s="232">
        <v>2</v>
      </c>
      <c r="D46" s="232">
        <v>4954</v>
      </c>
      <c r="E46" s="232"/>
      <c r="F46" s="232"/>
      <c r="G46" s="232">
        <v>9908</v>
      </c>
      <c r="M46">
        <f t="shared" si="0"/>
        <v>29724</v>
      </c>
      <c r="N46">
        <f t="shared" si="1"/>
        <v>0</v>
      </c>
      <c r="O46">
        <f t="shared" si="2"/>
        <v>59448</v>
      </c>
      <c r="P46">
        <f t="shared" si="3"/>
        <v>0</v>
      </c>
      <c r="Q46">
        <f t="shared" si="4"/>
        <v>89172</v>
      </c>
      <c r="R46">
        <f t="shared" si="5"/>
        <v>0</v>
      </c>
      <c r="S46">
        <f t="shared" si="6"/>
        <v>118896</v>
      </c>
      <c r="T46">
        <f t="shared" si="7"/>
        <v>0</v>
      </c>
      <c r="U46" s="245">
        <f t="shared" si="8"/>
        <v>118896</v>
      </c>
    </row>
    <row r="47" spans="2:21" ht="16.5" thickBot="1">
      <c r="B47" s="233" t="s">
        <v>495</v>
      </c>
      <c r="C47" s="232">
        <v>4</v>
      </c>
      <c r="D47" s="232"/>
      <c r="E47" s="232"/>
      <c r="F47" s="232"/>
      <c r="G47" s="232">
        <v>28708</v>
      </c>
      <c r="M47">
        <f t="shared" si="0"/>
        <v>0</v>
      </c>
      <c r="N47">
        <f t="shared" si="1"/>
        <v>0</v>
      </c>
      <c r="O47">
        <f t="shared" si="2"/>
        <v>0</v>
      </c>
      <c r="P47">
        <f t="shared" si="3"/>
        <v>0</v>
      </c>
      <c r="Q47">
        <f t="shared" si="4"/>
        <v>0</v>
      </c>
      <c r="R47">
        <f t="shared" si="5"/>
        <v>0</v>
      </c>
      <c r="S47">
        <f t="shared" si="6"/>
        <v>0</v>
      </c>
      <c r="T47">
        <f t="shared" si="7"/>
        <v>0</v>
      </c>
      <c r="U47" s="245">
        <f t="shared" si="8"/>
        <v>0</v>
      </c>
    </row>
    <row r="48" spans="2:21" ht="32.25" thickBot="1">
      <c r="B48" s="236" t="s">
        <v>517</v>
      </c>
      <c r="M48">
        <f t="shared" si="0"/>
        <v>0</v>
      </c>
      <c r="N48">
        <f t="shared" si="1"/>
        <v>0</v>
      </c>
      <c r="O48">
        <f t="shared" si="2"/>
        <v>0</v>
      </c>
      <c r="P48">
        <f t="shared" si="3"/>
        <v>0</v>
      </c>
      <c r="Q48">
        <f t="shared" si="4"/>
        <v>0</v>
      </c>
      <c r="R48">
        <f t="shared" si="5"/>
        <v>0</v>
      </c>
      <c r="S48">
        <f t="shared" si="6"/>
        <v>0</v>
      </c>
      <c r="T48">
        <f t="shared" si="7"/>
        <v>0</v>
      </c>
      <c r="U48" s="245">
        <f t="shared" si="8"/>
        <v>0</v>
      </c>
    </row>
    <row r="49" spans="2:21" ht="16.5" thickBot="1">
      <c r="B49" s="237" t="s">
        <v>518</v>
      </c>
      <c r="C49" s="238">
        <v>1</v>
      </c>
      <c r="D49" s="238">
        <v>11101</v>
      </c>
      <c r="E49" s="238"/>
      <c r="F49" s="238"/>
      <c r="G49" s="238">
        <v>11101</v>
      </c>
      <c r="M49">
        <f t="shared" si="0"/>
        <v>33303</v>
      </c>
      <c r="N49">
        <f t="shared" si="1"/>
        <v>0</v>
      </c>
      <c r="O49">
        <f t="shared" si="2"/>
        <v>66606</v>
      </c>
      <c r="P49">
        <f t="shared" si="3"/>
        <v>0</v>
      </c>
      <c r="Q49">
        <f t="shared" si="4"/>
        <v>99909</v>
      </c>
      <c r="R49">
        <f t="shared" si="5"/>
        <v>0</v>
      </c>
      <c r="S49">
        <f t="shared" si="6"/>
        <v>133212</v>
      </c>
      <c r="T49">
        <f t="shared" si="7"/>
        <v>0</v>
      </c>
      <c r="U49" s="245">
        <f t="shared" si="8"/>
        <v>133212</v>
      </c>
    </row>
    <row r="50" spans="2:21" ht="32.25" thickBot="1">
      <c r="B50" s="233" t="s">
        <v>519</v>
      </c>
      <c r="C50" s="232">
        <v>1</v>
      </c>
      <c r="D50" s="232">
        <v>7800</v>
      </c>
      <c r="E50" s="232"/>
      <c r="F50" s="232"/>
      <c r="G50" s="232">
        <v>7800</v>
      </c>
      <c r="M50">
        <f t="shared" si="0"/>
        <v>23400</v>
      </c>
      <c r="N50">
        <f t="shared" si="1"/>
        <v>0</v>
      </c>
      <c r="O50">
        <f t="shared" si="2"/>
        <v>46800</v>
      </c>
      <c r="P50">
        <f t="shared" si="3"/>
        <v>0</v>
      </c>
      <c r="Q50">
        <f t="shared" si="4"/>
        <v>70200</v>
      </c>
      <c r="R50">
        <f t="shared" si="5"/>
        <v>0</v>
      </c>
      <c r="S50">
        <f t="shared" si="6"/>
        <v>93600</v>
      </c>
      <c r="T50">
        <f t="shared" si="7"/>
        <v>0</v>
      </c>
      <c r="U50" s="245">
        <f t="shared" si="8"/>
        <v>93600</v>
      </c>
    </row>
    <row r="51" spans="2:21" ht="16.5" thickBot="1">
      <c r="B51" s="233" t="s">
        <v>495</v>
      </c>
      <c r="C51" s="232">
        <v>2</v>
      </c>
      <c r="D51" s="232">
        <v>18333</v>
      </c>
      <c r="E51" s="232"/>
      <c r="F51" s="232"/>
      <c r="G51" s="232">
        <v>18901</v>
      </c>
      <c r="M51">
        <f t="shared" si="0"/>
        <v>109998</v>
      </c>
      <c r="N51">
        <f t="shared" si="1"/>
        <v>0</v>
      </c>
      <c r="O51">
        <f t="shared" si="2"/>
        <v>219996</v>
      </c>
      <c r="P51">
        <f t="shared" si="3"/>
        <v>0</v>
      </c>
      <c r="Q51">
        <f t="shared" si="4"/>
        <v>329994</v>
      </c>
      <c r="R51">
        <f t="shared" si="5"/>
        <v>0</v>
      </c>
      <c r="S51">
        <f t="shared" si="6"/>
        <v>439992</v>
      </c>
      <c r="T51">
        <f t="shared" si="7"/>
        <v>0</v>
      </c>
      <c r="U51" s="245">
        <f t="shared" si="8"/>
        <v>439992</v>
      </c>
    </row>
    <row r="52" spans="2:21" ht="16.5" thickBot="1">
      <c r="B52" s="236" t="s">
        <v>520</v>
      </c>
      <c r="M52">
        <f t="shared" si="0"/>
        <v>0</v>
      </c>
      <c r="N52">
        <f t="shared" si="1"/>
        <v>0</v>
      </c>
      <c r="O52">
        <f t="shared" si="2"/>
        <v>0</v>
      </c>
      <c r="P52">
        <f t="shared" si="3"/>
        <v>0</v>
      </c>
      <c r="Q52">
        <f t="shared" si="4"/>
        <v>0</v>
      </c>
      <c r="R52">
        <f t="shared" si="5"/>
        <v>0</v>
      </c>
      <c r="S52">
        <f t="shared" si="6"/>
        <v>0</v>
      </c>
      <c r="T52">
        <f t="shared" si="7"/>
        <v>0</v>
      </c>
      <c r="U52" s="245">
        <f t="shared" si="8"/>
        <v>0</v>
      </c>
    </row>
    <row r="53" spans="2:21" ht="16.5" thickBot="1">
      <c r="B53" s="237" t="s">
        <v>521</v>
      </c>
      <c r="C53" s="238">
        <v>1</v>
      </c>
      <c r="D53" s="238">
        <v>15000</v>
      </c>
      <c r="E53" s="238"/>
      <c r="F53" s="238"/>
      <c r="G53" s="238">
        <v>15000</v>
      </c>
      <c r="M53">
        <f t="shared" si="0"/>
        <v>45000</v>
      </c>
      <c r="N53">
        <f t="shared" si="1"/>
        <v>0</v>
      </c>
      <c r="O53">
        <f t="shared" si="2"/>
        <v>90000</v>
      </c>
      <c r="P53">
        <f t="shared" si="3"/>
        <v>0</v>
      </c>
      <c r="Q53">
        <f t="shared" si="4"/>
        <v>135000</v>
      </c>
      <c r="R53">
        <f t="shared" si="5"/>
        <v>0</v>
      </c>
      <c r="S53">
        <f t="shared" si="6"/>
        <v>180000</v>
      </c>
      <c r="T53">
        <f t="shared" si="7"/>
        <v>0</v>
      </c>
      <c r="U53" s="245">
        <f t="shared" si="8"/>
        <v>180000</v>
      </c>
    </row>
    <row r="54" spans="2:21" ht="32.25" thickBot="1">
      <c r="B54" s="234" t="s">
        <v>522</v>
      </c>
      <c r="C54" s="232">
        <v>1</v>
      </c>
      <c r="D54" s="232">
        <v>11101</v>
      </c>
      <c r="E54" s="232"/>
      <c r="F54" s="232"/>
      <c r="G54" s="232">
        <v>11101</v>
      </c>
      <c r="M54">
        <f t="shared" si="0"/>
        <v>33303</v>
      </c>
      <c r="N54">
        <f t="shared" si="1"/>
        <v>0</v>
      </c>
      <c r="O54">
        <f t="shared" si="2"/>
        <v>66606</v>
      </c>
      <c r="P54">
        <f t="shared" si="3"/>
        <v>0</v>
      </c>
      <c r="Q54">
        <f t="shared" si="4"/>
        <v>99909</v>
      </c>
      <c r="R54">
        <f t="shared" si="5"/>
        <v>0</v>
      </c>
      <c r="S54">
        <f t="shared" si="6"/>
        <v>133212</v>
      </c>
      <c r="T54">
        <f t="shared" si="7"/>
        <v>0</v>
      </c>
      <c r="U54" s="245">
        <f t="shared" si="8"/>
        <v>133212</v>
      </c>
    </row>
    <row r="55" spans="2:21" ht="16.5" thickBot="1">
      <c r="B55" s="233" t="s">
        <v>523</v>
      </c>
      <c r="C55" s="232">
        <v>1</v>
      </c>
      <c r="D55" s="232">
        <v>11101</v>
      </c>
      <c r="E55" s="232"/>
      <c r="F55" s="232"/>
      <c r="G55" s="232">
        <v>11101</v>
      </c>
      <c r="M55">
        <f t="shared" si="0"/>
        <v>33303</v>
      </c>
      <c r="N55">
        <f t="shared" si="1"/>
        <v>0</v>
      </c>
      <c r="O55">
        <f t="shared" si="2"/>
        <v>66606</v>
      </c>
      <c r="P55">
        <f t="shared" si="3"/>
        <v>0</v>
      </c>
      <c r="Q55">
        <f t="shared" si="4"/>
        <v>99909</v>
      </c>
      <c r="R55">
        <f t="shared" si="5"/>
        <v>0</v>
      </c>
      <c r="S55">
        <f t="shared" si="6"/>
        <v>133212</v>
      </c>
      <c r="T55">
        <f t="shared" si="7"/>
        <v>0</v>
      </c>
      <c r="U55" s="245">
        <f t="shared" si="8"/>
        <v>133212</v>
      </c>
    </row>
    <row r="56" spans="2:21" ht="16.5" thickBot="1">
      <c r="B56" s="233" t="s">
        <v>524</v>
      </c>
      <c r="C56" s="232">
        <v>1</v>
      </c>
      <c r="D56" s="232">
        <v>8500</v>
      </c>
      <c r="E56" s="232"/>
      <c r="F56" s="232"/>
      <c r="G56" s="232">
        <v>8500</v>
      </c>
      <c r="M56">
        <f t="shared" si="0"/>
        <v>25500</v>
      </c>
      <c r="N56">
        <f t="shared" si="1"/>
        <v>0</v>
      </c>
      <c r="O56">
        <f t="shared" si="2"/>
        <v>51000</v>
      </c>
      <c r="P56">
        <f t="shared" si="3"/>
        <v>0</v>
      </c>
      <c r="Q56">
        <f t="shared" si="4"/>
        <v>76500</v>
      </c>
      <c r="R56">
        <f t="shared" si="5"/>
        <v>0</v>
      </c>
      <c r="S56">
        <f t="shared" si="6"/>
        <v>102000</v>
      </c>
      <c r="T56">
        <f t="shared" si="7"/>
        <v>0</v>
      </c>
      <c r="U56" s="245">
        <f t="shared" si="8"/>
        <v>102000</v>
      </c>
    </row>
    <row r="57" spans="2:21" ht="16.5" thickBot="1">
      <c r="B57" s="233" t="s">
        <v>525</v>
      </c>
      <c r="C57" s="232">
        <v>1</v>
      </c>
      <c r="D57" s="232">
        <v>10000</v>
      </c>
      <c r="E57" s="232"/>
      <c r="F57" s="232"/>
      <c r="G57" s="232">
        <v>10000</v>
      </c>
      <c r="M57">
        <f t="shared" si="0"/>
        <v>30000</v>
      </c>
      <c r="N57">
        <f t="shared" si="1"/>
        <v>0</v>
      </c>
      <c r="O57">
        <f t="shared" si="2"/>
        <v>60000</v>
      </c>
      <c r="P57">
        <f t="shared" si="3"/>
        <v>0</v>
      </c>
      <c r="Q57">
        <f t="shared" si="4"/>
        <v>90000</v>
      </c>
      <c r="R57">
        <f t="shared" si="5"/>
        <v>0</v>
      </c>
      <c r="S57">
        <f t="shared" si="6"/>
        <v>120000</v>
      </c>
      <c r="T57">
        <f t="shared" si="7"/>
        <v>0</v>
      </c>
      <c r="U57" s="245">
        <f t="shared" si="8"/>
        <v>120000</v>
      </c>
    </row>
    <row r="58" spans="2:21" ht="32.25" thickBot="1">
      <c r="B58" s="234" t="s">
        <v>526</v>
      </c>
      <c r="C58" s="232">
        <v>1</v>
      </c>
      <c r="D58" s="232">
        <v>8500</v>
      </c>
      <c r="E58" s="232"/>
      <c r="F58" s="232"/>
      <c r="G58" s="232">
        <v>8500</v>
      </c>
      <c r="M58">
        <f t="shared" si="0"/>
        <v>25500</v>
      </c>
      <c r="N58">
        <f t="shared" si="1"/>
        <v>0</v>
      </c>
      <c r="O58">
        <f t="shared" si="2"/>
        <v>51000</v>
      </c>
      <c r="P58">
        <f t="shared" si="3"/>
        <v>0</v>
      </c>
      <c r="Q58">
        <f t="shared" si="4"/>
        <v>76500</v>
      </c>
      <c r="R58">
        <f t="shared" si="5"/>
        <v>0</v>
      </c>
      <c r="S58">
        <f t="shared" si="6"/>
        <v>102000</v>
      </c>
      <c r="T58">
        <f t="shared" si="7"/>
        <v>0</v>
      </c>
      <c r="U58" s="245">
        <f t="shared" si="8"/>
        <v>102000</v>
      </c>
    </row>
    <row r="59" spans="2:21" ht="16.5" thickBot="1">
      <c r="B59" s="233" t="s">
        <v>527</v>
      </c>
      <c r="C59" s="232">
        <v>1</v>
      </c>
      <c r="D59" s="232">
        <v>8722</v>
      </c>
      <c r="E59" s="232"/>
      <c r="F59" s="232"/>
      <c r="G59" s="232">
        <v>8722</v>
      </c>
      <c r="M59">
        <f t="shared" si="0"/>
        <v>26166</v>
      </c>
      <c r="N59">
        <f t="shared" si="1"/>
        <v>0</v>
      </c>
      <c r="O59">
        <f t="shared" si="2"/>
        <v>52332</v>
      </c>
      <c r="P59">
        <f t="shared" si="3"/>
        <v>0</v>
      </c>
      <c r="Q59">
        <f t="shared" si="4"/>
        <v>78498</v>
      </c>
      <c r="R59">
        <f t="shared" si="5"/>
        <v>0</v>
      </c>
      <c r="S59">
        <f t="shared" si="6"/>
        <v>104664</v>
      </c>
      <c r="T59">
        <f t="shared" si="7"/>
        <v>0</v>
      </c>
      <c r="U59" s="245">
        <f t="shared" si="8"/>
        <v>104664</v>
      </c>
    </row>
    <row r="60" spans="2:21" ht="16.5" thickBot="1">
      <c r="B60" s="233" t="s">
        <v>528</v>
      </c>
      <c r="C60" s="232">
        <v>1</v>
      </c>
      <c r="D60" s="232">
        <v>8722</v>
      </c>
      <c r="E60" s="232"/>
      <c r="F60" s="232"/>
      <c r="G60" s="232">
        <v>8722</v>
      </c>
      <c r="M60">
        <f t="shared" si="0"/>
        <v>26166</v>
      </c>
      <c r="N60">
        <f t="shared" si="1"/>
        <v>0</v>
      </c>
      <c r="O60">
        <f t="shared" si="2"/>
        <v>52332</v>
      </c>
      <c r="P60">
        <f t="shared" si="3"/>
        <v>0</v>
      </c>
      <c r="Q60">
        <f t="shared" si="4"/>
        <v>78498</v>
      </c>
      <c r="R60">
        <f t="shared" si="5"/>
        <v>0</v>
      </c>
      <c r="S60">
        <f t="shared" si="6"/>
        <v>104664</v>
      </c>
      <c r="T60">
        <f t="shared" si="7"/>
        <v>0</v>
      </c>
      <c r="U60" s="245">
        <f t="shared" si="8"/>
        <v>104664</v>
      </c>
    </row>
    <row r="61" spans="2:21" ht="16.5" thickBot="1">
      <c r="B61" s="233" t="s">
        <v>529</v>
      </c>
      <c r="C61" s="232">
        <v>1</v>
      </c>
      <c r="D61" s="232">
        <v>7675</v>
      </c>
      <c r="E61" s="232"/>
      <c r="F61" s="232"/>
      <c r="G61" s="232">
        <v>7675</v>
      </c>
      <c r="M61">
        <f t="shared" si="0"/>
        <v>23025</v>
      </c>
      <c r="N61">
        <f t="shared" si="1"/>
        <v>0</v>
      </c>
      <c r="O61">
        <f t="shared" si="2"/>
        <v>46050</v>
      </c>
      <c r="P61">
        <f t="shared" si="3"/>
        <v>0</v>
      </c>
      <c r="Q61">
        <f t="shared" si="4"/>
        <v>69075</v>
      </c>
      <c r="R61">
        <f t="shared" si="5"/>
        <v>0</v>
      </c>
      <c r="S61">
        <f t="shared" si="6"/>
        <v>92100</v>
      </c>
      <c r="T61">
        <f t="shared" si="7"/>
        <v>0</v>
      </c>
      <c r="U61" s="245">
        <f t="shared" si="8"/>
        <v>92100</v>
      </c>
    </row>
    <row r="62" spans="2:21" ht="16.5" thickBot="1">
      <c r="B62" s="233" t="s">
        <v>530</v>
      </c>
      <c r="C62" s="232">
        <v>3</v>
      </c>
      <c r="D62" s="232">
        <v>7326</v>
      </c>
      <c r="E62" s="232"/>
      <c r="F62" s="232"/>
      <c r="G62" s="232">
        <v>21978</v>
      </c>
      <c r="M62">
        <f t="shared" si="0"/>
        <v>65934</v>
      </c>
      <c r="N62">
        <f t="shared" si="1"/>
        <v>0</v>
      </c>
      <c r="O62">
        <f t="shared" si="2"/>
        <v>131868</v>
      </c>
      <c r="P62">
        <f t="shared" si="3"/>
        <v>0</v>
      </c>
      <c r="Q62">
        <f t="shared" si="4"/>
        <v>197802</v>
      </c>
      <c r="R62">
        <f t="shared" si="5"/>
        <v>0</v>
      </c>
      <c r="S62">
        <f t="shared" si="6"/>
        <v>263736</v>
      </c>
      <c r="T62">
        <f t="shared" si="7"/>
        <v>0</v>
      </c>
      <c r="U62" s="245">
        <f t="shared" si="8"/>
        <v>263736</v>
      </c>
    </row>
    <row r="63" spans="2:21" ht="16.5" thickBot="1">
      <c r="B63" s="233" t="s">
        <v>531</v>
      </c>
      <c r="C63" s="232">
        <v>3</v>
      </c>
      <c r="D63" s="232">
        <v>6326</v>
      </c>
      <c r="E63" s="232"/>
      <c r="F63" s="232"/>
      <c r="G63" s="232">
        <v>18978</v>
      </c>
      <c r="M63">
        <f t="shared" si="0"/>
        <v>56934</v>
      </c>
      <c r="N63">
        <f t="shared" si="1"/>
        <v>0</v>
      </c>
      <c r="O63">
        <f t="shared" si="2"/>
        <v>113868</v>
      </c>
      <c r="P63">
        <f t="shared" si="3"/>
        <v>0</v>
      </c>
      <c r="Q63">
        <f t="shared" si="4"/>
        <v>170802</v>
      </c>
      <c r="R63">
        <f t="shared" si="5"/>
        <v>0</v>
      </c>
      <c r="S63">
        <f t="shared" si="6"/>
        <v>227736</v>
      </c>
      <c r="T63">
        <f t="shared" si="7"/>
        <v>0</v>
      </c>
      <c r="U63" s="245">
        <f t="shared" si="8"/>
        <v>227736</v>
      </c>
    </row>
    <row r="64" spans="2:21" ht="16.5" thickBot="1">
      <c r="B64" s="233" t="s">
        <v>532</v>
      </c>
      <c r="C64" s="232">
        <v>3</v>
      </c>
      <c r="D64" s="232">
        <v>6326</v>
      </c>
      <c r="E64" s="232"/>
      <c r="F64" s="232"/>
      <c r="G64" s="232">
        <v>18978</v>
      </c>
      <c r="M64">
        <f t="shared" si="0"/>
        <v>56934</v>
      </c>
      <c r="N64">
        <f t="shared" si="1"/>
        <v>0</v>
      </c>
      <c r="O64">
        <f t="shared" si="2"/>
        <v>113868</v>
      </c>
      <c r="P64">
        <f t="shared" si="3"/>
        <v>0</v>
      </c>
      <c r="Q64">
        <f t="shared" si="4"/>
        <v>170802</v>
      </c>
      <c r="R64">
        <f t="shared" si="5"/>
        <v>0</v>
      </c>
      <c r="S64">
        <f t="shared" si="6"/>
        <v>227736</v>
      </c>
      <c r="T64">
        <f t="shared" si="7"/>
        <v>0</v>
      </c>
      <c r="U64" s="245">
        <f t="shared" si="8"/>
        <v>227736</v>
      </c>
    </row>
    <row r="65" spans="2:21" ht="16.5" thickBot="1">
      <c r="B65" s="244" t="s">
        <v>533</v>
      </c>
      <c r="C65" s="232">
        <v>1</v>
      </c>
      <c r="D65" s="232">
        <v>8722</v>
      </c>
      <c r="E65" s="232"/>
      <c r="F65" s="232"/>
      <c r="G65" s="232">
        <v>8722</v>
      </c>
      <c r="M65">
        <f t="shared" si="0"/>
        <v>26166</v>
      </c>
      <c r="N65">
        <f t="shared" si="1"/>
        <v>0</v>
      </c>
      <c r="O65">
        <f t="shared" si="2"/>
        <v>52332</v>
      </c>
      <c r="P65">
        <f t="shared" si="3"/>
        <v>0</v>
      </c>
      <c r="Q65">
        <f t="shared" si="4"/>
        <v>78498</v>
      </c>
      <c r="R65">
        <f t="shared" si="5"/>
        <v>0</v>
      </c>
      <c r="S65">
        <f t="shared" si="6"/>
        <v>104664</v>
      </c>
      <c r="T65">
        <f t="shared" si="7"/>
        <v>0</v>
      </c>
      <c r="U65" s="245">
        <f t="shared" si="8"/>
        <v>104664</v>
      </c>
    </row>
    <row r="66" spans="2:21" ht="16.5" thickBot="1">
      <c r="B66" s="233" t="s">
        <v>534</v>
      </c>
      <c r="C66" s="232">
        <v>19</v>
      </c>
      <c r="D66" s="232"/>
      <c r="E66" s="232"/>
      <c r="F66" s="232"/>
      <c r="G66" s="232">
        <v>157977</v>
      </c>
      <c r="M66">
        <f t="shared" si="0"/>
        <v>0</v>
      </c>
      <c r="N66">
        <f t="shared" si="1"/>
        <v>0</v>
      </c>
      <c r="O66">
        <f t="shared" si="2"/>
        <v>0</v>
      </c>
      <c r="P66">
        <f t="shared" si="3"/>
        <v>0</v>
      </c>
      <c r="Q66">
        <f t="shared" si="4"/>
        <v>0</v>
      </c>
      <c r="R66">
        <f t="shared" si="5"/>
        <v>0</v>
      </c>
      <c r="S66">
        <f t="shared" si="6"/>
        <v>0</v>
      </c>
      <c r="T66">
        <f t="shared" si="7"/>
        <v>0</v>
      </c>
      <c r="U66" s="245">
        <f t="shared" si="8"/>
        <v>0</v>
      </c>
    </row>
    <row r="67" spans="2:21" ht="32.25" thickBot="1">
      <c r="B67" s="236" t="s">
        <v>535</v>
      </c>
      <c r="M67">
        <f t="shared" si="0"/>
        <v>0</v>
      </c>
      <c r="N67">
        <f t="shared" si="1"/>
        <v>0</v>
      </c>
      <c r="O67">
        <f t="shared" si="2"/>
        <v>0</v>
      </c>
      <c r="P67">
        <f t="shared" si="3"/>
        <v>0</v>
      </c>
      <c r="Q67">
        <f t="shared" si="4"/>
        <v>0</v>
      </c>
      <c r="R67">
        <f t="shared" si="5"/>
        <v>0</v>
      </c>
      <c r="S67">
        <f t="shared" si="6"/>
        <v>0</v>
      </c>
      <c r="T67">
        <f t="shared" si="7"/>
        <v>0</v>
      </c>
      <c r="U67" s="245">
        <f t="shared" si="8"/>
        <v>0</v>
      </c>
    </row>
    <row r="68" spans="2:21" ht="16.5" thickBot="1">
      <c r="B68" s="237" t="s">
        <v>500</v>
      </c>
      <c r="C68" s="238">
        <v>1</v>
      </c>
      <c r="D68" s="238">
        <v>11000</v>
      </c>
      <c r="E68" s="238"/>
      <c r="F68" s="238"/>
      <c r="G68" s="238">
        <v>11000</v>
      </c>
      <c r="M68">
        <f t="shared" si="0"/>
        <v>33000</v>
      </c>
      <c r="N68">
        <f t="shared" si="1"/>
        <v>0</v>
      </c>
      <c r="O68">
        <f t="shared" si="2"/>
        <v>66000</v>
      </c>
      <c r="P68">
        <f t="shared" si="3"/>
        <v>0</v>
      </c>
      <c r="Q68">
        <f t="shared" si="4"/>
        <v>99000</v>
      </c>
      <c r="R68">
        <f t="shared" si="5"/>
        <v>0</v>
      </c>
      <c r="S68">
        <f t="shared" si="6"/>
        <v>132000</v>
      </c>
      <c r="T68">
        <f t="shared" si="7"/>
        <v>0</v>
      </c>
      <c r="U68" s="245">
        <f t="shared" si="8"/>
        <v>132000</v>
      </c>
    </row>
    <row r="69" spans="2:21" ht="16.5" thickBot="1">
      <c r="B69" s="233" t="s">
        <v>536</v>
      </c>
      <c r="C69" s="232">
        <v>1</v>
      </c>
      <c r="D69" s="232">
        <v>8500</v>
      </c>
      <c r="E69" s="232"/>
      <c r="F69" s="232"/>
      <c r="G69" s="232">
        <v>8500</v>
      </c>
      <c r="M69">
        <f t="shared" si="0"/>
        <v>25500</v>
      </c>
      <c r="N69">
        <f t="shared" si="1"/>
        <v>0</v>
      </c>
      <c r="O69">
        <f t="shared" si="2"/>
        <v>51000</v>
      </c>
      <c r="P69">
        <f t="shared" si="3"/>
        <v>0</v>
      </c>
      <c r="Q69">
        <f t="shared" si="4"/>
        <v>76500</v>
      </c>
      <c r="R69">
        <f t="shared" si="5"/>
        <v>0</v>
      </c>
      <c r="S69">
        <f t="shared" si="6"/>
        <v>102000</v>
      </c>
      <c r="T69">
        <f t="shared" si="7"/>
        <v>0</v>
      </c>
      <c r="U69" s="245">
        <f t="shared" si="8"/>
        <v>102000</v>
      </c>
    </row>
    <row r="70" spans="2:21" ht="16.5" thickBot="1">
      <c r="B70" s="233" t="s">
        <v>537</v>
      </c>
      <c r="C70" s="232">
        <v>1</v>
      </c>
      <c r="D70" s="232">
        <v>8500</v>
      </c>
      <c r="E70" s="232"/>
      <c r="F70" s="232"/>
      <c r="G70" s="232">
        <v>8500</v>
      </c>
      <c r="M70">
        <f t="shared" si="0"/>
        <v>25500</v>
      </c>
      <c r="N70">
        <f t="shared" si="1"/>
        <v>0</v>
      </c>
      <c r="O70">
        <f t="shared" si="2"/>
        <v>51000</v>
      </c>
      <c r="P70">
        <f t="shared" si="3"/>
        <v>0</v>
      </c>
      <c r="Q70">
        <f t="shared" si="4"/>
        <v>76500</v>
      </c>
      <c r="R70">
        <f t="shared" si="5"/>
        <v>0</v>
      </c>
      <c r="S70">
        <f t="shared" si="6"/>
        <v>102000</v>
      </c>
      <c r="T70">
        <f t="shared" si="7"/>
        <v>0</v>
      </c>
      <c r="U70" s="245">
        <f t="shared" si="8"/>
        <v>102000</v>
      </c>
    </row>
    <row r="71" spans="2:21" ht="16.5" thickBot="1">
      <c r="B71" s="233" t="s">
        <v>538</v>
      </c>
      <c r="C71" s="232">
        <v>1</v>
      </c>
      <c r="D71" s="232">
        <v>7802</v>
      </c>
      <c r="E71" s="232"/>
      <c r="F71" s="232"/>
      <c r="G71" s="232">
        <v>7802</v>
      </c>
      <c r="M71">
        <f t="shared" si="0"/>
        <v>23406</v>
      </c>
      <c r="N71">
        <f t="shared" si="1"/>
        <v>0</v>
      </c>
      <c r="O71">
        <f t="shared" si="2"/>
        <v>46812</v>
      </c>
      <c r="P71">
        <f t="shared" si="3"/>
        <v>0</v>
      </c>
      <c r="Q71">
        <f t="shared" si="4"/>
        <v>70218</v>
      </c>
      <c r="R71">
        <f t="shared" si="5"/>
        <v>0</v>
      </c>
      <c r="S71">
        <f t="shared" si="6"/>
        <v>93624</v>
      </c>
      <c r="T71">
        <f t="shared" si="7"/>
        <v>0</v>
      </c>
      <c r="U71" s="245">
        <f t="shared" si="8"/>
        <v>93624</v>
      </c>
    </row>
    <row r="72" spans="2:21" ht="16.5" thickBot="1">
      <c r="B72" s="233" t="s">
        <v>495</v>
      </c>
      <c r="C72" s="232">
        <v>4</v>
      </c>
      <c r="D72" s="232"/>
      <c r="E72" s="232"/>
      <c r="F72" s="232"/>
      <c r="G72" s="232">
        <v>35802</v>
      </c>
      <c r="M72">
        <f t="shared" si="0"/>
        <v>0</v>
      </c>
      <c r="N72">
        <f t="shared" si="1"/>
        <v>0</v>
      </c>
      <c r="O72">
        <f t="shared" si="2"/>
        <v>0</v>
      </c>
      <c r="P72">
        <f t="shared" si="3"/>
        <v>0</v>
      </c>
      <c r="Q72">
        <f t="shared" si="4"/>
        <v>0</v>
      </c>
      <c r="R72">
        <f t="shared" si="5"/>
        <v>0</v>
      </c>
      <c r="S72">
        <f t="shared" si="6"/>
        <v>0</v>
      </c>
      <c r="T72">
        <f t="shared" si="7"/>
        <v>0</v>
      </c>
      <c r="U72" s="245">
        <f t="shared" si="8"/>
        <v>0</v>
      </c>
    </row>
    <row r="73" spans="2:21" ht="32.25" thickBot="1">
      <c r="B73" s="236" t="s">
        <v>539</v>
      </c>
      <c r="M73">
        <f t="shared" ref="M73:M80" si="9">D73*C73*3</f>
        <v>0</v>
      </c>
      <c r="N73">
        <f t="shared" ref="N73:N80" si="10">F73*C73*3</f>
        <v>0</v>
      </c>
      <c r="O73">
        <f t="shared" ref="O73:O80" si="11">D73*6*C73</f>
        <v>0</v>
      </c>
      <c r="P73">
        <f t="shared" ref="P73:P80" si="12">F73*6*C73</f>
        <v>0</v>
      </c>
      <c r="Q73">
        <f t="shared" ref="Q73:Q80" si="13">D73*C73*9</f>
        <v>0</v>
      </c>
      <c r="R73">
        <f t="shared" ref="R73:R80" si="14">F73*C73*9</f>
        <v>0</v>
      </c>
      <c r="S73">
        <f t="shared" ref="S73:S80" si="15">D73*12*C73</f>
        <v>0</v>
      </c>
      <c r="T73">
        <f t="shared" ref="T73:T80" si="16">F73*12*C73</f>
        <v>0</v>
      </c>
      <c r="U73" s="245">
        <f t="shared" ref="U73:U80" si="17">S73+T73</f>
        <v>0</v>
      </c>
    </row>
    <row r="74" spans="2:21" ht="16.5" thickBot="1">
      <c r="B74" s="237" t="s">
        <v>500</v>
      </c>
      <c r="C74" s="238">
        <v>1</v>
      </c>
      <c r="D74" s="238">
        <v>11000</v>
      </c>
      <c r="E74" s="238"/>
      <c r="F74" s="238"/>
      <c r="G74" s="238">
        <v>11000</v>
      </c>
      <c r="M74">
        <f t="shared" si="9"/>
        <v>33000</v>
      </c>
      <c r="N74">
        <f t="shared" si="10"/>
        <v>0</v>
      </c>
      <c r="O74">
        <f t="shared" si="11"/>
        <v>66000</v>
      </c>
      <c r="P74">
        <f t="shared" si="12"/>
        <v>0</v>
      </c>
      <c r="Q74">
        <f t="shared" si="13"/>
        <v>99000</v>
      </c>
      <c r="R74">
        <f t="shared" si="14"/>
        <v>0</v>
      </c>
      <c r="S74">
        <f t="shared" si="15"/>
        <v>132000</v>
      </c>
      <c r="T74">
        <f t="shared" si="16"/>
        <v>0</v>
      </c>
      <c r="U74" s="245">
        <f t="shared" si="17"/>
        <v>132000</v>
      </c>
    </row>
    <row r="75" spans="2:21" ht="16.5" thickBot="1">
      <c r="B75" s="233" t="s">
        <v>508</v>
      </c>
      <c r="C75" s="232">
        <v>3</v>
      </c>
      <c r="D75" s="232">
        <v>7802</v>
      </c>
      <c r="E75" s="232"/>
      <c r="F75" s="232"/>
      <c r="G75" s="232">
        <v>23406</v>
      </c>
      <c r="M75">
        <f t="shared" si="9"/>
        <v>70218</v>
      </c>
      <c r="N75">
        <f t="shared" si="10"/>
        <v>0</v>
      </c>
      <c r="O75">
        <f t="shared" si="11"/>
        <v>140436</v>
      </c>
      <c r="P75">
        <f t="shared" si="12"/>
        <v>0</v>
      </c>
      <c r="Q75">
        <f t="shared" si="13"/>
        <v>210654</v>
      </c>
      <c r="R75">
        <f t="shared" si="14"/>
        <v>0</v>
      </c>
      <c r="S75">
        <f t="shared" si="15"/>
        <v>280872</v>
      </c>
      <c r="T75">
        <f t="shared" si="16"/>
        <v>0</v>
      </c>
      <c r="U75" s="245">
        <f t="shared" si="17"/>
        <v>280872</v>
      </c>
    </row>
    <row r="76" spans="2:21" ht="16.5" thickBot="1">
      <c r="B76" s="233" t="s">
        <v>495</v>
      </c>
      <c r="C76" s="232">
        <v>4</v>
      </c>
      <c r="D76" s="232"/>
      <c r="E76" s="232"/>
      <c r="F76" s="232"/>
      <c r="G76" s="232">
        <v>34406</v>
      </c>
      <c r="M76">
        <f t="shared" si="9"/>
        <v>0</v>
      </c>
      <c r="N76">
        <f t="shared" si="10"/>
        <v>0</v>
      </c>
      <c r="O76">
        <f t="shared" si="11"/>
        <v>0</v>
      </c>
      <c r="P76">
        <f t="shared" si="12"/>
        <v>0</v>
      </c>
      <c r="Q76">
        <f t="shared" si="13"/>
        <v>0</v>
      </c>
      <c r="R76">
        <f t="shared" si="14"/>
        <v>0</v>
      </c>
      <c r="S76">
        <f t="shared" si="15"/>
        <v>0</v>
      </c>
      <c r="T76">
        <f t="shared" si="16"/>
        <v>0</v>
      </c>
      <c r="U76" s="245">
        <f t="shared" si="17"/>
        <v>0</v>
      </c>
    </row>
    <row r="77" spans="2:21" ht="32.25" thickBot="1">
      <c r="B77" s="236" t="s">
        <v>540</v>
      </c>
      <c r="M77">
        <f t="shared" si="9"/>
        <v>0</v>
      </c>
      <c r="N77">
        <f t="shared" si="10"/>
        <v>0</v>
      </c>
      <c r="O77">
        <f t="shared" si="11"/>
        <v>0</v>
      </c>
      <c r="P77">
        <f t="shared" si="12"/>
        <v>0</v>
      </c>
      <c r="Q77">
        <f t="shared" si="13"/>
        <v>0</v>
      </c>
      <c r="R77">
        <f t="shared" si="14"/>
        <v>0</v>
      </c>
      <c r="S77">
        <f t="shared" si="15"/>
        <v>0</v>
      </c>
      <c r="T77">
        <f t="shared" si="16"/>
        <v>0</v>
      </c>
      <c r="U77" s="245">
        <f t="shared" si="17"/>
        <v>0</v>
      </c>
    </row>
    <row r="78" spans="2:21" ht="16.5" thickBot="1">
      <c r="B78" s="237" t="s">
        <v>500</v>
      </c>
      <c r="C78" s="238">
        <v>1</v>
      </c>
      <c r="D78" s="238">
        <v>11000</v>
      </c>
      <c r="E78" s="238"/>
      <c r="F78" s="238"/>
      <c r="G78" s="238">
        <v>11000</v>
      </c>
      <c r="M78">
        <f t="shared" si="9"/>
        <v>33000</v>
      </c>
      <c r="N78">
        <f t="shared" si="10"/>
        <v>0</v>
      </c>
      <c r="O78">
        <f t="shared" si="11"/>
        <v>66000</v>
      </c>
      <c r="P78">
        <f t="shared" si="12"/>
        <v>0</v>
      </c>
      <c r="Q78">
        <f t="shared" si="13"/>
        <v>99000</v>
      </c>
      <c r="R78">
        <f t="shared" si="14"/>
        <v>0</v>
      </c>
      <c r="S78">
        <f t="shared" si="15"/>
        <v>132000</v>
      </c>
      <c r="T78">
        <f t="shared" si="16"/>
        <v>0</v>
      </c>
      <c r="U78" s="245">
        <f t="shared" si="17"/>
        <v>132000</v>
      </c>
    </row>
    <row r="79" spans="2:21" ht="16.5" thickBot="1">
      <c r="B79" s="233" t="s">
        <v>507</v>
      </c>
      <c r="C79" s="232">
        <v>3</v>
      </c>
      <c r="D79" s="232">
        <v>8500</v>
      </c>
      <c r="E79" s="232"/>
      <c r="F79" s="232"/>
      <c r="G79" s="232">
        <v>25500</v>
      </c>
      <c r="M79">
        <f t="shared" si="9"/>
        <v>76500</v>
      </c>
      <c r="N79">
        <f t="shared" si="10"/>
        <v>0</v>
      </c>
      <c r="O79">
        <f t="shared" si="11"/>
        <v>153000</v>
      </c>
      <c r="P79">
        <f t="shared" si="12"/>
        <v>0</v>
      </c>
      <c r="Q79">
        <f t="shared" si="13"/>
        <v>229500</v>
      </c>
      <c r="R79">
        <f t="shared" si="14"/>
        <v>0</v>
      </c>
      <c r="S79">
        <f t="shared" si="15"/>
        <v>306000</v>
      </c>
      <c r="T79">
        <f t="shared" si="16"/>
        <v>0</v>
      </c>
      <c r="U79" s="245">
        <f t="shared" si="17"/>
        <v>306000</v>
      </c>
    </row>
    <row r="80" spans="2:21" ht="16.5" thickBot="1">
      <c r="B80" s="233" t="s">
        <v>495</v>
      </c>
      <c r="C80" s="232">
        <v>4</v>
      </c>
      <c r="D80" s="232"/>
      <c r="E80" s="232"/>
      <c r="F80" s="232"/>
      <c r="G80" s="232">
        <v>36500</v>
      </c>
      <c r="M80">
        <f t="shared" si="9"/>
        <v>0</v>
      </c>
      <c r="N80">
        <f t="shared" si="10"/>
        <v>0</v>
      </c>
      <c r="O80">
        <f t="shared" si="11"/>
        <v>0</v>
      </c>
      <c r="P80">
        <f t="shared" si="12"/>
        <v>0</v>
      </c>
      <c r="Q80">
        <f t="shared" si="13"/>
        <v>0</v>
      </c>
      <c r="R80">
        <f t="shared" si="14"/>
        <v>0</v>
      </c>
      <c r="S80">
        <f t="shared" si="15"/>
        <v>0</v>
      </c>
      <c r="T80">
        <f t="shared" si="16"/>
        <v>0</v>
      </c>
      <c r="U80" s="245">
        <f t="shared" si="17"/>
        <v>0</v>
      </c>
    </row>
    <row r="81" spans="2:21" ht="15.75">
      <c r="B81" s="236"/>
      <c r="C81">
        <f>C17+C21+C27+C31+C37+C42+C47+C51+C66+C72+C76+C80</f>
        <v>66</v>
      </c>
      <c r="M81" s="246">
        <f>SUM(M8:M80)</f>
        <v>1986476.58</v>
      </c>
      <c r="N81" s="246">
        <f t="shared" ref="N81:T81" si="18">SUM(N8:N80)</f>
        <v>1104</v>
      </c>
      <c r="O81" s="246">
        <f t="shared" si="18"/>
        <v>3991655.52</v>
      </c>
      <c r="P81" s="246">
        <f t="shared" si="18"/>
        <v>2208</v>
      </c>
      <c r="Q81" s="246">
        <f t="shared" si="18"/>
        <v>5996834.46</v>
      </c>
      <c r="R81" s="246">
        <f t="shared" si="18"/>
        <v>3312</v>
      </c>
      <c r="S81" s="246">
        <f t="shared" si="18"/>
        <v>8002013.4000000004</v>
      </c>
      <c r="T81" s="246">
        <f t="shared" si="18"/>
        <v>4416</v>
      </c>
      <c r="U81" s="246">
        <f>SUM(U8:U80)</f>
        <v>8006429.4000000004</v>
      </c>
    </row>
    <row r="83" spans="2:21" ht="140.25">
      <c r="B83" s="241" t="s">
        <v>541</v>
      </c>
      <c r="C83" s="242" t="s">
        <v>542</v>
      </c>
      <c r="D83" s="241" t="s">
        <v>543</v>
      </c>
      <c r="E83" s="241" t="s">
        <v>544</v>
      </c>
      <c r="F83" s="241" t="s">
        <v>545</v>
      </c>
      <c r="G83" s="241" t="s">
        <v>546</v>
      </c>
      <c r="H83" s="241" t="s">
        <v>547</v>
      </c>
      <c r="I83" s="241" t="s">
        <v>548</v>
      </c>
      <c r="J83" s="241" t="s">
        <v>549</v>
      </c>
      <c r="K83" s="241" t="s">
        <v>550</v>
      </c>
      <c r="M83" t="s">
        <v>380</v>
      </c>
      <c r="N83" t="s">
        <v>646</v>
      </c>
      <c r="O83" t="s">
        <v>372</v>
      </c>
      <c r="P83" t="s">
        <v>646</v>
      </c>
      <c r="Q83" t="s">
        <v>373</v>
      </c>
      <c r="R83" t="s">
        <v>646</v>
      </c>
      <c r="S83" t="s">
        <v>87</v>
      </c>
      <c r="T83" t="s">
        <v>646</v>
      </c>
      <c r="U83" s="245" t="s">
        <v>647</v>
      </c>
    </row>
    <row r="84" spans="2:21">
      <c r="B84" s="242">
        <v>1</v>
      </c>
      <c r="C84" s="242">
        <v>5</v>
      </c>
      <c r="D84" s="242">
        <v>7</v>
      </c>
      <c r="E84" s="242">
        <v>8</v>
      </c>
      <c r="F84" s="242">
        <v>9</v>
      </c>
      <c r="G84" s="242">
        <v>10</v>
      </c>
      <c r="H84" s="242">
        <v>11</v>
      </c>
      <c r="I84" s="242">
        <v>12</v>
      </c>
      <c r="J84" s="242">
        <v>13</v>
      </c>
      <c r="K84" s="242">
        <v>14</v>
      </c>
      <c r="U84" s="245"/>
    </row>
    <row r="85" spans="2:21">
      <c r="B85" s="242"/>
      <c r="C85" s="242"/>
      <c r="D85" s="242"/>
      <c r="E85" s="242"/>
      <c r="F85" s="242"/>
      <c r="G85" s="242"/>
      <c r="H85" s="242"/>
      <c r="I85" s="242"/>
      <c r="J85" s="242"/>
      <c r="K85" s="242"/>
      <c r="U85" s="245"/>
    </row>
    <row r="86" spans="2:21">
      <c r="B86" s="242" t="s">
        <v>551</v>
      </c>
      <c r="C86" s="242"/>
      <c r="D86" s="242"/>
      <c r="E86" s="242"/>
      <c r="F86" s="242"/>
      <c r="G86" s="242"/>
      <c r="H86" s="242"/>
      <c r="I86" s="242"/>
      <c r="J86" s="242"/>
      <c r="K86" s="242"/>
      <c r="U86" s="245"/>
    </row>
    <row r="87" spans="2:21">
      <c r="B87" s="268" t="s">
        <v>552</v>
      </c>
      <c r="C87" s="242">
        <v>1</v>
      </c>
      <c r="D87" s="242">
        <v>21.01</v>
      </c>
      <c r="E87" s="242">
        <v>3489.34</v>
      </c>
      <c r="F87" s="242">
        <v>47</v>
      </c>
      <c r="G87" s="243">
        <v>1639.99</v>
      </c>
      <c r="H87" s="242">
        <v>100</v>
      </c>
      <c r="I87" s="242">
        <v>3489.34</v>
      </c>
      <c r="J87" s="242">
        <v>8618.67</v>
      </c>
      <c r="K87" s="242">
        <v>8618.67</v>
      </c>
      <c r="M87" s="247">
        <f>E87*3*C87</f>
        <v>10468.02</v>
      </c>
      <c r="N87" s="247">
        <f>(G87+I87)*C87*3</f>
        <v>15387.99</v>
      </c>
      <c r="O87" s="247">
        <f>E87*C87*6</f>
        <v>20936.04</v>
      </c>
      <c r="P87" s="247">
        <f>(G87+I87)*C87*6</f>
        <v>30775.98</v>
      </c>
      <c r="Q87" s="247">
        <f>E87*C87*9</f>
        <v>31404.06</v>
      </c>
      <c r="R87" s="247">
        <f>(G87+I87)*C87*9</f>
        <v>46163.97</v>
      </c>
      <c r="S87" s="247">
        <f>E87*C87*12</f>
        <v>41872.080000000002</v>
      </c>
      <c r="T87" s="247">
        <f>(G87+I87)*C87*12</f>
        <v>61551.96</v>
      </c>
      <c r="U87" s="246">
        <f>S87+T87</f>
        <v>103424.04000000001</v>
      </c>
    </row>
    <row r="88" spans="2:21">
      <c r="B88" s="268" t="s">
        <v>553</v>
      </c>
      <c r="C88" s="242">
        <v>11</v>
      </c>
      <c r="D88" s="242">
        <v>21.01</v>
      </c>
      <c r="E88" s="242">
        <v>3489.34</v>
      </c>
      <c r="F88" s="242">
        <v>12</v>
      </c>
      <c r="G88" s="242">
        <v>418.72</v>
      </c>
      <c r="H88" s="242">
        <v>100</v>
      </c>
      <c r="I88" s="242">
        <v>3489.34</v>
      </c>
      <c r="J88" s="242">
        <v>7397.4</v>
      </c>
      <c r="K88" s="242">
        <v>81371.429999999993</v>
      </c>
      <c r="M88" s="247">
        <f t="shared" ref="M88:M151" si="19">E88*3*C88</f>
        <v>115148.22</v>
      </c>
      <c r="N88" s="247">
        <f t="shared" ref="N88:N151" si="20">(G88+I88)*C88*3</f>
        <v>128965.98000000001</v>
      </c>
      <c r="O88" s="247">
        <f t="shared" ref="O88:O151" si="21">E88*C88*6</f>
        <v>230296.44000000003</v>
      </c>
      <c r="P88" s="247">
        <f t="shared" ref="P88:P151" si="22">(G88+I88)*C88*6</f>
        <v>257931.96000000002</v>
      </c>
      <c r="Q88" s="247">
        <f t="shared" ref="Q88:Q151" si="23">E88*C88*9</f>
        <v>345444.66000000003</v>
      </c>
      <c r="R88" s="247">
        <f t="shared" ref="R88:R151" si="24">(G88+I88)*C88*9</f>
        <v>386897.94000000006</v>
      </c>
      <c r="S88" s="247">
        <f t="shared" ref="S88:S151" si="25">E88*C88*12</f>
        <v>460592.88000000006</v>
      </c>
      <c r="T88" s="247">
        <f t="shared" ref="T88:T151" si="26">(G88+I88)*C88*12</f>
        <v>515863.92000000004</v>
      </c>
      <c r="U88" s="246">
        <f t="shared" ref="U88:U151" si="27">S88+T88</f>
        <v>976456.8</v>
      </c>
    </row>
    <row r="89" spans="2:21">
      <c r="B89" s="268" t="s">
        <v>554</v>
      </c>
      <c r="C89" s="242">
        <v>1</v>
      </c>
      <c r="D89" s="242">
        <v>21.01</v>
      </c>
      <c r="E89" s="242">
        <v>3489.34</v>
      </c>
      <c r="F89" s="242">
        <v>47</v>
      </c>
      <c r="G89" s="243">
        <v>1639.99</v>
      </c>
      <c r="H89" s="242">
        <v>100</v>
      </c>
      <c r="I89" s="242">
        <v>3489.34</v>
      </c>
      <c r="J89" s="242">
        <v>8618.67</v>
      </c>
      <c r="K89" s="242">
        <v>8618.67</v>
      </c>
      <c r="M89" s="247">
        <f t="shared" si="19"/>
        <v>10468.02</v>
      </c>
      <c r="N89" s="247">
        <f t="shared" si="20"/>
        <v>15387.99</v>
      </c>
      <c r="O89" s="247">
        <f t="shared" si="21"/>
        <v>20936.04</v>
      </c>
      <c r="P89" s="247">
        <f t="shared" si="22"/>
        <v>30775.98</v>
      </c>
      <c r="Q89" s="247">
        <f t="shared" si="23"/>
        <v>31404.06</v>
      </c>
      <c r="R89" s="247">
        <f t="shared" si="24"/>
        <v>46163.97</v>
      </c>
      <c r="S89" s="247">
        <f t="shared" si="25"/>
        <v>41872.080000000002</v>
      </c>
      <c r="T89" s="247">
        <f t="shared" si="26"/>
        <v>61551.96</v>
      </c>
      <c r="U89" s="246">
        <f t="shared" si="27"/>
        <v>103424.04000000001</v>
      </c>
    </row>
    <row r="90" spans="2:21">
      <c r="B90" s="268" t="s">
        <v>555</v>
      </c>
      <c r="C90" s="242">
        <v>22</v>
      </c>
      <c r="D90" s="242">
        <v>21.01</v>
      </c>
      <c r="E90" s="242">
        <v>3489.34</v>
      </c>
      <c r="F90" s="242">
        <v>12</v>
      </c>
      <c r="G90" s="242">
        <v>418.72</v>
      </c>
      <c r="H90" s="242">
        <v>100</v>
      </c>
      <c r="I90" s="242">
        <v>3489.34</v>
      </c>
      <c r="J90" s="242">
        <v>7397.4</v>
      </c>
      <c r="K90" s="242">
        <v>162742.85</v>
      </c>
      <c r="M90" s="247">
        <f t="shared" si="19"/>
        <v>230296.44</v>
      </c>
      <c r="N90" s="247">
        <f t="shared" si="20"/>
        <v>257931.96000000002</v>
      </c>
      <c r="O90" s="247">
        <f t="shared" si="21"/>
        <v>460592.88000000006</v>
      </c>
      <c r="P90" s="247">
        <f t="shared" si="22"/>
        <v>515863.92000000004</v>
      </c>
      <c r="Q90" s="247">
        <f t="shared" si="23"/>
        <v>690889.32000000007</v>
      </c>
      <c r="R90" s="247">
        <f t="shared" si="24"/>
        <v>773795.88000000012</v>
      </c>
      <c r="S90" s="247">
        <f t="shared" si="25"/>
        <v>921185.76000000013</v>
      </c>
      <c r="T90" s="247">
        <f t="shared" si="26"/>
        <v>1031727.8400000001</v>
      </c>
      <c r="U90" s="246">
        <f t="shared" si="27"/>
        <v>1952913.6</v>
      </c>
    </row>
    <row r="91" spans="2:21">
      <c r="B91" s="268" t="s">
        <v>556</v>
      </c>
      <c r="C91" s="242">
        <v>1</v>
      </c>
      <c r="D91" s="242">
        <v>21.01</v>
      </c>
      <c r="E91" s="242">
        <v>3489.34</v>
      </c>
      <c r="F91" s="242">
        <v>37</v>
      </c>
      <c r="G91" s="243">
        <v>1291.06</v>
      </c>
      <c r="H91" s="242">
        <v>100</v>
      </c>
      <c r="I91" s="242">
        <v>3489.34</v>
      </c>
      <c r="J91" s="242">
        <v>8269.74</v>
      </c>
      <c r="K91" s="242">
        <v>8269.74</v>
      </c>
      <c r="M91" s="247">
        <f t="shared" si="19"/>
        <v>10468.02</v>
      </c>
      <c r="N91" s="247">
        <f t="shared" si="20"/>
        <v>14341.199999999999</v>
      </c>
      <c r="O91" s="247">
        <f t="shared" si="21"/>
        <v>20936.04</v>
      </c>
      <c r="P91" s="247">
        <f t="shared" si="22"/>
        <v>28682.399999999998</v>
      </c>
      <c r="Q91" s="247">
        <f t="shared" si="23"/>
        <v>31404.06</v>
      </c>
      <c r="R91" s="247">
        <f t="shared" si="24"/>
        <v>43023.6</v>
      </c>
      <c r="S91" s="247">
        <f t="shared" si="25"/>
        <v>41872.080000000002</v>
      </c>
      <c r="T91" s="247">
        <f t="shared" si="26"/>
        <v>57364.799999999996</v>
      </c>
      <c r="U91" s="246">
        <f t="shared" si="27"/>
        <v>99236.88</v>
      </c>
    </row>
    <row r="92" spans="2:21">
      <c r="B92" s="268" t="s">
        <v>557</v>
      </c>
      <c r="C92" s="242">
        <v>8</v>
      </c>
      <c r="D92" s="242">
        <v>21.01</v>
      </c>
      <c r="E92" s="242">
        <v>3489.34</v>
      </c>
      <c r="F92" s="242">
        <v>12</v>
      </c>
      <c r="G92" s="242">
        <v>418.72</v>
      </c>
      <c r="H92" s="242">
        <v>100</v>
      </c>
      <c r="I92" s="242">
        <v>3489.34</v>
      </c>
      <c r="J92" s="242">
        <v>7397.4</v>
      </c>
      <c r="K92" s="242">
        <v>59179.22</v>
      </c>
      <c r="M92" s="247">
        <f t="shared" si="19"/>
        <v>83744.160000000003</v>
      </c>
      <c r="N92" s="247">
        <f t="shared" si="20"/>
        <v>93793.44</v>
      </c>
      <c r="O92" s="247">
        <f t="shared" si="21"/>
        <v>167488.32000000001</v>
      </c>
      <c r="P92" s="247">
        <f t="shared" si="22"/>
        <v>187586.88</v>
      </c>
      <c r="Q92" s="247">
        <f t="shared" si="23"/>
        <v>251232.48</v>
      </c>
      <c r="R92" s="247">
        <f t="shared" si="24"/>
        <v>281380.32</v>
      </c>
      <c r="S92" s="247">
        <f t="shared" si="25"/>
        <v>334976.64000000001</v>
      </c>
      <c r="T92" s="247">
        <f t="shared" si="26"/>
        <v>375173.76</v>
      </c>
      <c r="U92" s="246">
        <f t="shared" si="27"/>
        <v>710150.4</v>
      </c>
    </row>
    <row r="93" spans="2:21">
      <c r="B93" s="268" t="s">
        <v>558</v>
      </c>
      <c r="C93" s="242">
        <v>1</v>
      </c>
      <c r="D93" s="242">
        <v>21.01</v>
      </c>
      <c r="E93" s="242">
        <v>3489.34</v>
      </c>
      <c r="F93" s="242">
        <v>37</v>
      </c>
      <c r="G93" s="243">
        <v>1291.06</v>
      </c>
      <c r="H93" s="242">
        <v>100</v>
      </c>
      <c r="I93" s="242">
        <v>3489.34</v>
      </c>
      <c r="J93" s="242">
        <v>8269.74</v>
      </c>
      <c r="K93" s="242">
        <v>8269.74</v>
      </c>
      <c r="M93" s="247">
        <f t="shared" si="19"/>
        <v>10468.02</v>
      </c>
      <c r="N93" s="247">
        <f t="shared" si="20"/>
        <v>14341.199999999999</v>
      </c>
      <c r="O93" s="247">
        <f t="shared" si="21"/>
        <v>20936.04</v>
      </c>
      <c r="P93" s="247">
        <f t="shared" si="22"/>
        <v>28682.399999999998</v>
      </c>
      <c r="Q93" s="247">
        <f t="shared" si="23"/>
        <v>31404.06</v>
      </c>
      <c r="R93" s="247">
        <f t="shared" si="24"/>
        <v>43023.6</v>
      </c>
      <c r="S93" s="247">
        <f t="shared" si="25"/>
        <v>41872.080000000002</v>
      </c>
      <c r="T93" s="247">
        <f t="shared" si="26"/>
        <v>57364.799999999996</v>
      </c>
      <c r="U93" s="246">
        <f t="shared" si="27"/>
        <v>99236.88</v>
      </c>
    </row>
    <row r="94" spans="2:21">
      <c r="B94" s="268" t="s">
        <v>559</v>
      </c>
      <c r="C94" s="242">
        <v>9</v>
      </c>
      <c r="D94" s="242">
        <v>21.01</v>
      </c>
      <c r="E94" s="242">
        <v>3489.34</v>
      </c>
      <c r="F94" s="242">
        <v>12</v>
      </c>
      <c r="G94" s="242">
        <v>418.72</v>
      </c>
      <c r="H94" s="242">
        <v>100</v>
      </c>
      <c r="I94" s="242">
        <v>3489.34</v>
      </c>
      <c r="J94" s="242">
        <v>7397.4</v>
      </c>
      <c r="K94" s="242">
        <v>66576.62</v>
      </c>
      <c r="M94" s="247">
        <f t="shared" si="19"/>
        <v>94212.180000000008</v>
      </c>
      <c r="N94" s="247">
        <f t="shared" si="20"/>
        <v>105517.62</v>
      </c>
      <c r="O94" s="247">
        <f t="shared" si="21"/>
        <v>188424.36000000002</v>
      </c>
      <c r="P94" s="247">
        <f t="shared" si="22"/>
        <v>211035.24</v>
      </c>
      <c r="Q94" s="247">
        <f t="shared" si="23"/>
        <v>282636.54000000004</v>
      </c>
      <c r="R94" s="247">
        <f t="shared" si="24"/>
        <v>316552.86</v>
      </c>
      <c r="S94" s="247">
        <f t="shared" si="25"/>
        <v>376848.72000000003</v>
      </c>
      <c r="T94" s="247">
        <f t="shared" si="26"/>
        <v>422070.48</v>
      </c>
      <c r="U94" s="246">
        <f t="shared" si="27"/>
        <v>798919.2</v>
      </c>
    </row>
    <row r="95" spans="2:21">
      <c r="B95" s="268" t="s">
        <v>495</v>
      </c>
      <c r="C95" s="242">
        <v>54</v>
      </c>
      <c r="D95" s="242"/>
      <c r="E95" s="242"/>
      <c r="F95" s="242"/>
      <c r="G95" s="242"/>
      <c r="H95" s="242"/>
      <c r="I95" s="242"/>
      <c r="J95" s="242"/>
      <c r="K95" s="242">
        <v>403646.94</v>
      </c>
      <c r="M95" s="247">
        <f t="shared" si="19"/>
        <v>0</v>
      </c>
      <c r="N95" s="247">
        <f t="shared" si="20"/>
        <v>0</v>
      </c>
      <c r="O95" s="247">
        <f t="shared" si="21"/>
        <v>0</v>
      </c>
      <c r="P95" s="247">
        <f t="shared" si="22"/>
        <v>0</v>
      </c>
      <c r="Q95" s="247">
        <f t="shared" si="23"/>
        <v>0</v>
      </c>
      <c r="R95" s="247">
        <f t="shared" si="24"/>
        <v>0</v>
      </c>
      <c r="S95" s="247">
        <f t="shared" si="25"/>
        <v>0</v>
      </c>
      <c r="T95" s="247">
        <f t="shared" si="26"/>
        <v>0</v>
      </c>
      <c r="U95" s="246">
        <f t="shared" si="27"/>
        <v>0</v>
      </c>
    </row>
    <row r="96" spans="2:21">
      <c r="B96" s="268" t="s">
        <v>517</v>
      </c>
      <c r="C96" s="242"/>
      <c r="D96" s="242"/>
      <c r="E96" s="242"/>
      <c r="F96" s="242"/>
      <c r="G96" s="242"/>
      <c r="H96" s="242"/>
      <c r="I96" s="242"/>
      <c r="J96" s="242"/>
      <c r="K96" s="242"/>
      <c r="M96" s="247">
        <f t="shared" si="19"/>
        <v>0</v>
      </c>
      <c r="N96" s="247">
        <f t="shared" si="20"/>
        <v>0</v>
      </c>
      <c r="O96" s="247">
        <f t="shared" si="21"/>
        <v>0</v>
      </c>
      <c r="P96" s="247">
        <f t="shared" si="22"/>
        <v>0</v>
      </c>
      <c r="Q96" s="247">
        <f t="shared" si="23"/>
        <v>0</v>
      </c>
      <c r="R96" s="247">
        <f t="shared" si="24"/>
        <v>0</v>
      </c>
      <c r="S96" s="247">
        <f t="shared" si="25"/>
        <v>0</v>
      </c>
      <c r="T96" s="247">
        <f t="shared" si="26"/>
        <v>0</v>
      </c>
      <c r="U96" s="246">
        <f t="shared" si="27"/>
        <v>0</v>
      </c>
    </row>
    <row r="97" spans="2:21">
      <c r="B97" s="268" t="s">
        <v>560</v>
      </c>
      <c r="C97" s="242">
        <v>31</v>
      </c>
      <c r="D97" s="242">
        <v>21.01</v>
      </c>
      <c r="E97" s="242">
        <v>3489.34</v>
      </c>
      <c r="F97" s="242">
        <v>12</v>
      </c>
      <c r="G97" s="242">
        <v>418.72089599999998</v>
      </c>
      <c r="H97" s="242">
        <v>100</v>
      </c>
      <c r="I97" s="242">
        <v>3489.34</v>
      </c>
      <c r="J97" s="242">
        <v>7397.4</v>
      </c>
      <c r="K97" s="242">
        <v>229319.48</v>
      </c>
      <c r="M97" s="247">
        <f t="shared" si="19"/>
        <v>324508.62</v>
      </c>
      <c r="N97" s="247">
        <f t="shared" si="20"/>
        <v>363449.663328</v>
      </c>
      <c r="O97" s="247">
        <f t="shared" si="21"/>
        <v>649017.24</v>
      </c>
      <c r="P97" s="247">
        <f t="shared" si="22"/>
        <v>726899.32665599999</v>
      </c>
      <c r="Q97" s="247">
        <f t="shared" si="23"/>
        <v>973525.8600000001</v>
      </c>
      <c r="R97" s="247">
        <f t="shared" si="24"/>
        <v>1090348.9899840001</v>
      </c>
      <c r="S97" s="247">
        <f t="shared" si="25"/>
        <v>1298034.48</v>
      </c>
      <c r="T97" s="247">
        <f t="shared" si="26"/>
        <v>1453798.653312</v>
      </c>
      <c r="U97" s="246">
        <f t="shared" si="27"/>
        <v>2751833.133312</v>
      </c>
    </row>
    <row r="98" spans="2:21">
      <c r="B98" s="268" t="s">
        <v>561</v>
      </c>
      <c r="C98" s="242">
        <v>1</v>
      </c>
      <c r="D98" s="242">
        <v>21.01</v>
      </c>
      <c r="E98" s="242">
        <v>3489.34</v>
      </c>
      <c r="F98" s="242">
        <v>47</v>
      </c>
      <c r="G98" s="242">
        <v>1639.990176</v>
      </c>
      <c r="H98" s="242">
        <v>100</v>
      </c>
      <c r="I98" s="242">
        <v>3489.34</v>
      </c>
      <c r="J98" s="242">
        <v>8618.67</v>
      </c>
      <c r="K98" s="242">
        <v>8618.67</v>
      </c>
      <c r="M98" s="247">
        <f t="shared" si="19"/>
        <v>10468.02</v>
      </c>
      <c r="N98" s="247">
        <f t="shared" si="20"/>
        <v>15387.990528000002</v>
      </c>
      <c r="O98" s="247">
        <f t="shared" si="21"/>
        <v>20936.04</v>
      </c>
      <c r="P98" s="247">
        <f t="shared" si="22"/>
        <v>30775.981056000004</v>
      </c>
      <c r="Q98" s="247">
        <f t="shared" si="23"/>
        <v>31404.06</v>
      </c>
      <c r="R98" s="247">
        <f t="shared" si="24"/>
        <v>46163.971584000006</v>
      </c>
      <c r="S98" s="247">
        <f t="shared" si="25"/>
        <v>41872.080000000002</v>
      </c>
      <c r="T98" s="247">
        <f t="shared" si="26"/>
        <v>61551.962112000008</v>
      </c>
      <c r="U98" s="246">
        <f t="shared" si="27"/>
        <v>103424.04211200001</v>
      </c>
    </row>
    <row r="99" spans="2:21">
      <c r="B99" s="268" t="s">
        <v>562</v>
      </c>
      <c r="C99" s="242">
        <v>1</v>
      </c>
      <c r="D99" s="242">
        <v>25.21</v>
      </c>
      <c r="E99" s="242">
        <v>4186.88</v>
      </c>
      <c r="F99" s="242">
        <v>67</v>
      </c>
      <c r="G99" s="242">
        <v>2805.2074560000001</v>
      </c>
      <c r="H99" s="242">
        <v>100</v>
      </c>
      <c r="I99" s="242">
        <v>4186.88</v>
      </c>
      <c r="J99" s="242">
        <v>11178.96</v>
      </c>
      <c r="K99" s="242">
        <v>11178.96</v>
      </c>
      <c r="M99" s="247">
        <f t="shared" si="19"/>
        <v>12560.64</v>
      </c>
      <c r="N99" s="247">
        <f t="shared" si="20"/>
        <v>20976.262368</v>
      </c>
      <c r="O99" s="247">
        <f t="shared" si="21"/>
        <v>25121.279999999999</v>
      </c>
      <c r="P99" s="247">
        <f t="shared" si="22"/>
        <v>41952.524735999999</v>
      </c>
      <c r="Q99" s="247">
        <f t="shared" si="23"/>
        <v>37681.919999999998</v>
      </c>
      <c r="R99" s="247">
        <f t="shared" si="24"/>
        <v>62928.787104000003</v>
      </c>
      <c r="S99" s="247">
        <f t="shared" si="25"/>
        <v>50242.559999999998</v>
      </c>
      <c r="T99" s="247">
        <f t="shared" si="26"/>
        <v>83905.049471999999</v>
      </c>
      <c r="U99" s="246">
        <f t="shared" si="27"/>
        <v>134147.60947199998</v>
      </c>
    </row>
    <row r="100" spans="2:21">
      <c r="B100" s="268" t="s">
        <v>563</v>
      </c>
      <c r="C100" s="242">
        <v>1</v>
      </c>
      <c r="D100" s="242">
        <v>22.67</v>
      </c>
      <c r="E100" s="242">
        <v>3765.03</v>
      </c>
      <c r="F100" s="242">
        <v>20</v>
      </c>
      <c r="G100" s="242">
        <v>753.00671999999997</v>
      </c>
      <c r="H100" s="242">
        <v>100</v>
      </c>
      <c r="I100" s="242">
        <v>3765.03</v>
      </c>
      <c r="J100" s="242">
        <v>8283.07</v>
      </c>
      <c r="K100" s="242">
        <v>8283.07</v>
      </c>
      <c r="M100" s="247">
        <f t="shared" si="19"/>
        <v>11295.09</v>
      </c>
      <c r="N100" s="247">
        <f t="shared" si="20"/>
        <v>13554.11016</v>
      </c>
      <c r="O100" s="247">
        <f t="shared" si="21"/>
        <v>22590.18</v>
      </c>
      <c r="P100" s="247">
        <f t="shared" si="22"/>
        <v>27108.22032</v>
      </c>
      <c r="Q100" s="247">
        <f t="shared" si="23"/>
        <v>33885.270000000004</v>
      </c>
      <c r="R100" s="247">
        <f t="shared" si="24"/>
        <v>40662.330480000004</v>
      </c>
      <c r="S100" s="247">
        <f t="shared" si="25"/>
        <v>45180.36</v>
      </c>
      <c r="T100" s="247">
        <f t="shared" si="26"/>
        <v>54216.440640000001</v>
      </c>
      <c r="U100" s="246">
        <f t="shared" si="27"/>
        <v>99396.800640000001</v>
      </c>
    </row>
    <row r="101" spans="2:21">
      <c r="B101" s="268" t="s">
        <v>563</v>
      </c>
      <c r="C101" s="242">
        <v>13</v>
      </c>
      <c r="D101" s="242">
        <v>25.21</v>
      </c>
      <c r="E101" s="242">
        <v>4186.88</v>
      </c>
      <c r="F101" s="242">
        <v>32</v>
      </c>
      <c r="G101" s="242">
        <v>1339.8005760000001</v>
      </c>
      <c r="H101" s="242">
        <v>100</v>
      </c>
      <c r="I101" s="242">
        <v>4186.88</v>
      </c>
      <c r="J101" s="242">
        <v>9713.5499999999993</v>
      </c>
      <c r="K101" s="242">
        <v>126276.2</v>
      </c>
      <c r="M101" s="247">
        <f t="shared" si="19"/>
        <v>163288.32000000001</v>
      </c>
      <c r="N101" s="247">
        <f t="shared" si="20"/>
        <v>215540.54246400006</v>
      </c>
      <c r="O101" s="247">
        <f t="shared" si="21"/>
        <v>326576.64000000001</v>
      </c>
      <c r="P101" s="247">
        <f t="shared" si="22"/>
        <v>431081.08492800011</v>
      </c>
      <c r="Q101" s="247">
        <f t="shared" si="23"/>
        <v>489864.96000000002</v>
      </c>
      <c r="R101" s="247">
        <f t="shared" si="24"/>
        <v>646621.62739200017</v>
      </c>
      <c r="S101" s="247">
        <f t="shared" si="25"/>
        <v>653153.28000000003</v>
      </c>
      <c r="T101" s="247">
        <f t="shared" si="26"/>
        <v>862162.16985600023</v>
      </c>
      <c r="U101" s="246">
        <f t="shared" si="27"/>
        <v>1515315.4498560003</v>
      </c>
    </row>
    <row r="102" spans="2:21">
      <c r="B102" s="268" t="s">
        <v>564</v>
      </c>
      <c r="C102" s="242">
        <v>2</v>
      </c>
      <c r="D102" s="242">
        <v>22.67</v>
      </c>
      <c r="E102" s="242">
        <v>3765.03</v>
      </c>
      <c r="F102" s="242">
        <v>12</v>
      </c>
      <c r="G102" s="242">
        <v>451.80403200000001</v>
      </c>
      <c r="H102" s="242">
        <v>100</v>
      </c>
      <c r="I102" s="242">
        <v>3765.03</v>
      </c>
      <c r="J102" s="242">
        <v>7981.87</v>
      </c>
      <c r="K102" s="242">
        <v>15963.74</v>
      </c>
      <c r="M102" s="247">
        <f t="shared" si="19"/>
        <v>22590.18</v>
      </c>
      <c r="N102" s="247">
        <f t="shared" si="20"/>
        <v>25301.004192000004</v>
      </c>
      <c r="O102" s="247">
        <f t="shared" si="21"/>
        <v>45180.36</v>
      </c>
      <c r="P102" s="247">
        <f t="shared" si="22"/>
        <v>50602.008384000008</v>
      </c>
      <c r="Q102" s="247">
        <f t="shared" si="23"/>
        <v>67770.540000000008</v>
      </c>
      <c r="R102" s="247">
        <f t="shared" si="24"/>
        <v>75903.012576000008</v>
      </c>
      <c r="S102" s="247">
        <f t="shared" si="25"/>
        <v>90360.72</v>
      </c>
      <c r="T102" s="247">
        <f t="shared" si="26"/>
        <v>101204.01676800002</v>
      </c>
      <c r="U102" s="246">
        <f t="shared" si="27"/>
        <v>191564.736768</v>
      </c>
    </row>
    <row r="103" spans="2:21">
      <c r="B103" s="268" t="s">
        <v>564</v>
      </c>
      <c r="C103" s="242">
        <v>12</v>
      </c>
      <c r="D103" s="242">
        <v>25.21</v>
      </c>
      <c r="E103" s="242">
        <v>4186.88</v>
      </c>
      <c r="F103" s="242">
        <v>24</v>
      </c>
      <c r="G103" s="242">
        <v>1004.850432</v>
      </c>
      <c r="H103" s="242">
        <v>100</v>
      </c>
      <c r="I103" s="242">
        <v>4186.88</v>
      </c>
      <c r="J103" s="242">
        <v>9378.6</v>
      </c>
      <c r="K103" s="242">
        <v>112543.25</v>
      </c>
      <c r="M103" s="247">
        <f t="shared" si="19"/>
        <v>150727.67999999999</v>
      </c>
      <c r="N103" s="247">
        <f t="shared" si="20"/>
        <v>186902.295552</v>
      </c>
      <c r="O103" s="247">
        <f t="shared" si="21"/>
        <v>301455.35999999999</v>
      </c>
      <c r="P103" s="247">
        <f t="shared" si="22"/>
        <v>373804.59110399999</v>
      </c>
      <c r="Q103" s="247">
        <f t="shared" si="23"/>
        <v>452183.03999999998</v>
      </c>
      <c r="R103" s="247">
        <f t="shared" si="24"/>
        <v>560706.88665600005</v>
      </c>
      <c r="S103" s="247">
        <f t="shared" si="25"/>
        <v>602910.71999999997</v>
      </c>
      <c r="T103" s="247">
        <f t="shared" si="26"/>
        <v>747609.18220799998</v>
      </c>
      <c r="U103" s="246">
        <f t="shared" si="27"/>
        <v>1350519.902208</v>
      </c>
    </row>
    <row r="104" spans="2:21">
      <c r="B104" s="268" t="s">
        <v>565</v>
      </c>
      <c r="C104" s="242">
        <v>3</v>
      </c>
      <c r="D104" s="242">
        <v>32.15</v>
      </c>
      <c r="E104" s="242">
        <v>5339.47</v>
      </c>
      <c r="F104" s="242">
        <v>28</v>
      </c>
      <c r="G104" s="242">
        <v>1495.05216</v>
      </c>
      <c r="H104" s="242">
        <v>50</v>
      </c>
      <c r="I104" s="242">
        <v>2669.74</v>
      </c>
      <c r="J104" s="242">
        <v>9504.26</v>
      </c>
      <c r="K104" s="242">
        <v>28512.78</v>
      </c>
      <c r="M104" s="247">
        <f t="shared" si="19"/>
        <v>48055.229999999996</v>
      </c>
      <c r="N104" s="247">
        <f t="shared" si="20"/>
        <v>37483.129439999997</v>
      </c>
      <c r="O104" s="247">
        <f t="shared" si="21"/>
        <v>96110.459999999992</v>
      </c>
      <c r="P104" s="247">
        <f t="shared" si="22"/>
        <v>74966.258879999994</v>
      </c>
      <c r="Q104" s="247">
        <f t="shared" si="23"/>
        <v>144165.69</v>
      </c>
      <c r="R104" s="247">
        <f t="shared" si="24"/>
        <v>112449.38832</v>
      </c>
      <c r="S104" s="247">
        <f t="shared" si="25"/>
        <v>192220.91999999998</v>
      </c>
      <c r="T104" s="247">
        <f t="shared" si="26"/>
        <v>149932.51775999999</v>
      </c>
      <c r="U104" s="246">
        <f t="shared" si="27"/>
        <v>342153.43776</v>
      </c>
    </row>
    <row r="105" spans="2:21">
      <c r="B105" s="268" t="s">
        <v>566</v>
      </c>
      <c r="C105" s="242">
        <v>1</v>
      </c>
      <c r="D105" s="242">
        <v>36.770000000000003</v>
      </c>
      <c r="E105" s="242">
        <v>6106.76</v>
      </c>
      <c r="F105" s="242">
        <v>32</v>
      </c>
      <c r="G105" s="242">
        <v>1954.163712</v>
      </c>
      <c r="H105" s="242">
        <v>50</v>
      </c>
      <c r="I105" s="242">
        <v>3053.38</v>
      </c>
      <c r="J105" s="242">
        <v>11114.31</v>
      </c>
      <c r="K105" s="242">
        <v>11114.31</v>
      </c>
      <c r="M105" s="247">
        <f t="shared" si="19"/>
        <v>18320.28</v>
      </c>
      <c r="N105" s="247">
        <f t="shared" si="20"/>
        <v>15022.631136000002</v>
      </c>
      <c r="O105" s="247">
        <f t="shared" si="21"/>
        <v>36640.559999999998</v>
      </c>
      <c r="P105" s="247">
        <f t="shared" si="22"/>
        <v>30045.262272000004</v>
      </c>
      <c r="Q105" s="247">
        <f t="shared" si="23"/>
        <v>54960.840000000004</v>
      </c>
      <c r="R105" s="247">
        <f t="shared" si="24"/>
        <v>45067.893408000004</v>
      </c>
      <c r="S105" s="247">
        <f t="shared" si="25"/>
        <v>73281.119999999995</v>
      </c>
      <c r="T105" s="247">
        <f t="shared" si="26"/>
        <v>60090.524544000007</v>
      </c>
      <c r="U105" s="246">
        <f t="shared" si="27"/>
        <v>133371.64454400001</v>
      </c>
    </row>
    <row r="106" spans="2:21">
      <c r="B106" s="242" t="s">
        <v>495</v>
      </c>
      <c r="C106" s="242">
        <v>65</v>
      </c>
      <c r="D106" s="242"/>
      <c r="E106" s="242"/>
      <c r="F106" s="242"/>
      <c r="G106" s="242"/>
      <c r="H106" s="242"/>
      <c r="I106" s="242"/>
      <c r="J106" s="242"/>
      <c r="K106" s="242">
        <v>551810.47</v>
      </c>
      <c r="M106" s="247">
        <f t="shared" si="19"/>
        <v>0</v>
      </c>
      <c r="N106" s="247">
        <f t="shared" si="20"/>
        <v>0</v>
      </c>
      <c r="O106" s="247">
        <f t="shared" si="21"/>
        <v>0</v>
      </c>
      <c r="P106" s="247">
        <f t="shared" si="22"/>
        <v>0</v>
      </c>
      <c r="Q106" s="247">
        <f t="shared" si="23"/>
        <v>0</v>
      </c>
      <c r="R106" s="247">
        <f t="shared" si="24"/>
        <v>0</v>
      </c>
      <c r="S106" s="247">
        <f t="shared" si="25"/>
        <v>0</v>
      </c>
      <c r="T106" s="247">
        <f t="shared" si="26"/>
        <v>0</v>
      </c>
      <c r="U106" s="246">
        <f t="shared" si="27"/>
        <v>0</v>
      </c>
    </row>
    <row r="107" spans="2:21">
      <c r="B107" s="242" t="s">
        <v>567</v>
      </c>
      <c r="C107" s="242"/>
      <c r="D107" s="242"/>
      <c r="E107" s="242"/>
      <c r="F107" s="242"/>
      <c r="G107" s="242"/>
      <c r="H107" s="242"/>
      <c r="I107" s="242"/>
      <c r="J107" s="242"/>
      <c r="K107" s="242"/>
      <c r="M107" s="247">
        <f t="shared" si="19"/>
        <v>0</v>
      </c>
      <c r="N107" s="247">
        <f t="shared" si="20"/>
        <v>0</v>
      </c>
      <c r="O107" s="247">
        <f t="shared" si="21"/>
        <v>0</v>
      </c>
      <c r="P107" s="247">
        <f t="shared" si="22"/>
        <v>0</v>
      </c>
      <c r="Q107" s="247">
        <f t="shared" si="23"/>
        <v>0</v>
      </c>
      <c r="R107" s="247">
        <f t="shared" si="24"/>
        <v>0</v>
      </c>
      <c r="S107" s="247">
        <f t="shared" si="25"/>
        <v>0</v>
      </c>
      <c r="T107" s="247">
        <f t="shared" si="26"/>
        <v>0</v>
      </c>
      <c r="U107" s="246">
        <f t="shared" si="27"/>
        <v>0</v>
      </c>
    </row>
    <row r="108" spans="2:21">
      <c r="B108" s="242" t="s">
        <v>568</v>
      </c>
      <c r="C108" s="242">
        <v>1</v>
      </c>
      <c r="D108" s="242">
        <v>26.42</v>
      </c>
      <c r="E108" s="242">
        <v>4387.83</v>
      </c>
      <c r="F108" s="242">
        <v>26.7</v>
      </c>
      <c r="G108" s="242">
        <v>1171.55</v>
      </c>
      <c r="H108" s="242">
        <v>90</v>
      </c>
      <c r="I108" s="242">
        <v>3949.05</v>
      </c>
      <c r="J108" s="242">
        <v>9508.44</v>
      </c>
      <c r="K108" s="242">
        <v>9508.44</v>
      </c>
      <c r="M108" s="247">
        <f t="shared" si="19"/>
        <v>13163.49</v>
      </c>
      <c r="N108" s="247">
        <f t="shared" si="20"/>
        <v>15361.800000000001</v>
      </c>
      <c r="O108" s="247">
        <f t="shared" si="21"/>
        <v>26326.98</v>
      </c>
      <c r="P108" s="247">
        <f t="shared" si="22"/>
        <v>30723.600000000002</v>
      </c>
      <c r="Q108" s="247">
        <f t="shared" si="23"/>
        <v>39490.47</v>
      </c>
      <c r="R108" s="247">
        <f t="shared" si="24"/>
        <v>46085.4</v>
      </c>
      <c r="S108" s="247">
        <f t="shared" si="25"/>
        <v>52653.96</v>
      </c>
      <c r="T108" s="247">
        <f t="shared" si="26"/>
        <v>61447.200000000004</v>
      </c>
      <c r="U108" s="246">
        <f t="shared" si="27"/>
        <v>114101.16</v>
      </c>
    </row>
    <row r="109" spans="2:21">
      <c r="B109" s="242" t="s">
        <v>569</v>
      </c>
      <c r="C109" s="242">
        <v>2</v>
      </c>
      <c r="D109" s="242">
        <v>27.69</v>
      </c>
      <c r="E109" s="242">
        <v>4598.76</v>
      </c>
      <c r="F109" s="242">
        <v>26.7</v>
      </c>
      <c r="G109" s="242">
        <v>1227.8699999999999</v>
      </c>
      <c r="H109" s="242">
        <v>90</v>
      </c>
      <c r="I109" s="242">
        <v>4138.88</v>
      </c>
      <c r="J109" s="242">
        <v>9965.5</v>
      </c>
      <c r="K109" s="242">
        <v>19931.009999999998</v>
      </c>
      <c r="M109" s="247">
        <f t="shared" si="19"/>
        <v>27592.560000000001</v>
      </c>
      <c r="N109" s="247">
        <f t="shared" si="20"/>
        <v>32200.5</v>
      </c>
      <c r="O109" s="247">
        <f t="shared" si="21"/>
        <v>55185.120000000003</v>
      </c>
      <c r="P109" s="247">
        <f t="shared" si="22"/>
        <v>64401</v>
      </c>
      <c r="Q109" s="247">
        <f t="shared" si="23"/>
        <v>82777.680000000008</v>
      </c>
      <c r="R109" s="247">
        <f t="shared" si="24"/>
        <v>96601.5</v>
      </c>
      <c r="S109" s="247">
        <f t="shared" si="25"/>
        <v>110370.24000000001</v>
      </c>
      <c r="T109" s="247">
        <f t="shared" si="26"/>
        <v>128802</v>
      </c>
      <c r="U109" s="246">
        <f t="shared" si="27"/>
        <v>239172.24</v>
      </c>
    </row>
    <row r="110" spans="2:21">
      <c r="B110" s="242" t="s">
        <v>570</v>
      </c>
      <c r="C110" s="242">
        <v>4</v>
      </c>
      <c r="D110" s="242">
        <v>32.94</v>
      </c>
      <c r="E110" s="242">
        <v>5470.68</v>
      </c>
      <c r="F110" s="242">
        <v>36.700000000000003</v>
      </c>
      <c r="G110" s="242">
        <v>2007.74</v>
      </c>
      <c r="H110" s="242">
        <v>90</v>
      </c>
      <c r="I110" s="242">
        <v>4923.6099999999997</v>
      </c>
      <c r="J110" s="242">
        <v>12402.02</v>
      </c>
      <c r="K110" s="242">
        <v>49608.08</v>
      </c>
      <c r="M110" s="247">
        <f t="shared" si="19"/>
        <v>65648.160000000003</v>
      </c>
      <c r="N110" s="247">
        <f t="shared" si="20"/>
        <v>83176.2</v>
      </c>
      <c r="O110" s="247">
        <f t="shared" si="21"/>
        <v>131296.32000000001</v>
      </c>
      <c r="P110" s="247">
        <f t="shared" si="22"/>
        <v>166352.4</v>
      </c>
      <c r="Q110" s="247">
        <f t="shared" si="23"/>
        <v>196944.48</v>
      </c>
      <c r="R110" s="247">
        <f t="shared" si="24"/>
        <v>249528.59999999998</v>
      </c>
      <c r="S110" s="247">
        <f t="shared" si="25"/>
        <v>262592.64000000001</v>
      </c>
      <c r="T110" s="247">
        <f t="shared" si="26"/>
        <v>332704.8</v>
      </c>
      <c r="U110" s="246">
        <f t="shared" si="27"/>
        <v>595297.43999999994</v>
      </c>
    </row>
    <row r="111" spans="2:21">
      <c r="B111" s="242" t="s">
        <v>571</v>
      </c>
      <c r="C111" s="242">
        <v>1</v>
      </c>
      <c r="D111" s="242">
        <v>32.94</v>
      </c>
      <c r="E111" s="242">
        <v>5470.68</v>
      </c>
      <c r="F111" s="242">
        <v>26.7</v>
      </c>
      <c r="G111" s="242">
        <v>1460.67</v>
      </c>
      <c r="H111" s="242">
        <v>90</v>
      </c>
      <c r="I111" s="242">
        <v>4923.6099999999997</v>
      </c>
      <c r="J111" s="242">
        <v>11854.95</v>
      </c>
      <c r="K111" s="242">
        <v>11854.95</v>
      </c>
      <c r="M111" s="247">
        <f t="shared" si="19"/>
        <v>16412.04</v>
      </c>
      <c r="N111" s="247">
        <f t="shared" si="20"/>
        <v>19152.84</v>
      </c>
      <c r="O111" s="247">
        <f t="shared" si="21"/>
        <v>32824.080000000002</v>
      </c>
      <c r="P111" s="247">
        <f t="shared" si="22"/>
        <v>38305.68</v>
      </c>
      <c r="Q111" s="247">
        <f t="shared" si="23"/>
        <v>49236.12</v>
      </c>
      <c r="R111" s="247">
        <f t="shared" si="24"/>
        <v>57458.52</v>
      </c>
      <c r="S111" s="247">
        <f t="shared" si="25"/>
        <v>65648.160000000003</v>
      </c>
      <c r="T111" s="247">
        <f t="shared" si="26"/>
        <v>76611.360000000001</v>
      </c>
      <c r="U111" s="246">
        <f t="shared" si="27"/>
        <v>142259.52000000002</v>
      </c>
    </row>
    <row r="112" spans="2:21">
      <c r="B112" s="242" t="s">
        <v>572</v>
      </c>
      <c r="C112" s="242">
        <v>8</v>
      </c>
      <c r="D112" s="242">
        <v>27.69</v>
      </c>
      <c r="E112" s="242">
        <v>4598.76</v>
      </c>
      <c r="F112" s="242">
        <v>36.700000000000003</v>
      </c>
      <c r="G112" s="242">
        <v>1687.74</v>
      </c>
      <c r="H112" s="242">
        <v>90</v>
      </c>
      <c r="I112" s="242">
        <v>4138.88</v>
      </c>
      <c r="J112" s="242">
        <v>10425.379999999999</v>
      </c>
      <c r="K112" s="242">
        <v>83403.02</v>
      </c>
      <c r="M112" s="247">
        <f t="shared" si="19"/>
        <v>110370.24000000001</v>
      </c>
      <c r="N112" s="247">
        <f t="shared" si="20"/>
        <v>139838.88</v>
      </c>
      <c r="O112" s="247">
        <f t="shared" si="21"/>
        <v>220740.48000000001</v>
      </c>
      <c r="P112" s="247">
        <f t="shared" si="22"/>
        <v>279677.76</v>
      </c>
      <c r="Q112" s="247">
        <f t="shared" si="23"/>
        <v>331110.72000000003</v>
      </c>
      <c r="R112" s="247">
        <f t="shared" si="24"/>
        <v>419516.64</v>
      </c>
      <c r="S112" s="247">
        <f t="shared" si="25"/>
        <v>441480.96000000002</v>
      </c>
      <c r="T112" s="247">
        <f t="shared" si="26"/>
        <v>559355.52</v>
      </c>
      <c r="U112" s="246">
        <f t="shared" si="27"/>
        <v>1000836.48</v>
      </c>
    </row>
    <row r="113" spans="2:21">
      <c r="B113" s="242" t="s">
        <v>573</v>
      </c>
      <c r="C113" s="242">
        <v>4</v>
      </c>
      <c r="D113" s="242">
        <v>29.92</v>
      </c>
      <c r="E113" s="242">
        <v>4969.1099999999997</v>
      </c>
      <c r="F113" s="242">
        <v>36.700000000000003</v>
      </c>
      <c r="G113" s="242">
        <v>1823.66</v>
      </c>
      <c r="H113" s="242">
        <v>90</v>
      </c>
      <c r="I113" s="242">
        <v>4472.2</v>
      </c>
      <c r="J113" s="242">
        <v>11264.98</v>
      </c>
      <c r="K113" s="242">
        <v>45059.92</v>
      </c>
      <c r="M113" s="247">
        <f t="shared" si="19"/>
        <v>59629.319999999992</v>
      </c>
      <c r="N113" s="247">
        <f t="shared" si="20"/>
        <v>75550.319999999992</v>
      </c>
      <c r="O113" s="247">
        <f t="shared" si="21"/>
        <v>119258.63999999998</v>
      </c>
      <c r="P113" s="247">
        <f t="shared" si="22"/>
        <v>151100.63999999998</v>
      </c>
      <c r="Q113" s="247">
        <f t="shared" si="23"/>
        <v>178887.96</v>
      </c>
      <c r="R113" s="247">
        <f t="shared" si="24"/>
        <v>226650.96</v>
      </c>
      <c r="S113" s="247">
        <f t="shared" si="25"/>
        <v>238517.27999999997</v>
      </c>
      <c r="T113" s="247">
        <f t="shared" si="26"/>
        <v>302201.27999999997</v>
      </c>
      <c r="U113" s="246">
        <f t="shared" si="27"/>
        <v>540718.55999999994</v>
      </c>
    </row>
    <row r="114" spans="2:21">
      <c r="B114" s="242" t="s">
        <v>574</v>
      </c>
      <c r="C114" s="242">
        <v>4</v>
      </c>
      <c r="D114" s="242">
        <v>29.92</v>
      </c>
      <c r="E114" s="242">
        <v>4969.1099999999997</v>
      </c>
      <c r="F114" s="242">
        <v>26.7</v>
      </c>
      <c r="G114" s="242">
        <v>1326.75</v>
      </c>
      <c r="H114" s="242">
        <v>90</v>
      </c>
      <c r="I114" s="242">
        <v>4472.2</v>
      </c>
      <c r="J114" s="242">
        <v>10768.07</v>
      </c>
      <c r="K114" s="242">
        <v>43072.28</v>
      </c>
      <c r="M114" s="247">
        <f t="shared" si="19"/>
        <v>59629.319999999992</v>
      </c>
      <c r="N114" s="247">
        <f t="shared" si="20"/>
        <v>69587.399999999994</v>
      </c>
      <c r="O114" s="247">
        <f t="shared" si="21"/>
        <v>119258.63999999998</v>
      </c>
      <c r="P114" s="247">
        <f t="shared" si="22"/>
        <v>139174.79999999999</v>
      </c>
      <c r="Q114" s="247">
        <f t="shared" si="23"/>
        <v>178887.96</v>
      </c>
      <c r="R114" s="247">
        <f t="shared" si="24"/>
        <v>208762.19999999998</v>
      </c>
      <c r="S114" s="247">
        <f t="shared" si="25"/>
        <v>238517.27999999997</v>
      </c>
      <c r="T114" s="247">
        <f t="shared" si="26"/>
        <v>278349.59999999998</v>
      </c>
      <c r="U114" s="246">
        <f t="shared" si="27"/>
        <v>516866.87999999995</v>
      </c>
    </row>
    <row r="115" spans="2:21">
      <c r="B115" s="242" t="s">
        <v>575</v>
      </c>
      <c r="C115" s="242">
        <v>4</v>
      </c>
      <c r="D115" s="242">
        <v>26.42</v>
      </c>
      <c r="E115" s="242">
        <v>4387.83</v>
      </c>
      <c r="F115" s="242">
        <v>29.7</v>
      </c>
      <c r="G115" s="242">
        <v>1303.19</v>
      </c>
      <c r="H115" s="242">
        <v>90</v>
      </c>
      <c r="I115" s="242">
        <v>3949.05</v>
      </c>
      <c r="J115" s="242">
        <v>9640.07</v>
      </c>
      <c r="K115" s="242">
        <v>38560.28</v>
      </c>
      <c r="M115" s="247">
        <f t="shared" si="19"/>
        <v>52653.96</v>
      </c>
      <c r="N115" s="247">
        <f t="shared" si="20"/>
        <v>63026.879999999997</v>
      </c>
      <c r="O115" s="247">
        <f t="shared" si="21"/>
        <v>105307.92</v>
      </c>
      <c r="P115" s="247">
        <f t="shared" si="22"/>
        <v>126053.75999999999</v>
      </c>
      <c r="Q115" s="247">
        <f t="shared" si="23"/>
        <v>157961.88</v>
      </c>
      <c r="R115" s="247">
        <f t="shared" si="24"/>
        <v>189080.63999999998</v>
      </c>
      <c r="S115" s="247">
        <f t="shared" si="25"/>
        <v>210615.84</v>
      </c>
      <c r="T115" s="247">
        <f t="shared" si="26"/>
        <v>252107.51999999999</v>
      </c>
      <c r="U115" s="246">
        <f t="shared" si="27"/>
        <v>462723.36</v>
      </c>
    </row>
    <row r="116" spans="2:21">
      <c r="B116" s="242" t="s">
        <v>576</v>
      </c>
      <c r="C116" s="242">
        <v>4</v>
      </c>
      <c r="D116" s="242">
        <v>29.92</v>
      </c>
      <c r="E116" s="242">
        <v>4969.1099999999997</v>
      </c>
      <c r="F116" s="242">
        <v>26.7</v>
      </c>
      <c r="G116" s="242">
        <v>1326.75</v>
      </c>
      <c r="H116" s="242">
        <v>90</v>
      </c>
      <c r="I116" s="242">
        <v>4472.2</v>
      </c>
      <c r="J116" s="242">
        <v>10768.07</v>
      </c>
      <c r="K116" s="242">
        <v>43072.28</v>
      </c>
      <c r="M116" s="247">
        <f t="shared" si="19"/>
        <v>59629.319999999992</v>
      </c>
      <c r="N116" s="247">
        <f t="shared" si="20"/>
        <v>69587.399999999994</v>
      </c>
      <c r="O116" s="247">
        <f t="shared" si="21"/>
        <v>119258.63999999998</v>
      </c>
      <c r="P116" s="247">
        <f t="shared" si="22"/>
        <v>139174.79999999999</v>
      </c>
      <c r="Q116" s="247">
        <f t="shared" si="23"/>
        <v>178887.96</v>
      </c>
      <c r="R116" s="247">
        <f t="shared" si="24"/>
        <v>208762.19999999998</v>
      </c>
      <c r="S116" s="247">
        <f t="shared" si="25"/>
        <v>238517.27999999997</v>
      </c>
      <c r="T116" s="247">
        <f t="shared" si="26"/>
        <v>278349.59999999998</v>
      </c>
      <c r="U116" s="246">
        <f t="shared" si="27"/>
        <v>516866.87999999995</v>
      </c>
    </row>
    <row r="117" spans="2:21">
      <c r="B117" s="242" t="s">
        <v>577</v>
      </c>
      <c r="C117" s="242">
        <v>18</v>
      </c>
      <c r="D117" s="242">
        <v>29.92</v>
      </c>
      <c r="E117" s="242">
        <v>4969.1099999999997</v>
      </c>
      <c r="F117" s="242">
        <v>26.7</v>
      </c>
      <c r="G117" s="242">
        <v>1326.75</v>
      </c>
      <c r="H117" s="242">
        <v>90</v>
      </c>
      <c r="I117" s="242">
        <v>4472.2</v>
      </c>
      <c r="J117" s="242">
        <v>10768.07</v>
      </c>
      <c r="K117" s="242">
        <v>193825.25</v>
      </c>
      <c r="M117" s="247">
        <f t="shared" si="19"/>
        <v>268331.93999999994</v>
      </c>
      <c r="N117" s="247">
        <f t="shared" si="20"/>
        <v>313143.3</v>
      </c>
      <c r="O117" s="247">
        <f t="shared" si="21"/>
        <v>536663.88</v>
      </c>
      <c r="P117" s="247">
        <f t="shared" si="22"/>
        <v>626286.6</v>
      </c>
      <c r="Q117" s="247">
        <f t="shared" si="23"/>
        <v>804995.82</v>
      </c>
      <c r="R117" s="247">
        <f t="shared" si="24"/>
        <v>939429.89999999991</v>
      </c>
      <c r="S117" s="247">
        <f t="shared" si="25"/>
        <v>1073327.76</v>
      </c>
      <c r="T117" s="247">
        <f t="shared" si="26"/>
        <v>1252573.2</v>
      </c>
      <c r="U117" s="246">
        <f t="shared" si="27"/>
        <v>2325900.96</v>
      </c>
    </row>
    <row r="118" spans="2:21">
      <c r="B118" s="242" t="s">
        <v>578</v>
      </c>
      <c r="C118" s="242">
        <v>4</v>
      </c>
      <c r="D118" s="242">
        <v>24.19</v>
      </c>
      <c r="E118" s="242">
        <v>4017.48</v>
      </c>
      <c r="F118" s="242">
        <v>26.7</v>
      </c>
      <c r="G118" s="242">
        <v>1072.67</v>
      </c>
      <c r="H118" s="242">
        <v>90</v>
      </c>
      <c r="I118" s="242">
        <v>3615.73</v>
      </c>
      <c r="J118" s="242">
        <v>8705.8700000000008</v>
      </c>
      <c r="K118" s="242">
        <v>34823.480000000003</v>
      </c>
      <c r="M118" s="247">
        <f t="shared" si="19"/>
        <v>48209.760000000002</v>
      </c>
      <c r="N118" s="247">
        <f t="shared" si="20"/>
        <v>56260.799999999996</v>
      </c>
      <c r="O118" s="247">
        <f t="shared" si="21"/>
        <v>96419.520000000004</v>
      </c>
      <c r="P118" s="247">
        <f t="shared" si="22"/>
        <v>112521.59999999999</v>
      </c>
      <c r="Q118" s="247">
        <f t="shared" si="23"/>
        <v>144629.28</v>
      </c>
      <c r="R118" s="247">
        <f t="shared" si="24"/>
        <v>168782.4</v>
      </c>
      <c r="S118" s="247">
        <f t="shared" si="25"/>
        <v>192839.04000000001</v>
      </c>
      <c r="T118" s="247">
        <f t="shared" si="26"/>
        <v>225043.19999999998</v>
      </c>
      <c r="U118" s="246">
        <f t="shared" si="27"/>
        <v>417882.24</v>
      </c>
    </row>
    <row r="119" spans="2:21">
      <c r="B119" s="242" t="s">
        <v>579</v>
      </c>
      <c r="C119" s="242">
        <v>12</v>
      </c>
      <c r="D119" s="242">
        <v>32.94</v>
      </c>
      <c r="E119" s="242">
        <v>5470.68</v>
      </c>
      <c r="F119" s="242">
        <v>26.7</v>
      </c>
      <c r="G119" s="242">
        <v>1460.67</v>
      </c>
      <c r="H119" s="242">
        <v>90</v>
      </c>
      <c r="I119" s="242">
        <v>4923.6099999999997</v>
      </c>
      <c r="J119" s="242">
        <v>11854.95</v>
      </c>
      <c r="K119" s="242">
        <v>142259.44</v>
      </c>
      <c r="M119" s="247">
        <f t="shared" si="19"/>
        <v>196944.48</v>
      </c>
      <c r="N119" s="247">
        <f t="shared" si="20"/>
        <v>229834.08000000002</v>
      </c>
      <c r="O119" s="247">
        <f t="shared" si="21"/>
        <v>393888.96</v>
      </c>
      <c r="P119" s="247">
        <f t="shared" si="22"/>
        <v>459668.16000000003</v>
      </c>
      <c r="Q119" s="247">
        <f t="shared" si="23"/>
        <v>590833.44000000006</v>
      </c>
      <c r="R119" s="247">
        <f t="shared" si="24"/>
        <v>689502.24</v>
      </c>
      <c r="S119" s="247">
        <f t="shared" si="25"/>
        <v>787777.92</v>
      </c>
      <c r="T119" s="247">
        <f t="shared" si="26"/>
        <v>919336.32000000007</v>
      </c>
      <c r="U119" s="246">
        <f t="shared" si="27"/>
        <v>1707114.2400000002</v>
      </c>
    </row>
    <row r="120" spans="2:21">
      <c r="B120" s="242" t="s">
        <v>580</v>
      </c>
      <c r="C120" s="242">
        <v>2</v>
      </c>
      <c r="D120" s="242">
        <v>25.3</v>
      </c>
      <c r="E120" s="242">
        <v>4201.82</v>
      </c>
      <c r="F120" s="242">
        <v>26.7</v>
      </c>
      <c r="G120" s="242">
        <v>1764.77</v>
      </c>
      <c r="H120" s="242">
        <v>90</v>
      </c>
      <c r="I120" s="242">
        <v>3781.64</v>
      </c>
      <c r="J120" s="242">
        <v>9748.23</v>
      </c>
      <c r="K120" s="242">
        <v>19496.46</v>
      </c>
      <c r="M120" s="247">
        <f t="shared" si="19"/>
        <v>25210.92</v>
      </c>
      <c r="N120" s="247">
        <f t="shared" si="20"/>
        <v>33278.46</v>
      </c>
      <c r="O120" s="247">
        <f t="shared" si="21"/>
        <v>50421.84</v>
      </c>
      <c r="P120" s="247">
        <f t="shared" si="22"/>
        <v>66556.92</v>
      </c>
      <c r="Q120" s="247">
        <f t="shared" si="23"/>
        <v>75632.759999999995</v>
      </c>
      <c r="R120" s="247">
        <f t="shared" si="24"/>
        <v>99835.38</v>
      </c>
      <c r="S120" s="247">
        <f t="shared" si="25"/>
        <v>100843.68</v>
      </c>
      <c r="T120" s="247">
        <f t="shared" si="26"/>
        <v>133113.84</v>
      </c>
      <c r="U120" s="246">
        <f t="shared" si="27"/>
        <v>233957.52</v>
      </c>
    </row>
    <row r="121" spans="2:21">
      <c r="B121" s="242" t="s">
        <v>581</v>
      </c>
      <c r="C121" s="242">
        <v>1</v>
      </c>
      <c r="D121" s="242">
        <v>26.42</v>
      </c>
      <c r="E121" s="242">
        <v>4387.83</v>
      </c>
      <c r="F121" s="242">
        <v>42</v>
      </c>
      <c r="G121" s="242">
        <v>1842.89</v>
      </c>
      <c r="H121" s="242">
        <v>90</v>
      </c>
      <c r="I121" s="242">
        <v>3949.05</v>
      </c>
      <c r="J121" s="242">
        <v>10179.77</v>
      </c>
      <c r="K121" s="242">
        <v>10179.77</v>
      </c>
      <c r="M121" s="247">
        <f t="shared" si="19"/>
        <v>13163.49</v>
      </c>
      <c r="N121" s="247">
        <f t="shared" si="20"/>
        <v>17375.82</v>
      </c>
      <c r="O121" s="247">
        <f t="shared" si="21"/>
        <v>26326.98</v>
      </c>
      <c r="P121" s="247">
        <f t="shared" si="22"/>
        <v>34751.64</v>
      </c>
      <c r="Q121" s="247">
        <f t="shared" si="23"/>
        <v>39490.47</v>
      </c>
      <c r="R121" s="247">
        <f t="shared" si="24"/>
        <v>52127.460000000006</v>
      </c>
      <c r="S121" s="247">
        <f t="shared" si="25"/>
        <v>52653.96</v>
      </c>
      <c r="T121" s="247">
        <f t="shared" si="26"/>
        <v>69503.28</v>
      </c>
      <c r="U121" s="246">
        <f t="shared" si="27"/>
        <v>122157.23999999999</v>
      </c>
    </row>
    <row r="122" spans="2:21">
      <c r="B122" s="242" t="s">
        <v>582</v>
      </c>
      <c r="C122" s="242">
        <v>1</v>
      </c>
      <c r="D122" s="242">
        <v>27.69</v>
      </c>
      <c r="E122" s="242">
        <v>4598.76</v>
      </c>
      <c r="F122" s="242">
        <v>42</v>
      </c>
      <c r="G122" s="242">
        <v>1931.48</v>
      </c>
      <c r="H122" s="242">
        <v>90</v>
      </c>
      <c r="I122" s="242">
        <v>4138.88</v>
      </c>
      <c r="J122" s="242">
        <v>10669.11</v>
      </c>
      <c r="K122" s="242">
        <v>10669.11</v>
      </c>
      <c r="M122" s="247">
        <f t="shared" si="19"/>
        <v>13796.28</v>
      </c>
      <c r="N122" s="247">
        <f t="shared" si="20"/>
        <v>18211.080000000002</v>
      </c>
      <c r="O122" s="247">
        <f t="shared" si="21"/>
        <v>27592.560000000001</v>
      </c>
      <c r="P122" s="247">
        <f t="shared" si="22"/>
        <v>36422.160000000003</v>
      </c>
      <c r="Q122" s="247">
        <f t="shared" si="23"/>
        <v>41388.840000000004</v>
      </c>
      <c r="R122" s="247">
        <f t="shared" si="24"/>
        <v>54633.240000000005</v>
      </c>
      <c r="S122" s="247">
        <f t="shared" si="25"/>
        <v>55185.120000000003</v>
      </c>
      <c r="T122" s="247">
        <f t="shared" si="26"/>
        <v>72844.320000000007</v>
      </c>
      <c r="U122" s="246">
        <f t="shared" si="27"/>
        <v>128029.44</v>
      </c>
    </row>
    <row r="123" spans="2:21">
      <c r="B123" s="242" t="s">
        <v>583</v>
      </c>
      <c r="C123" s="242">
        <v>1</v>
      </c>
      <c r="D123" s="242">
        <v>27.69</v>
      </c>
      <c r="E123" s="242">
        <v>4598.76</v>
      </c>
      <c r="F123" s="242">
        <v>42</v>
      </c>
      <c r="G123" s="242">
        <v>1931.48</v>
      </c>
      <c r="H123" s="242">
        <v>90</v>
      </c>
      <c r="I123" s="242">
        <v>4138.88</v>
      </c>
      <c r="J123" s="242">
        <v>10669.11</v>
      </c>
      <c r="K123" s="242">
        <v>10669.11</v>
      </c>
      <c r="M123" s="247">
        <f t="shared" si="19"/>
        <v>13796.28</v>
      </c>
      <c r="N123" s="247">
        <f t="shared" si="20"/>
        <v>18211.080000000002</v>
      </c>
      <c r="O123" s="247">
        <f t="shared" si="21"/>
        <v>27592.560000000001</v>
      </c>
      <c r="P123" s="247">
        <f t="shared" si="22"/>
        <v>36422.160000000003</v>
      </c>
      <c r="Q123" s="247">
        <f t="shared" si="23"/>
        <v>41388.840000000004</v>
      </c>
      <c r="R123" s="247">
        <f t="shared" si="24"/>
        <v>54633.240000000005</v>
      </c>
      <c r="S123" s="247">
        <f t="shared" si="25"/>
        <v>55185.120000000003</v>
      </c>
      <c r="T123" s="247">
        <f t="shared" si="26"/>
        <v>72844.320000000007</v>
      </c>
      <c r="U123" s="246">
        <f t="shared" si="27"/>
        <v>128029.44</v>
      </c>
    </row>
    <row r="124" spans="2:21">
      <c r="B124" s="242" t="s">
        <v>584</v>
      </c>
      <c r="C124" s="242">
        <v>3</v>
      </c>
      <c r="D124" s="242">
        <v>26.42</v>
      </c>
      <c r="E124" s="242">
        <v>4387.83</v>
      </c>
      <c r="F124" s="242">
        <v>17</v>
      </c>
      <c r="G124" s="242">
        <v>745.93</v>
      </c>
      <c r="H124" s="242">
        <v>90</v>
      </c>
      <c r="I124" s="242">
        <v>3949.05</v>
      </c>
      <c r="J124" s="242">
        <v>9082.82</v>
      </c>
      <c r="K124" s="242">
        <v>27248.45</v>
      </c>
      <c r="M124" s="247">
        <f t="shared" si="19"/>
        <v>39490.47</v>
      </c>
      <c r="N124" s="247">
        <f t="shared" si="20"/>
        <v>42254.820000000007</v>
      </c>
      <c r="O124" s="247">
        <f t="shared" si="21"/>
        <v>78980.94</v>
      </c>
      <c r="P124" s="247">
        <f t="shared" si="22"/>
        <v>84509.640000000014</v>
      </c>
      <c r="Q124" s="247">
        <f t="shared" si="23"/>
        <v>118471.41</v>
      </c>
      <c r="R124" s="247">
        <f t="shared" si="24"/>
        <v>126764.46000000002</v>
      </c>
      <c r="S124" s="247">
        <f t="shared" si="25"/>
        <v>157961.88</v>
      </c>
      <c r="T124" s="247">
        <f t="shared" si="26"/>
        <v>169019.28000000003</v>
      </c>
      <c r="U124" s="246">
        <f t="shared" si="27"/>
        <v>326981.16000000003</v>
      </c>
    </row>
    <row r="125" spans="2:21">
      <c r="B125" s="242" t="s">
        <v>585</v>
      </c>
      <c r="C125" s="242">
        <v>4</v>
      </c>
      <c r="D125" s="242">
        <v>25.3</v>
      </c>
      <c r="E125" s="242">
        <v>4201.82</v>
      </c>
      <c r="F125" s="242">
        <v>52</v>
      </c>
      <c r="G125" s="242">
        <v>2184.9499999999998</v>
      </c>
      <c r="H125" s="242">
        <v>90</v>
      </c>
      <c r="I125" s="242">
        <v>3781.64</v>
      </c>
      <c r="J125" s="242">
        <v>10168.41</v>
      </c>
      <c r="K125" s="242">
        <v>40673.660000000003</v>
      </c>
      <c r="M125" s="247">
        <f t="shared" si="19"/>
        <v>50421.84</v>
      </c>
      <c r="N125" s="247">
        <f t="shared" si="20"/>
        <v>71599.08</v>
      </c>
      <c r="O125" s="247">
        <f t="shared" si="21"/>
        <v>100843.68</v>
      </c>
      <c r="P125" s="247">
        <f t="shared" si="22"/>
        <v>143198.16</v>
      </c>
      <c r="Q125" s="247">
        <f t="shared" si="23"/>
        <v>151265.51999999999</v>
      </c>
      <c r="R125" s="247">
        <f t="shared" si="24"/>
        <v>214797.24</v>
      </c>
      <c r="S125" s="247">
        <f t="shared" si="25"/>
        <v>201687.36</v>
      </c>
      <c r="T125" s="247">
        <f t="shared" si="26"/>
        <v>286396.32</v>
      </c>
      <c r="U125" s="246">
        <f t="shared" si="27"/>
        <v>488083.68</v>
      </c>
    </row>
    <row r="126" spans="2:21">
      <c r="B126" s="242" t="s">
        <v>586</v>
      </c>
      <c r="C126" s="242">
        <v>8</v>
      </c>
      <c r="D126" s="242">
        <v>29.92</v>
      </c>
      <c r="E126" s="242">
        <v>4969.1099999999997</v>
      </c>
      <c r="F126" s="242">
        <v>12</v>
      </c>
      <c r="G126" s="242">
        <v>596.29</v>
      </c>
      <c r="H126" s="242">
        <v>90</v>
      </c>
      <c r="I126" s="242">
        <v>4472.2</v>
      </c>
      <c r="J126" s="242">
        <v>10037.61</v>
      </c>
      <c r="K126" s="242">
        <v>80300.88</v>
      </c>
      <c r="M126" s="247">
        <f t="shared" si="19"/>
        <v>119258.63999999998</v>
      </c>
      <c r="N126" s="247">
        <f t="shared" si="20"/>
        <v>121643.76</v>
      </c>
      <c r="O126" s="247">
        <f t="shared" si="21"/>
        <v>238517.27999999997</v>
      </c>
      <c r="P126" s="247">
        <f t="shared" si="22"/>
        <v>243287.52</v>
      </c>
      <c r="Q126" s="247">
        <f t="shared" si="23"/>
        <v>357775.92</v>
      </c>
      <c r="R126" s="247">
        <f t="shared" si="24"/>
        <v>364931.27999999997</v>
      </c>
      <c r="S126" s="247">
        <f t="shared" si="25"/>
        <v>477034.55999999994</v>
      </c>
      <c r="T126" s="247">
        <f t="shared" si="26"/>
        <v>486575.04</v>
      </c>
      <c r="U126" s="246">
        <f t="shared" si="27"/>
        <v>963609.59999999986</v>
      </c>
    </row>
    <row r="127" spans="2:21">
      <c r="B127" s="242" t="s">
        <v>587</v>
      </c>
      <c r="C127" s="242">
        <v>1</v>
      </c>
      <c r="D127" s="242">
        <v>29.92</v>
      </c>
      <c r="E127" s="242">
        <v>4969.1099999999997</v>
      </c>
      <c r="F127" s="242">
        <v>12</v>
      </c>
      <c r="G127" s="242">
        <v>596.29</v>
      </c>
      <c r="H127" s="242">
        <v>90</v>
      </c>
      <c r="I127" s="242">
        <v>4472.2</v>
      </c>
      <c r="J127" s="242">
        <v>10037.61</v>
      </c>
      <c r="K127" s="242">
        <v>10037.61</v>
      </c>
      <c r="M127" s="247">
        <f t="shared" si="19"/>
        <v>14907.329999999998</v>
      </c>
      <c r="N127" s="247">
        <f t="shared" si="20"/>
        <v>15205.47</v>
      </c>
      <c r="O127" s="247">
        <f t="shared" si="21"/>
        <v>29814.659999999996</v>
      </c>
      <c r="P127" s="247">
        <f t="shared" si="22"/>
        <v>30410.94</v>
      </c>
      <c r="Q127" s="247">
        <f t="shared" si="23"/>
        <v>44721.99</v>
      </c>
      <c r="R127" s="247">
        <f t="shared" si="24"/>
        <v>45616.409999999996</v>
      </c>
      <c r="S127" s="247">
        <f t="shared" si="25"/>
        <v>59629.319999999992</v>
      </c>
      <c r="T127" s="247">
        <f t="shared" si="26"/>
        <v>60821.88</v>
      </c>
      <c r="U127" s="246">
        <f t="shared" si="27"/>
        <v>120451.19999999998</v>
      </c>
    </row>
    <row r="128" spans="2:21">
      <c r="B128" s="242" t="s">
        <v>588</v>
      </c>
      <c r="C128" s="242">
        <v>1</v>
      </c>
      <c r="D128" s="242">
        <v>23.55</v>
      </c>
      <c r="E128" s="242">
        <v>3911.18</v>
      </c>
      <c r="F128" s="242">
        <v>12</v>
      </c>
      <c r="G128" s="242">
        <v>469.34</v>
      </c>
      <c r="H128" s="242">
        <v>90</v>
      </c>
      <c r="I128" s="242">
        <v>3520.07</v>
      </c>
      <c r="J128" s="242">
        <v>7900.59</v>
      </c>
      <c r="K128" s="242">
        <v>7900.59</v>
      </c>
      <c r="M128" s="247">
        <f t="shared" si="19"/>
        <v>11733.539999999999</v>
      </c>
      <c r="N128" s="247">
        <f t="shared" si="20"/>
        <v>11968.230000000001</v>
      </c>
      <c r="O128" s="247">
        <f t="shared" si="21"/>
        <v>23467.079999999998</v>
      </c>
      <c r="P128" s="247">
        <f t="shared" si="22"/>
        <v>23936.460000000003</v>
      </c>
      <c r="Q128" s="247">
        <f t="shared" si="23"/>
        <v>35200.619999999995</v>
      </c>
      <c r="R128" s="247">
        <f t="shared" si="24"/>
        <v>35904.69</v>
      </c>
      <c r="S128" s="247">
        <f t="shared" si="25"/>
        <v>46934.159999999996</v>
      </c>
      <c r="T128" s="247">
        <f t="shared" si="26"/>
        <v>47872.920000000006</v>
      </c>
      <c r="U128" s="246">
        <f t="shared" si="27"/>
        <v>94807.08</v>
      </c>
    </row>
    <row r="129" spans="2:21">
      <c r="B129" s="242" t="s">
        <v>589</v>
      </c>
      <c r="C129" s="242">
        <v>3</v>
      </c>
      <c r="D129" s="242">
        <v>24.03</v>
      </c>
      <c r="E129" s="242">
        <v>3990.9</v>
      </c>
      <c r="F129" s="242">
        <v>42</v>
      </c>
      <c r="G129" s="242">
        <v>1676.18</v>
      </c>
      <c r="H129" s="242">
        <v>90</v>
      </c>
      <c r="I129" s="242">
        <v>3591.81</v>
      </c>
      <c r="J129" s="242">
        <v>9258.89</v>
      </c>
      <c r="K129" s="242">
        <v>27776.68</v>
      </c>
      <c r="M129" s="247">
        <f t="shared" si="19"/>
        <v>35918.100000000006</v>
      </c>
      <c r="N129" s="247">
        <f t="shared" si="20"/>
        <v>47411.909999999996</v>
      </c>
      <c r="O129" s="247">
        <f t="shared" si="21"/>
        <v>71836.200000000012</v>
      </c>
      <c r="P129" s="247">
        <f t="shared" si="22"/>
        <v>94823.819999999992</v>
      </c>
      <c r="Q129" s="247">
        <f t="shared" si="23"/>
        <v>107754.3</v>
      </c>
      <c r="R129" s="247">
        <f t="shared" si="24"/>
        <v>142235.72999999998</v>
      </c>
      <c r="S129" s="247">
        <f t="shared" si="25"/>
        <v>143672.40000000002</v>
      </c>
      <c r="T129" s="247">
        <f t="shared" si="26"/>
        <v>189647.63999999998</v>
      </c>
      <c r="U129" s="246">
        <f t="shared" si="27"/>
        <v>333320.04000000004</v>
      </c>
    </row>
    <row r="130" spans="2:21">
      <c r="B130" s="242" t="s">
        <v>590</v>
      </c>
      <c r="C130" s="242">
        <v>1</v>
      </c>
      <c r="D130" s="242">
        <v>27.69</v>
      </c>
      <c r="E130" s="242">
        <v>4598.76</v>
      </c>
      <c r="F130" s="242">
        <v>12</v>
      </c>
      <c r="G130" s="242">
        <v>551.85</v>
      </c>
      <c r="H130" s="242">
        <v>90</v>
      </c>
      <c r="I130" s="242">
        <v>4138.88</v>
      </c>
      <c r="J130" s="242">
        <v>9289.49</v>
      </c>
      <c r="K130" s="242">
        <v>9289.49</v>
      </c>
      <c r="M130" s="247">
        <f t="shared" si="19"/>
        <v>13796.28</v>
      </c>
      <c r="N130" s="247">
        <f t="shared" si="20"/>
        <v>14072.190000000002</v>
      </c>
      <c r="O130" s="247">
        <f t="shared" si="21"/>
        <v>27592.560000000001</v>
      </c>
      <c r="P130" s="247">
        <f t="shared" si="22"/>
        <v>28144.380000000005</v>
      </c>
      <c r="Q130" s="247">
        <f t="shared" si="23"/>
        <v>41388.840000000004</v>
      </c>
      <c r="R130" s="247">
        <f t="shared" si="24"/>
        <v>42216.570000000007</v>
      </c>
      <c r="S130" s="247">
        <f t="shared" si="25"/>
        <v>55185.120000000003</v>
      </c>
      <c r="T130" s="247">
        <f t="shared" si="26"/>
        <v>56288.760000000009</v>
      </c>
      <c r="U130" s="246">
        <f t="shared" si="27"/>
        <v>111473.88</v>
      </c>
    </row>
    <row r="131" spans="2:21">
      <c r="B131" s="242" t="s">
        <v>591</v>
      </c>
      <c r="C131" s="242">
        <v>1</v>
      </c>
      <c r="D131" s="242">
        <v>25.3</v>
      </c>
      <c r="E131" s="242">
        <v>4201.82</v>
      </c>
      <c r="F131" s="242">
        <v>12</v>
      </c>
      <c r="G131" s="242">
        <v>504.22</v>
      </c>
      <c r="H131" s="242">
        <v>90</v>
      </c>
      <c r="I131" s="242">
        <v>3781.64</v>
      </c>
      <c r="J131" s="242">
        <v>8487.68</v>
      </c>
      <c r="K131" s="242">
        <v>8487.68</v>
      </c>
      <c r="M131" s="247">
        <f t="shared" si="19"/>
        <v>12605.46</v>
      </c>
      <c r="N131" s="247">
        <f t="shared" si="20"/>
        <v>12857.579999999998</v>
      </c>
      <c r="O131" s="247">
        <f t="shared" si="21"/>
        <v>25210.92</v>
      </c>
      <c r="P131" s="247">
        <f t="shared" si="22"/>
        <v>25715.159999999996</v>
      </c>
      <c r="Q131" s="247">
        <f t="shared" si="23"/>
        <v>37816.379999999997</v>
      </c>
      <c r="R131" s="247">
        <f t="shared" si="24"/>
        <v>38572.74</v>
      </c>
      <c r="S131" s="247">
        <f t="shared" si="25"/>
        <v>50421.84</v>
      </c>
      <c r="T131" s="247">
        <f t="shared" si="26"/>
        <v>51430.319999999992</v>
      </c>
      <c r="U131" s="246">
        <f t="shared" si="27"/>
        <v>101852.15999999999</v>
      </c>
    </row>
    <row r="132" spans="2:21">
      <c r="B132" s="242" t="s">
        <v>592</v>
      </c>
      <c r="C132" s="242">
        <v>1</v>
      </c>
      <c r="D132" s="242">
        <v>24.19</v>
      </c>
      <c r="E132" s="242">
        <v>4017.48</v>
      </c>
      <c r="F132" s="242">
        <v>12</v>
      </c>
      <c r="G132" s="242">
        <v>482.1</v>
      </c>
      <c r="H132" s="242">
        <v>90</v>
      </c>
      <c r="I132" s="242">
        <v>3615.73</v>
      </c>
      <c r="J132" s="242">
        <v>8115.3</v>
      </c>
      <c r="K132" s="242">
        <v>8115.3</v>
      </c>
      <c r="M132" s="247">
        <f t="shared" si="19"/>
        <v>12052.44</v>
      </c>
      <c r="N132" s="247">
        <f t="shared" si="20"/>
        <v>12293.49</v>
      </c>
      <c r="O132" s="247">
        <f t="shared" si="21"/>
        <v>24104.880000000001</v>
      </c>
      <c r="P132" s="247">
        <f t="shared" si="22"/>
        <v>24586.98</v>
      </c>
      <c r="Q132" s="247">
        <f t="shared" si="23"/>
        <v>36157.32</v>
      </c>
      <c r="R132" s="247">
        <f t="shared" si="24"/>
        <v>36880.47</v>
      </c>
      <c r="S132" s="247">
        <f t="shared" si="25"/>
        <v>48209.760000000002</v>
      </c>
      <c r="T132" s="247">
        <f t="shared" si="26"/>
        <v>49173.96</v>
      </c>
      <c r="U132" s="246">
        <f t="shared" si="27"/>
        <v>97383.72</v>
      </c>
    </row>
    <row r="133" spans="2:21">
      <c r="B133" s="242" t="s">
        <v>593</v>
      </c>
      <c r="C133" s="242">
        <v>5</v>
      </c>
      <c r="D133" s="242">
        <v>27.21</v>
      </c>
      <c r="E133" s="242">
        <v>4519.04</v>
      </c>
      <c r="F133" s="242">
        <v>15</v>
      </c>
      <c r="G133" s="242">
        <v>677.86</v>
      </c>
      <c r="H133" s="242">
        <v>90</v>
      </c>
      <c r="I133" s="242">
        <v>4067.13</v>
      </c>
      <c r="J133" s="242">
        <v>9264.0300000000007</v>
      </c>
      <c r="K133" s="242">
        <v>46320.13</v>
      </c>
      <c r="M133" s="247">
        <f t="shared" si="19"/>
        <v>67785.599999999991</v>
      </c>
      <c r="N133" s="247">
        <f t="shared" si="20"/>
        <v>71174.849999999991</v>
      </c>
      <c r="O133" s="247">
        <f t="shared" si="21"/>
        <v>135571.20000000001</v>
      </c>
      <c r="P133" s="247">
        <f t="shared" si="22"/>
        <v>142349.69999999998</v>
      </c>
      <c r="Q133" s="247">
        <f t="shared" si="23"/>
        <v>203356.80000000002</v>
      </c>
      <c r="R133" s="247">
        <f t="shared" si="24"/>
        <v>213524.55</v>
      </c>
      <c r="S133" s="247">
        <f t="shared" si="25"/>
        <v>271142.40000000002</v>
      </c>
      <c r="T133" s="247">
        <f t="shared" si="26"/>
        <v>284699.39999999997</v>
      </c>
      <c r="U133" s="246">
        <f t="shared" si="27"/>
        <v>555841.80000000005</v>
      </c>
    </row>
    <row r="134" spans="2:21">
      <c r="B134" s="269" t="s">
        <v>594</v>
      </c>
      <c r="C134" s="269">
        <v>7</v>
      </c>
      <c r="D134" s="269">
        <v>22.76</v>
      </c>
      <c r="E134" s="269">
        <v>3779.98</v>
      </c>
      <c r="F134" s="269">
        <v>30</v>
      </c>
      <c r="G134" s="269">
        <v>1133.99</v>
      </c>
      <c r="H134" s="269">
        <v>75</v>
      </c>
      <c r="I134" s="269">
        <v>2834.99</v>
      </c>
      <c r="J134" s="269">
        <v>7748.96</v>
      </c>
      <c r="K134" s="269">
        <v>54242.720000000001</v>
      </c>
      <c r="L134" s="270"/>
      <c r="M134" s="271">
        <f t="shared" si="19"/>
        <v>79379.58</v>
      </c>
      <c r="N134" s="271">
        <f t="shared" si="20"/>
        <v>83348.579999999987</v>
      </c>
      <c r="O134" s="271">
        <f t="shared" si="21"/>
        <v>158759.16</v>
      </c>
      <c r="P134" s="271">
        <f t="shared" si="22"/>
        <v>166697.15999999997</v>
      </c>
      <c r="Q134" s="271">
        <f t="shared" si="23"/>
        <v>238138.74</v>
      </c>
      <c r="R134" s="271">
        <f t="shared" si="24"/>
        <v>250045.73999999996</v>
      </c>
      <c r="S134" s="271">
        <f t="shared" si="25"/>
        <v>317518.32</v>
      </c>
      <c r="T134" s="271">
        <f t="shared" si="26"/>
        <v>333394.31999999995</v>
      </c>
      <c r="U134" s="272">
        <f t="shared" si="27"/>
        <v>650912.6399999999</v>
      </c>
    </row>
    <row r="135" spans="2:21">
      <c r="B135" s="242" t="s">
        <v>595</v>
      </c>
      <c r="C135" s="242">
        <v>1</v>
      </c>
      <c r="D135" s="242">
        <v>23.4</v>
      </c>
      <c r="E135" s="242">
        <v>3886.27</v>
      </c>
      <c r="F135" s="242">
        <v>25</v>
      </c>
      <c r="G135" s="242">
        <v>971.57</v>
      </c>
      <c r="H135" s="242">
        <v>75</v>
      </c>
      <c r="I135" s="242">
        <v>2914.7</v>
      </c>
      <c r="J135" s="242">
        <v>7772.54</v>
      </c>
      <c r="K135" s="242">
        <v>7772.54</v>
      </c>
      <c r="M135" s="247">
        <f t="shared" si="19"/>
        <v>11658.81</v>
      </c>
      <c r="N135" s="247">
        <f t="shared" si="20"/>
        <v>11658.81</v>
      </c>
      <c r="O135" s="247">
        <f t="shared" si="21"/>
        <v>23317.62</v>
      </c>
      <c r="P135" s="247">
        <f t="shared" si="22"/>
        <v>23317.62</v>
      </c>
      <c r="Q135" s="247">
        <f t="shared" si="23"/>
        <v>34976.43</v>
      </c>
      <c r="R135" s="247">
        <f t="shared" si="24"/>
        <v>34976.43</v>
      </c>
      <c r="S135" s="247">
        <f t="shared" si="25"/>
        <v>46635.24</v>
      </c>
      <c r="T135" s="247">
        <f t="shared" si="26"/>
        <v>46635.24</v>
      </c>
      <c r="U135" s="246">
        <f t="shared" si="27"/>
        <v>93270.48</v>
      </c>
    </row>
    <row r="136" spans="2:21">
      <c r="B136" s="242" t="s">
        <v>596</v>
      </c>
      <c r="C136" s="242">
        <v>1</v>
      </c>
      <c r="D136" s="242">
        <v>23.4</v>
      </c>
      <c r="E136" s="242">
        <v>3886.27</v>
      </c>
      <c r="F136" s="242">
        <v>25</v>
      </c>
      <c r="G136" s="242">
        <v>971.57</v>
      </c>
      <c r="H136" s="242">
        <v>75</v>
      </c>
      <c r="I136" s="242">
        <v>2914.7</v>
      </c>
      <c r="J136" s="242">
        <v>7772.54</v>
      </c>
      <c r="K136" s="242">
        <v>7772.54</v>
      </c>
      <c r="M136" s="247">
        <f t="shared" si="19"/>
        <v>11658.81</v>
      </c>
      <c r="N136" s="247">
        <f t="shared" si="20"/>
        <v>11658.81</v>
      </c>
      <c r="O136" s="247">
        <f t="shared" si="21"/>
        <v>23317.62</v>
      </c>
      <c r="P136" s="247">
        <f t="shared" si="22"/>
        <v>23317.62</v>
      </c>
      <c r="Q136" s="247">
        <f t="shared" si="23"/>
        <v>34976.43</v>
      </c>
      <c r="R136" s="247">
        <f t="shared" si="24"/>
        <v>34976.43</v>
      </c>
      <c r="S136" s="247">
        <f t="shared" si="25"/>
        <v>46635.24</v>
      </c>
      <c r="T136" s="247">
        <f t="shared" si="26"/>
        <v>46635.24</v>
      </c>
      <c r="U136" s="246">
        <f t="shared" si="27"/>
        <v>93270.48</v>
      </c>
    </row>
    <row r="137" spans="2:21">
      <c r="B137" s="242" t="s">
        <v>597</v>
      </c>
      <c r="C137" s="242">
        <v>1</v>
      </c>
      <c r="D137" s="242">
        <v>23.4</v>
      </c>
      <c r="E137" s="242">
        <v>3886.27</v>
      </c>
      <c r="F137" s="242">
        <v>25</v>
      </c>
      <c r="G137" s="242">
        <v>971.57</v>
      </c>
      <c r="H137" s="242">
        <v>75</v>
      </c>
      <c r="I137" s="242">
        <v>2914.7</v>
      </c>
      <c r="J137" s="242">
        <v>7772.54</v>
      </c>
      <c r="K137" s="242">
        <v>7772.54</v>
      </c>
      <c r="M137" s="247">
        <f t="shared" si="19"/>
        <v>11658.81</v>
      </c>
      <c r="N137" s="247">
        <f t="shared" si="20"/>
        <v>11658.81</v>
      </c>
      <c r="O137" s="247">
        <f t="shared" si="21"/>
        <v>23317.62</v>
      </c>
      <c r="P137" s="247">
        <f t="shared" si="22"/>
        <v>23317.62</v>
      </c>
      <c r="Q137" s="247">
        <f t="shared" si="23"/>
        <v>34976.43</v>
      </c>
      <c r="R137" s="247">
        <f t="shared" si="24"/>
        <v>34976.43</v>
      </c>
      <c r="S137" s="247">
        <f t="shared" si="25"/>
        <v>46635.24</v>
      </c>
      <c r="T137" s="247">
        <f t="shared" si="26"/>
        <v>46635.24</v>
      </c>
      <c r="U137" s="246">
        <f t="shared" si="27"/>
        <v>93270.48</v>
      </c>
    </row>
    <row r="138" spans="2:21">
      <c r="B138" s="242" t="s">
        <v>598</v>
      </c>
      <c r="C138" s="242">
        <v>1</v>
      </c>
      <c r="D138" s="242">
        <v>23.4</v>
      </c>
      <c r="E138" s="242">
        <v>3886.27</v>
      </c>
      <c r="F138" s="242">
        <v>50</v>
      </c>
      <c r="G138" s="242">
        <v>1943.14</v>
      </c>
      <c r="H138" s="242">
        <v>75</v>
      </c>
      <c r="I138" s="242">
        <v>2914.7</v>
      </c>
      <c r="J138" s="242">
        <v>8744.11</v>
      </c>
      <c r="K138" s="242">
        <v>8744.11</v>
      </c>
      <c r="M138" s="247">
        <f t="shared" si="19"/>
        <v>11658.81</v>
      </c>
      <c r="N138" s="247">
        <f t="shared" si="20"/>
        <v>14573.52</v>
      </c>
      <c r="O138" s="247">
        <f t="shared" si="21"/>
        <v>23317.62</v>
      </c>
      <c r="P138" s="247">
        <f t="shared" si="22"/>
        <v>29147.040000000001</v>
      </c>
      <c r="Q138" s="247">
        <f t="shared" si="23"/>
        <v>34976.43</v>
      </c>
      <c r="R138" s="247">
        <f t="shared" si="24"/>
        <v>43720.56</v>
      </c>
      <c r="S138" s="247">
        <f t="shared" si="25"/>
        <v>46635.24</v>
      </c>
      <c r="T138" s="247">
        <f t="shared" si="26"/>
        <v>58294.080000000002</v>
      </c>
      <c r="U138" s="246">
        <f t="shared" si="27"/>
        <v>104929.32</v>
      </c>
    </row>
    <row r="139" spans="2:21">
      <c r="B139" s="242" t="s">
        <v>599</v>
      </c>
      <c r="C139" s="242">
        <v>1</v>
      </c>
      <c r="D139" s="242">
        <v>23.4</v>
      </c>
      <c r="E139" s="242">
        <v>3886.27</v>
      </c>
      <c r="F139" s="242">
        <v>25</v>
      </c>
      <c r="G139" s="242">
        <v>971.57</v>
      </c>
      <c r="H139" s="242">
        <v>75</v>
      </c>
      <c r="I139" s="242">
        <v>2914.7</v>
      </c>
      <c r="J139" s="242">
        <v>7772.54</v>
      </c>
      <c r="K139" s="242">
        <v>7772.54</v>
      </c>
      <c r="M139" s="247">
        <f t="shared" si="19"/>
        <v>11658.81</v>
      </c>
      <c r="N139" s="247">
        <f t="shared" si="20"/>
        <v>11658.81</v>
      </c>
      <c r="O139" s="247">
        <f t="shared" si="21"/>
        <v>23317.62</v>
      </c>
      <c r="P139" s="247">
        <f t="shared" si="22"/>
        <v>23317.62</v>
      </c>
      <c r="Q139" s="247">
        <f t="shared" si="23"/>
        <v>34976.43</v>
      </c>
      <c r="R139" s="247">
        <f t="shared" si="24"/>
        <v>34976.43</v>
      </c>
      <c r="S139" s="247">
        <f t="shared" si="25"/>
        <v>46635.24</v>
      </c>
      <c r="T139" s="247">
        <f t="shared" si="26"/>
        <v>46635.24</v>
      </c>
      <c r="U139" s="246">
        <f t="shared" si="27"/>
        <v>93270.48</v>
      </c>
    </row>
    <row r="140" spans="2:21">
      <c r="B140" s="242" t="s">
        <v>600</v>
      </c>
      <c r="C140" s="242">
        <v>1</v>
      </c>
      <c r="D140" s="242">
        <v>22.76</v>
      </c>
      <c r="E140" s="242">
        <v>3779.98</v>
      </c>
      <c r="F140" s="242">
        <v>25</v>
      </c>
      <c r="G140" s="242">
        <v>945</v>
      </c>
      <c r="H140" s="242">
        <v>75</v>
      </c>
      <c r="I140" s="242">
        <v>2834.99</v>
      </c>
      <c r="J140" s="242">
        <v>7559.96</v>
      </c>
      <c r="K140" s="242">
        <v>7559.96</v>
      </c>
      <c r="M140" s="247">
        <f t="shared" si="19"/>
        <v>11339.94</v>
      </c>
      <c r="N140" s="247">
        <f t="shared" si="20"/>
        <v>11339.97</v>
      </c>
      <c r="O140" s="247">
        <f t="shared" si="21"/>
        <v>22679.88</v>
      </c>
      <c r="P140" s="247">
        <f t="shared" si="22"/>
        <v>22679.94</v>
      </c>
      <c r="Q140" s="247">
        <f t="shared" si="23"/>
        <v>34019.82</v>
      </c>
      <c r="R140" s="247">
        <f t="shared" si="24"/>
        <v>34019.909999999996</v>
      </c>
      <c r="S140" s="247">
        <f t="shared" si="25"/>
        <v>45359.76</v>
      </c>
      <c r="T140" s="247">
        <f t="shared" si="26"/>
        <v>45359.88</v>
      </c>
      <c r="U140" s="246">
        <f t="shared" si="27"/>
        <v>90719.64</v>
      </c>
    </row>
    <row r="141" spans="2:21">
      <c r="B141" s="242" t="s">
        <v>601</v>
      </c>
      <c r="C141" s="242">
        <v>1</v>
      </c>
      <c r="D141" s="242">
        <v>29.92</v>
      </c>
      <c r="E141" s="242">
        <v>4969.1099999999997</v>
      </c>
      <c r="F141" s="242">
        <v>12</v>
      </c>
      <c r="G141" s="242">
        <v>596.29</v>
      </c>
      <c r="H141" s="242">
        <v>90</v>
      </c>
      <c r="I141" s="242">
        <v>4472.2</v>
      </c>
      <c r="J141" s="242">
        <v>10037.61</v>
      </c>
      <c r="K141" s="242">
        <v>10037.61</v>
      </c>
      <c r="M141" s="247">
        <f t="shared" si="19"/>
        <v>14907.329999999998</v>
      </c>
      <c r="N141" s="247">
        <f t="shared" si="20"/>
        <v>15205.47</v>
      </c>
      <c r="O141" s="247">
        <f t="shared" si="21"/>
        <v>29814.659999999996</v>
      </c>
      <c r="P141" s="247">
        <f t="shared" si="22"/>
        <v>30410.94</v>
      </c>
      <c r="Q141" s="247">
        <f t="shared" si="23"/>
        <v>44721.99</v>
      </c>
      <c r="R141" s="247">
        <f t="shared" si="24"/>
        <v>45616.409999999996</v>
      </c>
      <c r="S141" s="247">
        <f t="shared" si="25"/>
        <v>59629.319999999992</v>
      </c>
      <c r="T141" s="247">
        <f t="shared" si="26"/>
        <v>60821.88</v>
      </c>
      <c r="U141" s="246">
        <f t="shared" si="27"/>
        <v>120451.19999999998</v>
      </c>
    </row>
    <row r="142" spans="2:21">
      <c r="B142" s="242" t="s">
        <v>602</v>
      </c>
      <c r="C142" s="242">
        <v>1</v>
      </c>
      <c r="D142" s="242">
        <v>32.94</v>
      </c>
      <c r="E142" s="242">
        <v>5470.68</v>
      </c>
      <c r="F142" s="242">
        <v>12</v>
      </c>
      <c r="G142" s="242">
        <v>656.48</v>
      </c>
      <c r="H142" s="242">
        <v>90</v>
      </c>
      <c r="I142" s="242">
        <v>4923.6099999999997</v>
      </c>
      <c r="J142" s="242">
        <v>11050.76</v>
      </c>
      <c r="K142" s="242">
        <v>11050.76</v>
      </c>
      <c r="M142" s="247">
        <f t="shared" si="19"/>
        <v>16412.04</v>
      </c>
      <c r="N142" s="247">
        <f t="shared" si="20"/>
        <v>16740.27</v>
      </c>
      <c r="O142" s="247">
        <f t="shared" si="21"/>
        <v>32824.080000000002</v>
      </c>
      <c r="P142" s="247">
        <f t="shared" si="22"/>
        <v>33480.54</v>
      </c>
      <c r="Q142" s="247">
        <f t="shared" si="23"/>
        <v>49236.12</v>
      </c>
      <c r="R142" s="247">
        <f t="shared" si="24"/>
        <v>50220.81</v>
      </c>
      <c r="S142" s="247">
        <f t="shared" si="25"/>
        <v>65648.160000000003</v>
      </c>
      <c r="T142" s="247">
        <f t="shared" si="26"/>
        <v>66961.08</v>
      </c>
      <c r="U142" s="246">
        <f t="shared" si="27"/>
        <v>132609.24</v>
      </c>
    </row>
    <row r="143" spans="2:21">
      <c r="B143" s="242" t="s">
        <v>603</v>
      </c>
      <c r="C143" s="242">
        <v>2</v>
      </c>
      <c r="D143" s="242">
        <v>17.82</v>
      </c>
      <c r="E143" s="242">
        <v>2959.55</v>
      </c>
      <c r="F143" s="242">
        <v>12</v>
      </c>
      <c r="G143" s="242">
        <v>355.15</v>
      </c>
      <c r="H143" s="242">
        <v>50</v>
      </c>
      <c r="I143" s="242">
        <v>1479.77</v>
      </c>
      <c r="J143" s="242">
        <v>4794.46</v>
      </c>
      <c r="K143" s="242">
        <v>9588.93</v>
      </c>
      <c r="M143" s="247">
        <f t="shared" si="19"/>
        <v>17757.300000000003</v>
      </c>
      <c r="N143" s="247">
        <f t="shared" si="20"/>
        <v>11009.52</v>
      </c>
      <c r="O143" s="247">
        <f t="shared" si="21"/>
        <v>35514.600000000006</v>
      </c>
      <c r="P143" s="247">
        <f t="shared" si="22"/>
        <v>22019.040000000001</v>
      </c>
      <c r="Q143" s="247">
        <f t="shared" si="23"/>
        <v>53271.9</v>
      </c>
      <c r="R143" s="247">
        <f t="shared" si="24"/>
        <v>33028.559999999998</v>
      </c>
      <c r="S143" s="247">
        <f t="shared" si="25"/>
        <v>71029.200000000012</v>
      </c>
      <c r="T143" s="247">
        <f t="shared" si="26"/>
        <v>44038.080000000002</v>
      </c>
      <c r="U143" s="246">
        <f t="shared" si="27"/>
        <v>115067.28000000001</v>
      </c>
    </row>
    <row r="144" spans="2:21">
      <c r="B144" s="242" t="s">
        <v>495</v>
      </c>
      <c r="C144" s="242">
        <v>110</v>
      </c>
      <c r="D144" s="242"/>
      <c r="E144" s="242"/>
      <c r="F144" s="242"/>
      <c r="G144" s="242"/>
      <c r="H144" s="242"/>
      <c r="I144" s="242"/>
      <c r="J144" s="242"/>
      <c r="K144" s="242">
        <v>1164457.6100000001</v>
      </c>
      <c r="M144" s="247">
        <f t="shared" si="19"/>
        <v>0</v>
      </c>
      <c r="N144" s="247">
        <f t="shared" si="20"/>
        <v>0</v>
      </c>
      <c r="O144" s="247">
        <f t="shared" si="21"/>
        <v>0</v>
      </c>
      <c r="P144" s="247">
        <f t="shared" si="22"/>
        <v>0</v>
      </c>
      <c r="Q144" s="247">
        <f t="shared" si="23"/>
        <v>0</v>
      </c>
      <c r="R144" s="247">
        <f t="shared" si="24"/>
        <v>0</v>
      </c>
      <c r="S144" s="247">
        <f t="shared" si="25"/>
        <v>0</v>
      </c>
      <c r="T144" s="247">
        <f t="shared" si="26"/>
        <v>0</v>
      </c>
      <c r="U144" s="246">
        <f t="shared" si="27"/>
        <v>0</v>
      </c>
    </row>
    <row r="145" spans="2:21">
      <c r="B145" s="242" t="s">
        <v>604</v>
      </c>
      <c r="C145" s="242"/>
      <c r="D145" s="242"/>
      <c r="E145" s="242"/>
      <c r="F145" s="242"/>
      <c r="G145" s="242"/>
      <c r="H145" s="242"/>
      <c r="I145" s="242"/>
      <c r="J145" s="242"/>
      <c r="K145" s="242"/>
      <c r="M145" s="247">
        <f t="shared" si="19"/>
        <v>0</v>
      </c>
      <c r="N145" s="247">
        <f t="shared" si="20"/>
        <v>0</v>
      </c>
      <c r="O145" s="247">
        <f t="shared" si="21"/>
        <v>0</v>
      </c>
      <c r="P145" s="247">
        <f t="shared" si="22"/>
        <v>0</v>
      </c>
      <c r="Q145" s="247">
        <f t="shared" si="23"/>
        <v>0</v>
      </c>
      <c r="R145" s="247">
        <f t="shared" si="24"/>
        <v>0</v>
      </c>
      <c r="S145" s="247">
        <f t="shared" si="25"/>
        <v>0</v>
      </c>
      <c r="T145" s="247">
        <f t="shared" si="26"/>
        <v>0</v>
      </c>
      <c r="U145" s="246">
        <f t="shared" si="27"/>
        <v>0</v>
      </c>
    </row>
    <row r="146" spans="2:21">
      <c r="B146" s="242" t="s">
        <v>605</v>
      </c>
      <c r="C146" s="242">
        <v>4</v>
      </c>
      <c r="D146" s="242">
        <v>28.01</v>
      </c>
      <c r="E146" s="242">
        <v>4651.8999999999996</v>
      </c>
      <c r="F146" s="242">
        <v>24</v>
      </c>
      <c r="G146" s="242">
        <v>1116.46</v>
      </c>
      <c r="H146" s="242">
        <v>50</v>
      </c>
      <c r="I146" s="242">
        <v>2325.9499999999998</v>
      </c>
      <c r="J146" s="242">
        <v>8094.31</v>
      </c>
      <c r="K146" s="242">
        <v>32377.23</v>
      </c>
      <c r="M146" s="247">
        <f t="shared" si="19"/>
        <v>55822.799999999996</v>
      </c>
      <c r="N146" s="247">
        <f t="shared" si="20"/>
        <v>41308.92</v>
      </c>
      <c r="O146" s="247">
        <f t="shared" si="21"/>
        <v>111645.59999999999</v>
      </c>
      <c r="P146" s="247">
        <f t="shared" si="22"/>
        <v>82617.84</v>
      </c>
      <c r="Q146" s="247">
        <f t="shared" si="23"/>
        <v>167468.4</v>
      </c>
      <c r="R146" s="247">
        <f t="shared" si="24"/>
        <v>123926.76</v>
      </c>
      <c r="S146" s="247">
        <f t="shared" si="25"/>
        <v>223291.19999999998</v>
      </c>
      <c r="T146" s="247">
        <f t="shared" si="26"/>
        <v>165235.68</v>
      </c>
      <c r="U146" s="246">
        <f t="shared" si="27"/>
        <v>388526.88</v>
      </c>
    </row>
    <row r="147" spans="2:21">
      <c r="B147" s="242" t="s">
        <v>606</v>
      </c>
      <c r="C147" s="242">
        <v>4</v>
      </c>
      <c r="D147" s="242">
        <v>32.15</v>
      </c>
      <c r="E147" s="242">
        <v>5339.47</v>
      </c>
      <c r="F147" s="242">
        <v>28</v>
      </c>
      <c r="G147" s="242">
        <v>1495.05</v>
      </c>
      <c r="H147" s="242">
        <v>50</v>
      </c>
      <c r="I147" s="242">
        <v>2669.74</v>
      </c>
      <c r="J147" s="242">
        <v>9504.26</v>
      </c>
      <c r="K147" s="242">
        <v>38017.040000000001</v>
      </c>
      <c r="M147" s="247">
        <f t="shared" si="19"/>
        <v>64073.64</v>
      </c>
      <c r="N147" s="247">
        <f t="shared" si="20"/>
        <v>49977.479999999996</v>
      </c>
      <c r="O147" s="247">
        <f t="shared" si="21"/>
        <v>128147.28</v>
      </c>
      <c r="P147" s="247">
        <f t="shared" si="22"/>
        <v>99954.959999999992</v>
      </c>
      <c r="Q147" s="247">
        <f t="shared" si="23"/>
        <v>192220.92</v>
      </c>
      <c r="R147" s="247">
        <f t="shared" si="24"/>
        <v>149932.44</v>
      </c>
      <c r="S147" s="247">
        <f t="shared" si="25"/>
        <v>256294.56</v>
      </c>
      <c r="T147" s="247">
        <f t="shared" si="26"/>
        <v>199909.91999999998</v>
      </c>
      <c r="U147" s="246">
        <f t="shared" si="27"/>
        <v>456204.48</v>
      </c>
    </row>
    <row r="148" spans="2:21">
      <c r="B148" s="242" t="s">
        <v>607</v>
      </c>
      <c r="C148" s="242">
        <v>2</v>
      </c>
      <c r="D148" s="242">
        <v>28.64</v>
      </c>
      <c r="E148" s="242">
        <v>4756.53</v>
      </c>
      <c r="F148" s="242">
        <v>24</v>
      </c>
      <c r="G148" s="242">
        <v>1141.57</v>
      </c>
      <c r="H148" s="242">
        <v>50</v>
      </c>
      <c r="I148" s="242">
        <v>2378.27</v>
      </c>
      <c r="J148" s="242">
        <v>8276.36</v>
      </c>
      <c r="K148" s="242">
        <v>16552.73</v>
      </c>
      <c r="M148" s="247">
        <f t="shared" si="19"/>
        <v>28539.18</v>
      </c>
      <c r="N148" s="247">
        <f t="shared" si="20"/>
        <v>21119.040000000001</v>
      </c>
      <c r="O148" s="247">
        <f t="shared" si="21"/>
        <v>57078.36</v>
      </c>
      <c r="P148" s="247">
        <f t="shared" si="22"/>
        <v>42238.080000000002</v>
      </c>
      <c r="Q148" s="247">
        <f t="shared" si="23"/>
        <v>85617.54</v>
      </c>
      <c r="R148" s="247">
        <f t="shared" si="24"/>
        <v>63357.120000000003</v>
      </c>
      <c r="S148" s="247">
        <f t="shared" si="25"/>
        <v>114156.72</v>
      </c>
      <c r="T148" s="247">
        <f t="shared" si="26"/>
        <v>84476.160000000003</v>
      </c>
      <c r="U148" s="246">
        <f t="shared" si="27"/>
        <v>198632.88</v>
      </c>
    </row>
    <row r="149" spans="2:21">
      <c r="B149" s="242" t="s">
        <v>608</v>
      </c>
      <c r="C149" s="242">
        <v>1</v>
      </c>
      <c r="D149" s="242">
        <v>36.770000000000003</v>
      </c>
      <c r="E149" s="242">
        <v>6106.76</v>
      </c>
      <c r="F149" s="242">
        <v>32</v>
      </c>
      <c r="G149" s="242">
        <v>1954.16</v>
      </c>
      <c r="H149" s="242">
        <v>50</v>
      </c>
      <c r="I149" s="242">
        <v>3053.38</v>
      </c>
      <c r="J149" s="242">
        <v>11114.31</v>
      </c>
      <c r="K149" s="242">
        <v>11114.31</v>
      </c>
      <c r="M149" s="247">
        <f t="shared" si="19"/>
        <v>18320.28</v>
      </c>
      <c r="N149" s="247">
        <f t="shared" si="20"/>
        <v>15022.619999999999</v>
      </c>
      <c r="O149" s="247">
        <f t="shared" si="21"/>
        <v>36640.559999999998</v>
      </c>
      <c r="P149" s="247">
        <f t="shared" si="22"/>
        <v>30045.239999999998</v>
      </c>
      <c r="Q149" s="247">
        <f t="shared" si="23"/>
        <v>54960.840000000004</v>
      </c>
      <c r="R149" s="247">
        <f t="shared" si="24"/>
        <v>45067.86</v>
      </c>
      <c r="S149" s="247">
        <f t="shared" si="25"/>
        <v>73281.119999999995</v>
      </c>
      <c r="T149" s="247">
        <f t="shared" si="26"/>
        <v>60090.479999999996</v>
      </c>
      <c r="U149" s="246">
        <f t="shared" si="27"/>
        <v>133371.59999999998</v>
      </c>
    </row>
    <row r="150" spans="2:21">
      <c r="B150" s="242" t="s">
        <v>609</v>
      </c>
      <c r="C150" s="242">
        <v>2</v>
      </c>
      <c r="D150" s="242">
        <v>42.97</v>
      </c>
      <c r="E150" s="242">
        <v>7136.46</v>
      </c>
      <c r="F150" s="242">
        <v>36</v>
      </c>
      <c r="G150" s="242">
        <v>2569.12</v>
      </c>
      <c r="H150" s="242">
        <v>50</v>
      </c>
      <c r="I150" s="242">
        <v>3568.23</v>
      </c>
      <c r="J150" s="242">
        <v>13273.81</v>
      </c>
      <c r="K150" s="242">
        <v>26547.62</v>
      </c>
      <c r="M150" s="247">
        <f t="shared" si="19"/>
        <v>42818.76</v>
      </c>
      <c r="N150" s="247">
        <f t="shared" si="20"/>
        <v>36824.100000000006</v>
      </c>
      <c r="O150" s="247">
        <f t="shared" si="21"/>
        <v>85637.52</v>
      </c>
      <c r="P150" s="247">
        <f t="shared" si="22"/>
        <v>73648.200000000012</v>
      </c>
      <c r="Q150" s="247">
        <f t="shared" si="23"/>
        <v>128456.28</v>
      </c>
      <c r="R150" s="247">
        <f t="shared" si="24"/>
        <v>110472.3</v>
      </c>
      <c r="S150" s="247">
        <f t="shared" si="25"/>
        <v>171275.04</v>
      </c>
      <c r="T150" s="247">
        <f t="shared" si="26"/>
        <v>147296.40000000002</v>
      </c>
      <c r="U150" s="246">
        <f t="shared" si="27"/>
        <v>318571.44000000006</v>
      </c>
    </row>
    <row r="151" spans="2:21">
      <c r="B151" s="242" t="s">
        <v>610</v>
      </c>
      <c r="C151" s="242">
        <v>1</v>
      </c>
      <c r="D151" s="242">
        <v>24.03</v>
      </c>
      <c r="E151" s="242">
        <v>3990.9</v>
      </c>
      <c r="F151" s="242"/>
      <c r="G151" s="242"/>
      <c r="H151" s="242">
        <v>50</v>
      </c>
      <c r="I151" s="242">
        <v>1995.45</v>
      </c>
      <c r="J151" s="242">
        <v>5986.35</v>
      </c>
      <c r="K151" s="242">
        <v>5986.35</v>
      </c>
      <c r="M151" s="247">
        <f t="shared" si="19"/>
        <v>11972.7</v>
      </c>
      <c r="N151" s="247">
        <f t="shared" si="20"/>
        <v>5986.35</v>
      </c>
      <c r="O151" s="247">
        <f t="shared" si="21"/>
        <v>23945.4</v>
      </c>
      <c r="P151" s="247">
        <f t="shared" si="22"/>
        <v>11972.7</v>
      </c>
      <c r="Q151" s="247">
        <f t="shared" si="23"/>
        <v>35918.1</v>
      </c>
      <c r="R151" s="247">
        <f t="shared" si="24"/>
        <v>17959.05</v>
      </c>
      <c r="S151" s="247">
        <f t="shared" si="25"/>
        <v>47890.8</v>
      </c>
      <c r="T151" s="247">
        <f t="shared" si="26"/>
        <v>23945.4</v>
      </c>
      <c r="U151" s="246">
        <f t="shared" si="27"/>
        <v>71836.200000000012</v>
      </c>
    </row>
    <row r="152" spans="2:21">
      <c r="B152" s="242" t="s">
        <v>611</v>
      </c>
      <c r="C152" s="242">
        <v>1</v>
      </c>
      <c r="D152" s="242">
        <v>42.97</v>
      </c>
      <c r="E152" s="242">
        <v>7136.46</v>
      </c>
      <c r="F152" s="242">
        <v>36</v>
      </c>
      <c r="G152" s="242">
        <v>2569.12</v>
      </c>
      <c r="H152" s="242">
        <v>50</v>
      </c>
      <c r="I152" s="242">
        <v>3568.23</v>
      </c>
      <c r="J152" s="242">
        <v>13273.81</v>
      </c>
      <c r="K152" s="242">
        <v>13273.81</v>
      </c>
      <c r="M152" s="247">
        <f t="shared" ref="M152:M194" si="28">E152*3*C152</f>
        <v>21409.38</v>
      </c>
      <c r="N152" s="247">
        <f t="shared" ref="N152:N194" si="29">(G152+I152)*C152*3</f>
        <v>18412.050000000003</v>
      </c>
      <c r="O152" s="247">
        <f t="shared" ref="O152:O194" si="30">E152*C152*6</f>
        <v>42818.76</v>
      </c>
      <c r="P152" s="247">
        <f t="shared" ref="P152:P194" si="31">(G152+I152)*C152*6</f>
        <v>36824.100000000006</v>
      </c>
      <c r="Q152" s="247">
        <f t="shared" ref="Q152:Q194" si="32">E152*C152*9</f>
        <v>64228.14</v>
      </c>
      <c r="R152" s="247">
        <f t="shared" ref="R152:R194" si="33">(G152+I152)*C152*9</f>
        <v>55236.15</v>
      </c>
      <c r="S152" s="247">
        <f t="shared" ref="S152:S194" si="34">E152*C152*12</f>
        <v>85637.52</v>
      </c>
      <c r="T152" s="247">
        <f t="shared" ref="T152:T194" si="35">(G152+I152)*C152*12</f>
        <v>73648.200000000012</v>
      </c>
      <c r="U152" s="246">
        <f t="shared" ref="U152:U194" si="36">S152+T152</f>
        <v>159285.72000000003</v>
      </c>
    </row>
    <row r="153" spans="2:21">
      <c r="B153" s="242" t="s">
        <v>612</v>
      </c>
      <c r="C153" s="242">
        <v>1</v>
      </c>
      <c r="D153" s="242">
        <v>32.15</v>
      </c>
      <c r="E153" s="242">
        <v>5339.47</v>
      </c>
      <c r="F153" s="242">
        <v>28</v>
      </c>
      <c r="G153" s="242">
        <v>1495.05</v>
      </c>
      <c r="H153" s="242">
        <v>50</v>
      </c>
      <c r="I153" s="242">
        <v>2669.74</v>
      </c>
      <c r="J153" s="242">
        <v>9504.26</v>
      </c>
      <c r="K153" s="242">
        <v>9504.26</v>
      </c>
      <c r="M153" s="247">
        <f t="shared" si="28"/>
        <v>16018.41</v>
      </c>
      <c r="N153" s="247">
        <f t="shared" si="29"/>
        <v>12494.369999999999</v>
      </c>
      <c r="O153" s="247">
        <f t="shared" si="30"/>
        <v>32036.82</v>
      </c>
      <c r="P153" s="247">
        <f t="shared" si="31"/>
        <v>24988.739999999998</v>
      </c>
      <c r="Q153" s="247">
        <f t="shared" si="32"/>
        <v>48055.23</v>
      </c>
      <c r="R153" s="247">
        <f t="shared" si="33"/>
        <v>37483.11</v>
      </c>
      <c r="S153" s="247">
        <f t="shared" si="34"/>
        <v>64073.64</v>
      </c>
      <c r="T153" s="247">
        <f t="shared" si="35"/>
        <v>49977.479999999996</v>
      </c>
      <c r="U153" s="246">
        <f t="shared" si="36"/>
        <v>114051.12</v>
      </c>
    </row>
    <row r="154" spans="2:21">
      <c r="B154" s="242" t="s">
        <v>613</v>
      </c>
      <c r="C154" s="242">
        <v>1</v>
      </c>
      <c r="D154" s="242">
        <v>32.15</v>
      </c>
      <c r="E154" s="242">
        <v>5339.47</v>
      </c>
      <c r="F154" s="242">
        <v>28</v>
      </c>
      <c r="G154" s="242">
        <v>1495.05</v>
      </c>
      <c r="H154" s="242">
        <v>50</v>
      </c>
      <c r="I154" s="242">
        <v>2669.74</v>
      </c>
      <c r="J154" s="242">
        <v>9504.26</v>
      </c>
      <c r="K154" s="242">
        <v>9504.26</v>
      </c>
      <c r="M154" s="247">
        <f t="shared" si="28"/>
        <v>16018.41</v>
      </c>
      <c r="N154" s="247">
        <f t="shared" si="29"/>
        <v>12494.369999999999</v>
      </c>
      <c r="O154" s="247">
        <f t="shared" si="30"/>
        <v>32036.82</v>
      </c>
      <c r="P154" s="247">
        <f t="shared" si="31"/>
        <v>24988.739999999998</v>
      </c>
      <c r="Q154" s="247">
        <f t="shared" si="32"/>
        <v>48055.23</v>
      </c>
      <c r="R154" s="247">
        <f t="shared" si="33"/>
        <v>37483.11</v>
      </c>
      <c r="S154" s="247">
        <f t="shared" si="34"/>
        <v>64073.64</v>
      </c>
      <c r="T154" s="247">
        <f t="shared" si="35"/>
        <v>49977.479999999996</v>
      </c>
      <c r="U154" s="246">
        <f t="shared" si="36"/>
        <v>114051.12</v>
      </c>
    </row>
    <row r="155" spans="2:21">
      <c r="B155" s="242" t="s">
        <v>614</v>
      </c>
      <c r="C155" s="242">
        <v>4</v>
      </c>
      <c r="D155" s="242">
        <v>32.15</v>
      </c>
      <c r="E155" s="242">
        <v>5339.47</v>
      </c>
      <c r="F155" s="242">
        <v>28</v>
      </c>
      <c r="G155" s="242">
        <v>1495.05</v>
      </c>
      <c r="H155" s="242">
        <v>50</v>
      </c>
      <c r="I155" s="242">
        <v>2669.74</v>
      </c>
      <c r="J155" s="242">
        <v>9504.2601599999998</v>
      </c>
      <c r="K155" s="242">
        <v>38017.040000000001</v>
      </c>
      <c r="M155" s="247">
        <f t="shared" si="28"/>
        <v>64073.64</v>
      </c>
      <c r="N155" s="247">
        <f t="shared" si="29"/>
        <v>49977.479999999996</v>
      </c>
      <c r="O155" s="247">
        <f t="shared" si="30"/>
        <v>128147.28</v>
      </c>
      <c r="P155" s="247">
        <f t="shared" si="31"/>
        <v>99954.959999999992</v>
      </c>
      <c r="Q155" s="247">
        <f t="shared" si="32"/>
        <v>192220.92</v>
      </c>
      <c r="R155" s="247">
        <f t="shared" si="33"/>
        <v>149932.44</v>
      </c>
      <c r="S155" s="247">
        <f t="shared" si="34"/>
        <v>256294.56</v>
      </c>
      <c r="T155" s="247">
        <f t="shared" si="35"/>
        <v>199909.91999999998</v>
      </c>
      <c r="U155" s="246">
        <f t="shared" si="36"/>
        <v>456204.48</v>
      </c>
    </row>
    <row r="156" spans="2:21">
      <c r="B156" s="242" t="s">
        <v>615</v>
      </c>
      <c r="C156" s="242">
        <v>3</v>
      </c>
      <c r="D156" s="242">
        <v>36.770000000000003</v>
      </c>
      <c r="E156" s="242">
        <v>6106.76</v>
      </c>
      <c r="F156" s="242">
        <v>32</v>
      </c>
      <c r="G156" s="242">
        <v>1954.16</v>
      </c>
      <c r="H156" s="242">
        <v>50</v>
      </c>
      <c r="I156" s="242">
        <v>3053.38</v>
      </c>
      <c r="J156" s="242">
        <v>11114.31</v>
      </c>
      <c r="K156" s="242">
        <v>33342.92</v>
      </c>
      <c r="M156" s="247">
        <f t="shared" si="28"/>
        <v>54960.84</v>
      </c>
      <c r="N156" s="247">
        <f t="shared" si="29"/>
        <v>45067.86</v>
      </c>
      <c r="O156" s="247">
        <f t="shared" si="30"/>
        <v>109921.68</v>
      </c>
      <c r="P156" s="247">
        <f t="shared" si="31"/>
        <v>90135.72</v>
      </c>
      <c r="Q156" s="247">
        <f t="shared" si="32"/>
        <v>164882.51999999999</v>
      </c>
      <c r="R156" s="247">
        <f t="shared" si="33"/>
        <v>135203.57999999999</v>
      </c>
      <c r="S156" s="247">
        <f t="shared" si="34"/>
        <v>219843.36</v>
      </c>
      <c r="T156" s="247">
        <f t="shared" si="35"/>
        <v>180271.44</v>
      </c>
      <c r="U156" s="246">
        <f t="shared" si="36"/>
        <v>400114.8</v>
      </c>
    </row>
    <row r="157" spans="2:21">
      <c r="B157" s="242" t="s">
        <v>616</v>
      </c>
      <c r="C157" s="242">
        <v>1</v>
      </c>
      <c r="D157" s="242">
        <v>36.770000000000003</v>
      </c>
      <c r="E157" s="242">
        <v>6106.76</v>
      </c>
      <c r="F157" s="242">
        <v>32</v>
      </c>
      <c r="G157" s="242">
        <v>1954.16</v>
      </c>
      <c r="H157" s="242">
        <v>50</v>
      </c>
      <c r="I157" s="242">
        <v>3053.38</v>
      </c>
      <c r="J157" s="242">
        <v>11114.31</v>
      </c>
      <c r="K157" s="242">
        <v>11114.31</v>
      </c>
      <c r="M157" s="247">
        <f t="shared" si="28"/>
        <v>18320.28</v>
      </c>
      <c r="N157" s="247">
        <f t="shared" si="29"/>
        <v>15022.619999999999</v>
      </c>
      <c r="O157" s="247">
        <f t="shared" si="30"/>
        <v>36640.559999999998</v>
      </c>
      <c r="P157" s="247">
        <f t="shared" si="31"/>
        <v>30045.239999999998</v>
      </c>
      <c r="Q157" s="247">
        <f t="shared" si="32"/>
        <v>54960.840000000004</v>
      </c>
      <c r="R157" s="247">
        <f t="shared" si="33"/>
        <v>45067.86</v>
      </c>
      <c r="S157" s="247">
        <f t="shared" si="34"/>
        <v>73281.119999999995</v>
      </c>
      <c r="T157" s="247">
        <f t="shared" si="35"/>
        <v>60090.479999999996</v>
      </c>
      <c r="U157" s="246">
        <f t="shared" si="36"/>
        <v>133371.59999999998</v>
      </c>
    </row>
    <row r="158" spans="2:21">
      <c r="B158" s="242" t="s">
        <v>617</v>
      </c>
      <c r="C158" s="242">
        <v>1</v>
      </c>
      <c r="D158" s="242">
        <v>42.97</v>
      </c>
      <c r="E158" s="242">
        <v>7136.46</v>
      </c>
      <c r="F158" s="242">
        <v>36</v>
      </c>
      <c r="G158" s="242">
        <v>2569.12</v>
      </c>
      <c r="H158" s="242">
        <v>50</v>
      </c>
      <c r="I158" s="242">
        <v>3568.23</v>
      </c>
      <c r="J158" s="242">
        <v>13273.81</v>
      </c>
      <c r="K158" s="242">
        <v>13273.81</v>
      </c>
      <c r="M158" s="247">
        <f t="shared" si="28"/>
        <v>21409.38</v>
      </c>
      <c r="N158" s="247">
        <f t="shared" si="29"/>
        <v>18412.050000000003</v>
      </c>
      <c r="O158" s="247">
        <f t="shared" si="30"/>
        <v>42818.76</v>
      </c>
      <c r="P158" s="247">
        <f t="shared" si="31"/>
        <v>36824.100000000006</v>
      </c>
      <c r="Q158" s="247">
        <f t="shared" si="32"/>
        <v>64228.14</v>
      </c>
      <c r="R158" s="247">
        <f t="shared" si="33"/>
        <v>55236.15</v>
      </c>
      <c r="S158" s="247">
        <f t="shared" si="34"/>
        <v>85637.52</v>
      </c>
      <c r="T158" s="247">
        <f t="shared" si="35"/>
        <v>73648.200000000012</v>
      </c>
      <c r="U158" s="246">
        <f t="shared" si="36"/>
        <v>159285.72000000003</v>
      </c>
    </row>
    <row r="159" spans="2:21">
      <c r="B159" s="242" t="s">
        <v>618</v>
      </c>
      <c r="C159" s="242">
        <v>2</v>
      </c>
      <c r="D159" s="242">
        <v>42.97</v>
      </c>
      <c r="E159" s="242">
        <v>7136.46</v>
      </c>
      <c r="F159" s="242">
        <v>36</v>
      </c>
      <c r="G159" s="242">
        <v>2569.12</v>
      </c>
      <c r="H159" s="242">
        <v>50</v>
      </c>
      <c r="I159" s="242">
        <v>3568.23</v>
      </c>
      <c r="J159" s="242">
        <v>13273.81</v>
      </c>
      <c r="K159" s="242">
        <v>26547.62</v>
      </c>
      <c r="M159" s="247">
        <f t="shared" si="28"/>
        <v>42818.76</v>
      </c>
      <c r="N159" s="247">
        <f t="shared" si="29"/>
        <v>36824.100000000006</v>
      </c>
      <c r="O159" s="247">
        <f t="shared" si="30"/>
        <v>85637.52</v>
      </c>
      <c r="P159" s="247">
        <f t="shared" si="31"/>
        <v>73648.200000000012</v>
      </c>
      <c r="Q159" s="247">
        <f t="shared" si="32"/>
        <v>128456.28</v>
      </c>
      <c r="R159" s="247">
        <f t="shared" si="33"/>
        <v>110472.3</v>
      </c>
      <c r="S159" s="247">
        <f t="shared" si="34"/>
        <v>171275.04</v>
      </c>
      <c r="T159" s="247">
        <f t="shared" si="35"/>
        <v>147296.40000000002</v>
      </c>
      <c r="U159" s="246">
        <f t="shared" si="36"/>
        <v>318571.44000000006</v>
      </c>
    </row>
    <row r="160" spans="2:21">
      <c r="B160" s="242" t="s">
        <v>619</v>
      </c>
      <c r="C160" s="242">
        <v>1</v>
      </c>
      <c r="D160" s="242">
        <v>32.15</v>
      </c>
      <c r="E160" s="242">
        <v>5339.47</v>
      </c>
      <c r="F160" s="242">
        <v>28</v>
      </c>
      <c r="G160" s="242">
        <v>1495.05</v>
      </c>
      <c r="H160" s="242">
        <v>50</v>
      </c>
      <c r="I160" s="242">
        <v>2669.74</v>
      </c>
      <c r="J160" s="242">
        <v>9504.2601599999998</v>
      </c>
      <c r="K160" s="242">
        <v>9504.26</v>
      </c>
      <c r="M160" s="247">
        <f t="shared" si="28"/>
        <v>16018.41</v>
      </c>
      <c r="N160" s="247">
        <f t="shared" si="29"/>
        <v>12494.369999999999</v>
      </c>
      <c r="O160" s="247">
        <f t="shared" si="30"/>
        <v>32036.82</v>
      </c>
      <c r="P160" s="247">
        <f t="shared" si="31"/>
        <v>24988.739999999998</v>
      </c>
      <c r="Q160" s="247">
        <f t="shared" si="32"/>
        <v>48055.23</v>
      </c>
      <c r="R160" s="247">
        <f t="shared" si="33"/>
        <v>37483.11</v>
      </c>
      <c r="S160" s="247">
        <f t="shared" si="34"/>
        <v>64073.64</v>
      </c>
      <c r="T160" s="247">
        <f t="shared" si="35"/>
        <v>49977.479999999996</v>
      </c>
      <c r="U160" s="246">
        <f t="shared" si="36"/>
        <v>114051.12</v>
      </c>
    </row>
    <row r="161" spans="2:21">
      <c r="B161" s="242" t="s">
        <v>620</v>
      </c>
      <c r="C161" s="242">
        <v>2</v>
      </c>
      <c r="D161" s="242">
        <v>42.97</v>
      </c>
      <c r="E161" s="242">
        <v>7136.46</v>
      </c>
      <c r="F161" s="242">
        <v>36</v>
      </c>
      <c r="G161" s="242">
        <v>2569.12</v>
      </c>
      <c r="H161" s="242">
        <v>50</v>
      </c>
      <c r="I161" s="242">
        <v>3568.23</v>
      </c>
      <c r="J161" s="242">
        <v>13273.81</v>
      </c>
      <c r="K161" s="242">
        <v>26547.62</v>
      </c>
      <c r="M161" s="247">
        <f t="shared" si="28"/>
        <v>42818.76</v>
      </c>
      <c r="N161" s="247">
        <f t="shared" si="29"/>
        <v>36824.100000000006</v>
      </c>
      <c r="O161" s="247">
        <f t="shared" si="30"/>
        <v>85637.52</v>
      </c>
      <c r="P161" s="247">
        <f t="shared" si="31"/>
        <v>73648.200000000012</v>
      </c>
      <c r="Q161" s="247">
        <f t="shared" si="32"/>
        <v>128456.28</v>
      </c>
      <c r="R161" s="247">
        <f t="shared" si="33"/>
        <v>110472.3</v>
      </c>
      <c r="S161" s="247">
        <f t="shared" si="34"/>
        <v>171275.04</v>
      </c>
      <c r="T161" s="247">
        <f t="shared" si="35"/>
        <v>147296.40000000002</v>
      </c>
      <c r="U161" s="246">
        <f t="shared" si="36"/>
        <v>318571.44000000006</v>
      </c>
    </row>
    <row r="162" spans="2:21">
      <c r="B162" s="242" t="s">
        <v>621</v>
      </c>
      <c r="C162" s="242">
        <v>1</v>
      </c>
      <c r="D162" s="242">
        <v>42.97</v>
      </c>
      <c r="E162" s="242">
        <v>7136.46</v>
      </c>
      <c r="F162" s="242">
        <v>36</v>
      </c>
      <c r="G162" s="242">
        <v>2569.12</v>
      </c>
      <c r="H162" s="242">
        <v>50</v>
      </c>
      <c r="I162" s="242">
        <v>3568.23</v>
      </c>
      <c r="J162" s="242">
        <v>13273.81</v>
      </c>
      <c r="K162" s="242">
        <v>13273.81</v>
      </c>
      <c r="M162" s="247">
        <f t="shared" si="28"/>
        <v>21409.38</v>
      </c>
      <c r="N162" s="247">
        <f t="shared" si="29"/>
        <v>18412.050000000003</v>
      </c>
      <c r="O162" s="247">
        <f t="shared" si="30"/>
        <v>42818.76</v>
      </c>
      <c r="P162" s="247">
        <f t="shared" si="31"/>
        <v>36824.100000000006</v>
      </c>
      <c r="Q162" s="247">
        <f t="shared" si="32"/>
        <v>64228.14</v>
      </c>
      <c r="R162" s="247">
        <f t="shared" si="33"/>
        <v>55236.15</v>
      </c>
      <c r="S162" s="247">
        <f t="shared" si="34"/>
        <v>85637.52</v>
      </c>
      <c r="T162" s="247">
        <f t="shared" si="35"/>
        <v>73648.200000000012</v>
      </c>
      <c r="U162" s="246">
        <f t="shared" si="36"/>
        <v>159285.72000000003</v>
      </c>
    </row>
    <row r="163" spans="2:21">
      <c r="B163" s="242" t="s">
        <v>622</v>
      </c>
      <c r="C163" s="242">
        <v>1</v>
      </c>
      <c r="D163" s="242">
        <v>36.770000000000003</v>
      </c>
      <c r="E163" s="242">
        <v>6106.76</v>
      </c>
      <c r="F163" s="242">
        <v>32</v>
      </c>
      <c r="G163" s="242">
        <v>1954.16</v>
      </c>
      <c r="H163" s="242">
        <v>50</v>
      </c>
      <c r="I163" s="242">
        <v>3053.38</v>
      </c>
      <c r="J163" s="242">
        <v>11114.31</v>
      </c>
      <c r="K163" s="242">
        <v>11114.31</v>
      </c>
      <c r="M163" s="247">
        <f t="shared" si="28"/>
        <v>18320.28</v>
      </c>
      <c r="N163" s="247">
        <f t="shared" si="29"/>
        <v>15022.619999999999</v>
      </c>
      <c r="O163" s="247">
        <f t="shared" si="30"/>
        <v>36640.559999999998</v>
      </c>
      <c r="P163" s="247">
        <f t="shared" si="31"/>
        <v>30045.239999999998</v>
      </c>
      <c r="Q163" s="247">
        <f t="shared" si="32"/>
        <v>54960.840000000004</v>
      </c>
      <c r="R163" s="247">
        <f t="shared" si="33"/>
        <v>45067.86</v>
      </c>
      <c r="S163" s="247">
        <f t="shared" si="34"/>
        <v>73281.119999999995</v>
      </c>
      <c r="T163" s="247">
        <f t="shared" si="35"/>
        <v>60090.479999999996</v>
      </c>
      <c r="U163" s="246">
        <f t="shared" si="36"/>
        <v>133371.59999999998</v>
      </c>
    </row>
    <row r="164" spans="2:21">
      <c r="B164" s="242" t="s">
        <v>623</v>
      </c>
      <c r="C164" s="242">
        <v>1</v>
      </c>
      <c r="D164" s="242">
        <v>28.64</v>
      </c>
      <c r="E164" s="242">
        <v>4756.53</v>
      </c>
      <c r="F164" s="242">
        <v>24</v>
      </c>
      <c r="G164" s="242">
        <v>1141.57</v>
      </c>
      <c r="H164" s="242">
        <v>50</v>
      </c>
      <c r="I164" s="242">
        <v>2378.27</v>
      </c>
      <c r="J164" s="242">
        <v>8276.36</v>
      </c>
      <c r="K164" s="242">
        <v>8276.36</v>
      </c>
      <c r="M164" s="247">
        <f t="shared" si="28"/>
        <v>14269.59</v>
      </c>
      <c r="N164" s="247">
        <f t="shared" si="29"/>
        <v>10559.52</v>
      </c>
      <c r="O164" s="247">
        <f t="shared" si="30"/>
        <v>28539.18</v>
      </c>
      <c r="P164" s="247">
        <f t="shared" si="31"/>
        <v>21119.040000000001</v>
      </c>
      <c r="Q164" s="247">
        <f t="shared" si="32"/>
        <v>42808.77</v>
      </c>
      <c r="R164" s="247">
        <f t="shared" si="33"/>
        <v>31678.560000000001</v>
      </c>
      <c r="S164" s="247">
        <f t="shared" si="34"/>
        <v>57078.36</v>
      </c>
      <c r="T164" s="247">
        <f t="shared" si="35"/>
        <v>42238.080000000002</v>
      </c>
      <c r="U164" s="246">
        <f t="shared" si="36"/>
        <v>99316.44</v>
      </c>
    </row>
    <row r="165" spans="2:21">
      <c r="B165" s="242" t="s">
        <v>624</v>
      </c>
      <c r="C165" s="242">
        <v>2</v>
      </c>
      <c r="D165" s="242">
        <v>32.15</v>
      </c>
      <c r="E165" s="242">
        <v>5339.47</v>
      </c>
      <c r="F165" s="242">
        <v>28</v>
      </c>
      <c r="G165" s="242">
        <v>1495.05</v>
      </c>
      <c r="H165" s="242">
        <v>50</v>
      </c>
      <c r="I165" s="242">
        <v>2669.74</v>
      </c>
      <c r="J165" s="242">
        <v>9504.2601599999998</v>
      </c>
      <c r="K165" s="242">
        <v>19008.52</v>
      </c>
      <c r="M165" s="247">
        <f t="shared" si="28"/>
        <v>32036.82</v>
      </c>
      <c r="N165" s="247">
        <f t="shared" si="29"/>
        <v>24988.739999999998</v>
      </c>
      <c r="O165" s="247">
        <f t="shared" si="30"/>
        <v>64073.64</v>
      </c>
      <c r="P165" s="247">
        <f t="shared" si="31"/>
        <v>49977.479999999996</v>
      </c>
      <c r="Q165" s="247">
        <f t="shared" si="32"/>
        <v>96110.46</v>
      </c>
      <c r="R165" s="247">
        <f t="shared" si="33"/>
        <v>74966.22</v>
      </c>
      <c r="S165" s="247">
        <f t="shared" si="34"/>
        <v>128147.28</v>
      </c>
      <c r="T165" s="247">
        <f t="shared" si="35"/>
        <v>99954.959999999992</v>
      </c>
      <c r="U165" s="246">
        <f t="shared" si="36"/>
        <v>228102.24</v>
      </c>
    </row>
    <row r="166" spans="2:21">
      <c r="B166" s="242" t="s">
        <v>625</v>
      </c>
      <c r="C166" s="242">
        <v>1</v>
      </c>
      <c r="D166" s="242">
        <v>42.97</v>
      </c>
      <c r="E166" s="242">
        <v>7136.46</v>
      </c>
      <c r="F166" s="242">
        <v>36</v>
      </c>
      <c r="G166" s="242">
        <v>2569.12</v>
      </c>
      <c r="H166" s="242">
        <v>50</v>
      </c>
      <c r="I166" s="242">
        <v>3568.23</v>
      </c>
      <c r="J166" s="242">
        <v>13273.81</v>
      </c>
      <c r="K166" s="242">
        <v>13273.81</v>
      </c>
      <c r="M166" s="247">
        <f t="shared" si="28"/>
        <v>21409.38</v>
      </c>
      <c r="N166" s="247">
        <f t="shared" si="29"/>
        <v>18412.050000000003</v>
      </c>
      <c r="O166" s="247">
        <f t="shared" si="30"/>
        <v>42818.76</v>
      </c>
      <c r="P166" s="247">
        <f t="shared" si="31"/>
        <v>36824.100000000006</v>
      </c>
      <c r="Q166" s="247">
        <f t="shared" si="32"/>
        <v>64228.14</v>
      </c>
      <c r="R166" s="247">
        <f t="shared" si="33"/>
        <v>55236.15</v>
      </c>
      <c r="S166" s="247">
        <f t="shared" si="34"/>
        <v>85637.52</v>
      </c>
      <c r="T166" s="247">
        <f t="shared" si="35"/>
        <v>73648.200000000012</v>
      </c>
      <c r="U166" s="246">
        <f t="shared" si="36"/>
        <v>159285.72000000003</v>
      </c>
    </row>
    <row r="167" spans="2:21">
      <c r="B167" s="242" t="s">
        <v>626</v>
      </c>
      <c r="C167" s="242">
        <v>1</v>
      </c>
      <c r="D167" s="242">
        <v>42.97</v>
      </c>
      <c r="E167" s="242">
        <v>7136.46</v>
      </c>
      <c r="F167" s="242">
        <v>36</v>
      </c>
      <c r="G167" s="242">
        <v>2569.12</v>
      </c>
      <c r="H167" s="242">
        <v>50</v>
      </c>
      <c r="I167" s="242">
        <v>3568.23</v>
      </c>
      <c r="J167" s="242">
        <v>13273.81</v>
      </c>
      <c r="K167" s="242">
        <v>13273.81</v>
      </c>
      <c r="M167" s="247">
        <f t="shared" si="28"/>
        <v>21409.38</v>
      </c>
      <c r="N167" s="247">
        <f t="shared" si="29"/>
        <v>18412.050000000003</v>
      </c>
      <c r="O167" s="247">
        <f t="shared" si="30"/>
        <v>42818.76</v>
      </c>
      <c r="P167" s="247">
        <f t="shared" si="31"/>
        <v>36824.100000000006</v>
      </c>
      <c r="Q167" s="247">
        <f t="shared" si="32"/>
        <v>64228.14</v>
      </c>
      <c r="R167" s="247">
        <f t="shared" si="33"/>
        <v>55236.15</v>
      </c>
      <c r="S167" s="247">
        <f t="shared" si="34"/>
        <v>85637.52</v>
      </c>
      <c r="T167" s="247">
        <f t="shared" si="35"/>
        <v>73648.200000000012</v>
      </c>
      <c r="U167" s="246">
        <f t="shared" si="36"/>
        <v>159285.72000000003</v>
      </c>
    </row>
    <row r="168" spans="2:21">
      <c r="B168" s="242" t="s">
        <v>627</v>
      </c>
      <c r="C168" s="242">
        <v>8</v>
      </c>
      <c r="D168" s="242">
        <v>36.770000000000003</v>
      </c>
      <c r="E168" s="242">
        <v>6106.76</v>
      </c>
      <c r="F168" s="242">
        <v>32</v>
      </c>
      <c r="G168" s="242">
        <v>1954.16</v>
      </c>
      <c r="H168" s="242">
        <v>50</v>
      </c>
      <c r="I168" s="242">
        <v>3053.38</v>
      </c>
      <c r="J168" s="242">
        <v>11114.31</v>
      </c>
      <c r="K168" s="242">
        <v>88914.45</v>
      </c>
      <c r="M168" s="247">
        <f t="shared" si="28"/>
        <v>146562.23999999999</v>
      </c>
      <c r="N168" s="247">
        <f t="shared" si="29"/>
        <v>120180.95999999999</v>
      </c>
      <c r="O168" s="247">
        <f t="shared" si="30"/>
        <v>293124.47999999998</v>
      </c>
      <c r="P168" s="247">
        <f t="shared" si="31"/>
        <v>240361.91999999998</v>
      </c>
      <c r="Q168" s="247">
        <f t="shared" si="32"/>
        <v>439686.72000000003</v>
      </c>
      <c r="R168" s="247">
        <f t="shared" si="33"/>
        <v>360542.88</v>
      </c>
      <c r="S168" s="247">
        <f t="shared" si="34"/>
        <v>586248.95999999996</v>
      </c>
      <c r="T168" s="247">
        <f t="shared" si="35"/>
        <v>480723.83999999997</v>
      </c>
      <c r="U168" s="246">
        <f t="shared" si="36"/>
        <v>1066972.7999999998</v>
      </c>
    </row>
    <row r="169" spans="2:21">
      <c r="B169" s="242" t="s">
        <v>495</v>
      </c>
      <c r="C169" s="242">
        <v>46</v>
      </c>
      <c r="D169" s="242"/>
      <c r="E169" s="242"/>
      <c r="F169" s="242"/>
      <c r="G169" s="242"/>
      <c r="H169" s="242"/>
      <c r="I169" s="242"/>
      <c r="J169" s="242"/>
      <c r="K169" s="242">
        <v>488360.27</v>
      </c>
      <c r="M169" s="247">
        <f t="shared" si="28"/>
        <v>0</v>
      </c>
      <c r="N169" s="247">
        <f t="shared" si="29"/>
        <v>0</v>
      </c>
      <c r="O169" s="247">
        <f t="shared" si="30"/>
        <v>0</v>
      </c>
      <c r="P169" s="247">
        <f t="shared" si="31"/>
        <v>0</v>
      </c>
      <c r="Q169" s="247">
        <f t="shared" si="32"/>
        <v>0</v>
      </c>
      <c r="R169" s="247">
        <f t="shared" si="33"/>
        <v>0</v>
      </c>
      <c r="S169" s="247">
        <f t="shared" si="34"/>
        <v>0</v>
      </c>
      <c r="T169" s="247">
        <f t="shared" si="35"/>
        <v>0</v>
      </c>
      <c r="U169" s="246">
        <f t="shared" si="36"/>
        <v>0</v>
      </c>
    </row>
    <row r="170" spans="2:21">
      <c r="B170" s="242" t="s">
        <v>628</v>
      </c>
      <c r="C170" s="242"/>
      <c r="D170" s="242"/>
      <c r="E170" s="242"/>
      <c r="F170" s="242"/>
      <c r="G170" s="242"/>
      <c r="H170" s="242"/>
      <c r="I170" s="242"/>
      <c r="J170" s="242"/>
      <c r="K170" s="242"/>
      <c r="M170" s="247">
        <f t="shared" si="28"/>
        <v>0</v>
      </c>
      <c r="N170" s="247">
        <f t="shared" si="29"/>
        <v>0</v>
      </c>
      <c r="O170" s="247">
        <f t="shared" si="30"/>
        <v>0</v>
      </c>
      <c r="P170" s="247">
        <f t="shared" si="31"/>
        <v>0</v>
      </c>
      <c r="Q170" s="247">
        <f t="shared" si="32"/>
        <v>0</v>
      </c>
      <c r="R170" s="247">
        <f t="shared" si="33"/>
        <v>0</v>
      </c>
      <c r="S170" s="247">
        <f t="shared" si="34"/>
        <v>0</v>
      </c>
      <c r="T170" s="247">
        <f t="shared" si="35"/>
        <v>0</v>
      </c>
      <c r="U170" s="246">
        <f t="shared" si="36"/>
        <v>0</v>
      </c>
    </row>
    <row r="171" spans="2:21">
      <c r="B171" s="242" t="s">
        <v>629</v>
      </c>
      <c r="C171" s="242">
        <v>1</v>
      </c>
      <c r="D171" s="242">
        <v>36.92</v>
      </c>
      <c r="E171" s="242">
        <v>6131.67</v>
      </c>
      <c r="F171" s="242">
        <v>24</v>
      </c>
      <c r="G171" s="242">
        <v>1471.601664</v>
      </c>
      <c r="H171" s="242">
        <v>50</v>
      </c>
      <c r="I171" s="242">
        <v>3065.84</v>
      </c>
      <c r="J171" s="242">
        <v>9197.51</v>
      </c>
      <c r="K171" s="242">
        <v>9197.51</v>
      </c>
      <c r="M171" s="247">
        <f t="shared" si="28"/>
        <v>18395.010000000002</v>
      </c>
      <c r="N171" s="247">
        <f t="shared" si="29"/>
        <v>13612.324992</v>
      </c>
      <c r="O171" s="247">
        <f t="shared" si="30"/>
        <v>36790.020000000004</v>
      </c>
      <c r="P171" s="247">
        <f t="shared" si="31"/>
        <v>27224.649984</v>
      </c>
      <c r="Q171" s="247">
        <f t="shared" si="32"/>
        <v>55185.03</v>
      </c>
      <c r="R171" s="247">
        <f t="shared" si="33"/>
        <v>40836.974975999998</v>
      </c>
      <c r="S171" s="247">
        <f t="shared" si="34"/>
        <v>73580.040000000008</v>
      </c>
      <c r="T171" s="247">
        <f t="shared" si="35"/>
        <v>54449.299967999999</v>
      </c>
      <c r="U171" s="246">
        <f t="shared" si="36"/>
        <v>128029.33996800001</v>
      </c>
    </row>
    <row r="172" spans="2:21">
      <c r="B172" s="242" t="s">
        <v>630</v>
      </c>
      <c r="C172" s="242">
        <v>1</v>
      </c>
      <c r="D172" s="242">
        <v>29.41</v>
      </c>
      <c r="E172" s="242">
        <v>4884.41</v>
      </c>
      <c r="F172" s="242">
        <v>28</v>
      </c>
      <c r="G172" s="242">
        <v>976.88</v>
      </c>
      <c r="H172" s="242">
        <v>50</v>
      </c>
      <c r="I172" s="242">
        <v>2442.21</v>
      </c>
      <c r="J172" s="242">
        <v>7326.62</v>
      </c>
      <c r="K172" s="242">
        <v>7326.62</v>
      </c>
      <c r="M172" s="247">
        <f t="shared" si="28"/>
        <v>14653.23</v>
      </c>
      <c r="N172" s="247">
        <f t="shared" si="29"/>
        <v>10257.27</v>
      </c>
      <c r="O172" s="247">
        <f t="shared" si="30"/>
        <v>29306.46</v>
      </c>
      <c r="P172" s="247">
        <f t="shared" si="31"/>
        <v>20514.54</v>
      </c>
      <c r="Q172" s="247">
        <f t="shared" si="32"/>
        <v>43959.69</v>
      </c>
      <c r="R172" s="247">
        <f t="shared" si="33"/>
        <v>30771.81</v>
      </c>
      <c r="S172" s="247">
        <f t="shared" si="34"/>
        <v>58612.92</v>
      </c>
      <c r="T172" s="247">
        <f t="shared" si="35"/>
        <v>41029.08</v>
      </c>
      <c r="U172" s="246">
        <f t="shared" si="36"/>
        <v>99642</v>
      </c>
    </row>
    <row r="173" spans="2:21">
      <c r="B173" s="242" t="s">
        <v>631</v>
      </c>
      <c r="C173" s="242">
        <v>1</v>
      </c>
      <c r="D173" s="242">
        <v>29.41</v>
      </c>
      <c r="E173" s="242">
        <v>4884.41</v>
      </c>
      <c r="F173" s="242">
        <v>20</v>
      </c>
      <c r="G173" s="242">
        <v>1367.64</v>
      </c>
      <c r="H173" s="242">
        <v>50</v>
      </c>
      <c r="I173" s="242">
        <v>2442.21</v>
      </c>
      <c r="J173" s="242">
        <v>7326.62</v>
      </c>
      <c r="K173" s="242">
        <v>7326.62</v>
      </c>
      <c r="M173" s="247">
        <f t="shared" si="28"/>
        <v>14653.23</v>
      </c>
      <c r="N173" s="247">
        <f t="shared" si="29"/>
        <v>11429.550000000001</v>
      </c>
      <c r="O173" s="247">
        <f t="shared" si="30"/>
        <v>29306.46</v>
      </c>
      <c r="P173" s="247">
        <f t="shared" si="31"/>
        <v>22859.100000000002</v>
      </c>
      <c r="Q173" s="247">
        <f t="shared" si="32"/>
        <v>43959.69</v>
      </c>
      <c r="R173" s="247">
        <f t="shared" si="33"/>
        <v>34288.65</v>
      </c>
      <c r="S173" s="247">
        <f t="shared" si="34"/>
        <v>58612.92</v>
      </c>
      <c r="T173" s="247">
        <f t="shared" si="35"/>
        <v>45718.200000000004</v>
      </c>
      <c r="U173" s="246">
        <f t="shared" si="36"/>
        <v>104331.12</v>
      </c>
    </row>
    <row r="174" spans="2:21">
      <c r="B174" s="242" t="s">
        <v>632</v>
      </c>
      <c r="C174" s="242">
        <v>1</v>
      </c>
      <c r="D174" s="242">
        <v>29.41</v>
      </c>
      <c r="E174" s="242">
        <v>4884.41</v>
      </c>
      <c r="F174" s="242">
        <v>20</v>
      </c>
      <c r="G174" s="242">
        <v>1367.64</v>
      </c>
      <c r="H174" s="242">
        <v>50</v>
      </c>
      <c r="I174" s="242">
        <v>2442.21</v>
      </c>
      <c r="J174" s="242">
        <v>7326.62</v>
      </c>
      <c r="K174" s="242">
        <v>7326.62</v>
      </c>
      <c r="M174" s="247">
        <f t="shared" si="28"/>
        <v>14653.23</v>
      </c>
      <c r="N174" s="247">
        <f t="shared" si="29"/>
        <v>11429.550000000001</v>
      </c>
      <c r="O174" s="247">
        <f t="shared" si="30"/>
        <v>29306.46</v>
      </c>
      <c r="P174" s="247">
        <f t="shared" si="31"/>
        <v>22859.100000000002</v>
      </c>
      <c r="Q174" s="247">
        <f t="shared" si="32"/>
        <v>43959.69</v>
      </c>
      <c r="R174" s="247">
        <f t="shared" si="33"/>
        <v>34288.65</v>
      </c>
      <c r="S174" s="247">
        <f t="shared" si="34"/>
        <v>58612.92</v>
      </c>
      <c r="T174" s="247">
        <f t="shared" si="35"/>
        <v>45718.200000000004</v>
      </c>
      <c r="U174" s="246">
        <f t="shared" si="36"/>
        <v>104331.12</v>
      </c>
    </row>
    <row r="175" spans="2:21">
      <c r="B175" s="242" t="s">
        <v>633</v>
      </c>
      <c r="C175" s="242">
        <v>1</v>
      </c>
      <c r="D175" s="242">
        <v>29.41</v>
      </c>
      <c r="E175" s="242">
        <v>4884.41</v>
      </c>
      <c r="F175" s="242">
        <v>20</v>
      </c>
      <c r="G175" s="242">
        <v>1367.64</v>
      </c>
      <c r="H175" s="242">
        <v>50</v>
      </c>
      <c r="I175" s="242">
        <v>2442.21</v>
      </c>
      <c r="J175" s="242">
        <v>7326.62</v>
      </c>
      <c r="K175" s="242">
        <v>7326.62</v>
      </c>
      <c r="M175" s="247">
        <f t="shared" si="28"/>
        <v>14653.23</v>
      </c>
      <c r="N175" s="247">
        <f t="shared" si="29"/>
        <v>11429.550000000001</v>
      </c>
      <c r="O175" s="247">
        <f t="shared" si="30"/>
        <v>29306.46</v>
      </c>
      <c r="P175" s="247">
        <f t="shared" si="31"/>
        <v>22859.100000000002</v>
      </c>
      <c r="Q175" s="247">
        <f t="shared" si="32"/>
        <v>43959.69</v>
      </c>
      <c r="R175" s="247">
        <f t="shared" si="33"/>
        <v>34288.65</v>
      </c>
      <c r="S175" s="247">
        <f t="shared" si="34"/>
        <v>58612.92</v>
      </c>
      <c r="T175" s="247">
        <f t="shared" si="35"/>
        <v>45718.200000000004</v>
      </c>
      <c r="U175" s="246">
        <f t="shared" si="36"/>
        <v>104331.12</v>
      </c>
    </row>
    <row r="176" spans="2:21">
      <c r="B176" s="242" t="s">
        <v>495</v>
      </c>
      <c r="C176" s="242">
        <v>5</v>
      </c>
      <c r="D176" s="242"/>
      <c r="E176" s="242"/>
      <c r="F176" s="242"/>
      <c r="G176" s="242"/>
      <c r="H176" s="242"/>
      <c r="I176" s="242"/>
      <c r="J176" s="242"/>
      <c r="K176" s="242">
        <v>38503.99</v>
      </c>
      <c r="M176" s="247">
        <f t="shared" si="28"/>
        <v>0</v>
      </c>
      <c r="N176" s="247">
        <f t="shared" si="29"/>
        <v>0</v>
      </c>
      <c r="O176" s="247">
        <f t="shared" si="30"/>
        <v>0</v>
      </c>
      <c r="P176" s="247">
        <f t="shared" si="31"/>
        <v>0</v>
      </c>
      <c r="Q176" s="247">
        <f t="shared" si="32"/>
        <v>0</v>
      </c>
      <c r="R176" s="247">
        <f t="shared" si="33"/>
        <v>0</v>
      </c>
      <c r="S176" s="247">
        <f t="shared" si="34"/>
        <v>0</v>
      </c>
      <c r="T176" s="247">
        <f t="shared" si="35"/>
        <v>0</v>
      </c>
      <c r="U176" s="246">
        <f t="shared" si="36"/>
        <v>0</v>
      </c>
    </row>
    <row r="177" spans="2:21">
      <c r="B177" s="242" t="s">
        <v>634</v>
      </c>
      <c r="C177" s="242"/>
      <c r="D177" s="242"/>
      <c r="E177" s="242"/>
      <c r="F177" s="242"/>
      <c r="G177" s="242"/>
      <c r="H177" s="242"/>
      <c r="I177" s="242"/>
      <c r="J177" s="242"/>
      <c r="K177" s="242"/>
      <c r="M177" s="247">
        <f t="shared" si="28"/>
        <v>0</v>
      </c>
      <c r="N177" s="247">
        <f t="shared" si="29"/>
        <v>0</v>
      </c>
      <c r="O177" s="247">
        <f t="shared" si="30"/>
        <v>0</v>
      </c>
      <c r="P177" s="247">
        <f t="shared" si="31"/>
        <v>0</v>
      </c>
      <c r="Q177" s="247">
        <f t="shared" si="32"/>
        <v>0</v>
      </c>
      <c r="R177" s="247">
        <f t="shared" si="33"/>
        <v>0</v>
      </c>
      <c r="S177" s="247">
        <f t="shared" si="34"/>
        <v>0</v>
      </c>
      <c r="T177" s="247">
        <f t="shared" si="35"/>
        <v>0</v>
      </c>
      <c r="U177" s="246">
        <f t="shared" si="36"/>
        <v>0</v>
      </c>
    </row>
    <row r="178" spans="2:21">
      <c r="B178" s="268" t="s">
        <v>635</v>
      </c>
      <c r="C178" s="242">
        <v>5</v>
      </c>
      <c r="D178" s="242">
        <v>29.41</v>
      </c>
      <c r="E178" s="242">
        <v>4884.41</v>
      </c>
      <c r="F178" s="242">
        <v>20</v>
      </c>
      <c r="G178" s="242">
        <v>976.88</v>
      </c>
      <c r="H178" s="242">
        <v>50</v>
      </c>
      <c r="I178" s="242">
        <v>2442.21</v>
      </c>
      <c r="J178" s="242">
        <v>7326.62</v>
      </c>
      <c r="K178" s="242">
        <v>36633.1</v>
      </c>
      <c r="M178" s="247">
        <f t="shared" si="28"/>
        <v>73266.149999999994</v>
      </c>
      <c r="N178" s="247">
        <f t="shared" si="29"/>
        <v>51286.350000000006</v>
      </c>
      <c r="O178" s="247">
        <f t="shared" si="30"/>
        <v>146532.29999999999</v>
      </c>
      <c r="P178" s="247">
        <f t="shared" si="31"/>
        <v>102572.70000000001</v>
      </c>
      <c r="Q178" s="247">
        <f t="shared" si="32"/>
        <v>219798.44999999998</v>
      </c>
      <c r="R178" s="247">
        <f t="shared" si="33"/>
        <v>153859.05000000002</v>
      </c>
      <c r="S178" s="247">
        <f t="shared" si="34"/>
        <v>293064.59999999998</v>
      </c>
      <c r="T178" s="247">
        <f t="shared" si="35"/>
        <v>205145.40000000002</v>
      </c>
      <c r="U178" s="246">
        <f t="shared" si="36"/>
        <v>498210</v>
      </c>
    </row>
    <row r="179" spans="2:21">
      <c r="B179" s="268" t="s">
        <v>635</v>
      </c>
      <c r="C179" s="242">
        <v>1</v>
      </c>
      <c r="D179" s="242">
        <v>34.380000000000003</v>
      </c>
      <c r="E179" s="242">
        <v>5709.83</v>
      </c>
      <c r="F179" s="242">
        <v>24</v>
      </c>
      <c r="G179" s="242">
        <v>1370.36</v>
      </c>
      <c r="H179" s="242">
        <v>50</v>
      </c>
      <c r="I179" s="242">
        <v>2854.92</v>
      </c>
      <c r="J179" s="242">
        <v>8564.75</v>
      </c>
      <c r="K179" s="242">
        <v>8564.75</v>
      </c>
      <c r="M179" s="247">
        <f t="shared" si="28"/>
        <v>17129.489999999998</v>
      </c>
      <c r="N179" s="247">
        <f t="shared" si="29"/>
        <v>12675.84</v>
      </c>
      <c r="O179" s="247">
        <f t="shared" si="30"/>
        <v>34258.979999999996</v>
      </c>
      <c r="P179" s="247">
        <f t="shared" si="31"/>
        <v>25351.68</v>
      </c>
      <c r="Q179" s="247">
        <f t="shared" si="32"/>
        <v>51388.47</v>
      </c>
      <c r="R179" s="247">
        <f t="shared" si="33"/>
        <v>38027.519999999997</v>
      </c>
      <c r="S179" s="247">
        <f t="shared" si="34"/>
        <v>68517.959999999992</v>
      </c>
      <c r="T179" s="247">
        <f t="shared" si="35"/>
        <v>50703.360000000001</v>
      </c>
      <c r="U179" s="246">
        <f t="shared" si="36"/>
        <v>119221.31999999999</v>
      </c>
    </row>
    <row r="180" spans="2:21">
      <c r="B180" s="268" t="s">
        <v>636</v>
      </c>
      <c r="C180" s="242">
        <v>1</v>
      </c>
      <c r="D180" s="242">
        <v>29.41</v>
      </c>
      <c r="E180" s="242">
        <v>4884.41</v>
      </c>
      <c r="F180" s="242">
        <v>20</v>
      </c>
      <c r="G180" s="242">
        <v>976.88</v>
      </c>
      <c r="H180" s="242">
        <v>50</v>
      </c>
      <c r="I180" s="242">
        <v>2442.21</v>
      </c>
      <c r="J180" s="242">
        <v>7326.62</v>
      </c>
      <c r="K180" s="242">
        <v>7326.62</v>
      </c>
      <c r="M180" s="247">
        <f t="shared" si="28"/>
        <v>14653.23</v>
      </c>
      <c r="N180" s="247">
        <f t="shared" si="29"/>
        <v>10257.27</v>
      </c>
      <c r="O180" s="247">
        <f t="shared" si="30"/>
        <v>29306.46</v>
      </c>
      <c r="P180" s="247">
        <f t="shared" si="31"/>
        <v>20514.54</v>
      </c>
      <c r="Q180" s="247">
        <f t="shared" si="32"/>
        <v>43959.69</v>
      </c>
      <c r="R180" s="247">
        <f t="shared" si="33"/>
        <v>30771.81</v>
      </c>
      <c r="S180" s="247">
        <f t="shared" si="34"/>
        <v>58612.92</v>
      </c>
      <c r="T180" s="247">
        <f t="shared" si="35"/>
        <v>41029.08</v>
      </c>
      <c r="U180" s="246">
        <f t="shared" si="36"/>
        <v>99642</v>
      </c>
    </row>
    <row r="181" spans="2:21">
      <c r="B181" s="268" t="s">
        <v>637</v>
      </c>
      <c r="C181" s="242">
        <v>1</v>
      </c>
      <c r="D181" s="242">
        <v>29.41</v>
      </c>
      <c r="E181" s="242">
        <v>4884.41</v>
      </c>
      <c r="F181" s="242">
        <v>28</v>
      </c>
      <c r="G181" s="242">
        <v>1367.64</v>
      </c>
      <c r="H181" s="242">
        <v>50</v>
      </c>
      <c r="I181" s="242">
        <v>2442.21</v>
      </c>
      <c r="J181" s="242">
        <v>7326.62</v>
      </c>
      <c r="K181" s="242">
        <v>7326.62</v>
      </c>
      <c r="M181" s="247">
        <f t="shared" si="28"/>
        <v>14653.23</v>
      </c>
      <c r="N181" s="247">
        <f t="shared" si="29"/>
        <v>11429.550000000001</v>
      </c>
      <c r="O181" s="247">
        <f t="shared" si="30"/>
        <v>29306.46</v>
      </c>
      <c r="P181" s="247">
        <f t="shared" si="31"/>
        <v>22859.100000000002</v>
      </c>
      <c r="Q181" s="247">
        <f t="shared" si="32"/>
        <v>43959.69</v>
      </c>
      <c r="R181" s="247">
        <f t="shared" si="33"/>
        <v>34288.65</v>
      </c>
      <c r="S181" s="247">
        <f t="shared" si="34"/>
        <v>58612.92</v>
      </c>
      <c r="T181" s="247">
        <f t="shared" si="35"/>
        <v>45718.200000000004</v>
      </c>
      <c r="U181" s="246">
        <f t="shared" si="36"/>
        <v>104331.12</v>
      </c>
    </row>
    <row r="182" spans="2:21">
      <c r="B182" s="268" t="s">
        <v>638</v>
      </c>
      <c r="C182" s="242">
        <v>1</v>
      </c>
      <c r="D182" s="242">
        <v>34.380000000000003</v>
      </c>
      <c r="E182" s="242">
        <v>5709.83</v>
      </c>
      <c r="F182" s="242">
        <v>32</v>
      </c>
      <c r="G182" s="242">
        <v>1598.75</v>
      </c>
      <c r="H182" s="242">
        <v>50</v>
      </c>
      <c r="I182" s="242">
        <v>2854.92</v>
      </c>
      <c r="J182" s="242">
        <v>8564.75</v>
      </c>
      <c r="K182" s="242">
        <v>8564.75</v>
      </c>
      <c r="M182" s="247">
        <f t="shared" si="28"/>
        <v>17129.489999999998</v>
      </c>
      <c r="N182" s="247">
        <f t="shared" si="29"/>
        <v>13361.01</v>
      </c>
      <c r="O182" s="247">
        <f t="shared" si="30"/>
        <v>34258.979999999996</v>
      </c>
      <c r="P182" s="247">
        <f t="shared" si="31"/>
        <v>26722.02</v>
      </c>
      <c r="Q182" s="247">
        <f t="shared" si="32"/>
        <v>51388.47</v>
      </c>
      <c r="R182" s="247">
        <f t="shared" si="33"/>
        <v>40083.03</v>
      </c>
      <c r="S182" s="247">
        <f t="shared" si="34"/>
        <v>68517.959999999992</v>
      </c>
      <c r="T182" s="247">
        <f t="shared" si="35"/>
        <v>53444.04</v>
      </c>
      <c r="U182" s="246">
        <f t="shared" si="36"/>
        <v>121962</v>
      </c>
    </row>
    <row r="183" spans="2:21">
      <c r="B183" s="268" t="s">
        <v>629</v>
      </c>
      <c r="C183" s="242">
        <v>1</v>
      </c>
      <c r="D183" s="242">
        <v>36.92</v>
      </c>
      <c r="E183" s="242">
        <v>6131.67</v>
      </c>
      <c r="F183" s="242">
        <v>24</v>
      </c>
      <c r="G183" s="242">
        <v>1471.6</v>
      </c>
      <c r="H183" s="242">
        <v>50</v>
      </c>
      <c r="I183" s="242">
        <v>3065.84</v>
      </c>
      <c r="J183" s="242">
        <v>9197.51</v>
      </c>
      <c r="K183" s="242">
        <v>9197.51</v>
      </c>
      <c r="M183" s="247">
        <f t="shared" si="28"/>
        <v>18395.010000000002</v>
      </c>
      <c r="N183" s="247">
        <f t="shared" si="29"/>
        <v>13612.320000000002</v>
      </c>
      <c r="O183" s="247">
        <f t="shared" si="30"/>
        <v>36790.020000000004</v>
      </c>
      <c r="P183" s="247">
        <f t="shared" si="31"/>
        <v>27224.640000000003</v>
      </c>
      <c r="Q183" s="247">
        <f t="shared" si="32"/>
        <v>55185.03</v>
      </c>
      <c r="R183" s="247">
        <f t="shared" si="33"/>
        <v>40836.960000000006</v>
      </c>
      <c r="S183" s="247">
        <f t="shared" si="34"/>
        <v>73580.040000000008</v>
      </c>
      <c r="T183" s="247">
        <f t="shared" si="35"/>
        <v>54449.280000000006</v>
      </c>
      <c r="U183" s="246">
        <f t="shared" si="36"/>
        <v>128029.32</v>
      </c>
    </row>
    <row r="184" spans="2:21">
      <c r="B184" s="268" t="s">
        <v>630</v>
      </c>
      <c r="C184" s="242">
        <v>1</v>
      </c>
      <c r="D184" s="242">
        <v>25.79</v>
      </c>
      <c r="E184" s="242">
        <v>4283.2</v>
      </c>
      <c r="F184" s="242">
        <v>24</v>
      </c>
      <c r="G184" s="242">
        <v>1027.97</v>
      </c>
      <c r="H184" s="242">
        <v>50</v>
      </c>
      <c r="I184" s="242">
        <v>2141.6</v>
      </c>
      <c r="J184" s="242">
        <v>6424.8</v>
      </c>
      <c r="K184" s="242">
        <v>6424.8</v>
      </c>
      <c r="M184" s="247">
        <f t="shared" si="28"/>
        <v>12849.599999999999</v>
      </c>
      <c r="N184" s="247">
        <f t="shared" si="29"/>
        <v>9508.7099999999991</v>
      </c>
      <c r="O184" s="247">
        <f t="shared" si="30"/>
        <v>25699.199999999997</v>
      </c>
      <c r="P184" s="247">
        <f t="shared" si="31"/>
        <v>19017.419999999998</v>
      </c>
      <c r="Q184" s="247">
        <f t="shared" si="32"/>
        <v>38548.799999999996</v>
      </c>
      <c r="R184" s="247">
        <f t="shared" si="33"/>
        <v>28526.129999999997</v>
      </c>
      <c r="S184" s="247">
        <f t="shared" si="34"/>
        <v>51398.399999999994</v>
      </c>
      <c r="T184" s="247">
        <f t="shared" si="35"/>
        <v>38034.839999999997</v>
      </c>
      <c r="U184" s="246">
        <f t="shared" si="36"/>
        <v>89433.239999999991</v>
      </c>
    </row>
    <row r="185" spans="2:21">
      <c r="B185" s="268" t="s">
        <v>630</v>
      </c>
      <c r="C185" s="242">
        <v>2</v>
      </c>
      <c r="D185" s="242">
        <v>29.41</v>
      </c>
      <c r="E185" s="242">
        <v>4884.41</v>
      </c>
      <c r="F185" s="242">
        <v>28</v>
      </c>
      <c r="G185" s="242">
        <v>1367.64</v>
      </c>
      <c r="H185" s="242">
        <v>50</v>
      </c>
      <c r="I185" s="242">
        <v>2442.21</v>
      </c>
      <c r="J185" s="242">
        <v>7326.62</v>
      </c>
      <c r="K185" s="242">
        <v>14653.24</v>
      </c>
      <c r="M185" s="247">
        <f t="shared" si="28"/>
        <v>29306.46</v>
      </c>
      <c r="N185" s="247">
        <f t="shared" si="29"/>
        <v>22859.100000000002</v>
      </c>
      <c r="O185" s="247">
        <f t="shared" si="30"/>
        <v>58612.92</v>
      </c>
      <c r="P185" s="247">
        <f t="shared" si="31"/>
        <v>45718.200000000004</v>
      </c>
      <c r="Q185" s="247">
        <f t="shared" si="32"/>
        <v>87919.38</v>
      </c>
      <c r="R185" s="247">
        <f t="shared" si="33"/>
        <v>68577.3</v>
      </c>
      <c r="S185" s="247">
        <f t="shared" si="34"/>
        <v>117225.84</v>
      </c>
      <c r="T185" s="247">
        <f t="shared" si="35"/>
        <v>91436.400000000009</v>
      </c>
      <c r="U185" s="246">
        <f t="shared" si="36"/>
        <v>208662.24</v>
      </c>
    </row>
    <row r="186" spans="2:21">
      <c r="B186" s="268" t="s">
        <v>639</v>
      </c>
      <c r="C186" s="242">
        <v>1</v>
      </c>
      <c r="D186" s="242">
        <v>29.41</v>
      </c>
      <c r="E186" s="242">
        <v>4884.41</v>
      </c>
      <c r="F186" s="242">
        <v>28</v>
      </c>
      <c r="G186" s="242">
        <v>1367.64</v>
      </c>
      <c r="H186" s="242">
        <v>50</v>
      </c>
      <c r="I186" s="242">
        <v>2442.21</v>
      </c>
      <c r="J186" s="242">
        <v>7326.62</v>
      </c>
      <c r="K186" s="242">
        <v>7326.62</v>
      </c>
      <c r="M186" s="247">
        <f t="shared" si="28"/>
        <v>14653.23</v>
      </c>
      <c r="N186" s="247">
        <f t="shared" si="29"/>
        <v>11429.550000000001</v>
      </c>
      <c r="O186" s="247">
        <f t="shared" si="30"/>
        <v>29306.46</v>
      </c>
      <c r="P186" s="247">
        <f t="shared" si="31"/>
        <v>22859.100000000002</v>
      </c>
      <c r="Q186" s="247">
        <f t="shared" si="32"/>
        <v>43959.69</v>
      </c>
      <c r="R186" s="247">
        <f t="shared" si="33"/>
        <v>34288.65</v>
      </c>
      <c r="S186" s="247">
        <f t="shared" si="34"/>
        <v>58612.92</v>
      </c>
      <c r="T186" s="247">
        <f t="shared" si="35"/>
        <v>45718.200000000004</v>
      </c>
      <c r="U186" s="246">
        <f t="shared" si="36"/>
        <v>104331.12</v>
      </c>
    </row>
    <row r="187" spans="2:21">
      <c r="B187" s="268" t="s">
        <v>640</v>
      </c>
      <c r="C187" s="242">
        <v>1</v>
      </c>
      <c r="D187" s="242">
        <v>29.41</v>
      </c>
      <c r="E187" s="242">
        <v>4884.41</v>
      </c>
      <c r="F187" s="242">
        <v>20</v>
      </c>
      <c r="G187" s="242">
        <v>976.88</v>
      </c>
      <c r="H187" s="242">
        <v>50</v>
      </c>
      <c r="I187" s="242">
        <v>2442.21</v>
      </c>
      <c r="J187" s="242">
        <v>7326.62</v>
      </c>
      <c r="K187" s="242">
        <v>7326.62</v>
      </c>
      <c r="M187" s="247">
        <f t="shared" si="28"/>
        <v>14653.23</v>
      </c>
      <c r="N187" s="247">
        <f t="shared" si="29"/>
        <v>10257.27</v>
      </c>
      <c r="O187" s="247">
        <f t="shared" si="30"/>
        <v>29306.46</v>
      </c>
      <c r="P187" s="247">
        <f t="shared" si="31"/>
        <v>20514.54</v>
      </c>
      <c r="Q187" s="247">
        <f t="shared" si="32"/>
        <v>43959.69</v>
      </c>
      <c r="R187" s="247">
        <f t="shared" si="33"/>
        <v>30771.81</v>
      </c>
      <c r="S187" s="247">
        <f t="shared" si="34"/>
        <v>58612.92</v>
      </c>
      <c r="T187" s="247">
        <f t="shared" si="35"/>
        <v>41029.08</v>
      </c>
      <c r="U187" s="246">
        <f t="shared" si="36"/>
        <v>99642</v>
      </c>
    </row>
    <row r="188" spans="2:21">
      <c r="B188" s="268" t="s">
        <v>495</v>
      </c>
      <c r="C188" s="242">
        <v>15</v>
      </c>
      <c r="D188" s="242"/>
      <c r="E188" s="242"/>
      <c r="F188" s="242"/>
      <c r="G188" s="242"/>
      <c r="H188" s="242"/>
      <c r="I188" s="242"/>
      <c r="J188" s="242"/>
      <c r="K188" s="242">
        <v>113344.62</v>
      </c>
      <c r="M188" s="247">
        <f t="shared" si="28"/>
        <v>0</v>
      </c>
      <c r="N188" s="247">
        <f t="shared" si="29"/>
        <v>0</v>
      </c>
      <c r="O188" s="247">
        <f t="shared" si="30"/>
        <v>0</v>
      </c>
      <c r="P188" s="247">
        <f t="shared" si="31"/>
        <v>0</v>
      </c>
      <c r="Q188" s="247">
        <f t="shared" si="32"/>
        <v>0</v>
      </c>
      <c r="R188" s="247">
        <f t="shared" si="33"/>
        <v>0</v>
      </c>
      <c r="S188" s="247">
        <f t="shared" si="34"/>
        <v>0</v>
      </c>
      <c r="T188" s="247">
        <f t="shared" si="35"/>
        <v>0</v>
      </c>
      <c r="U188" s="246">
        <f t="shared" si="36"/>
        <v>0</v>
      </c>
    </row>
    <row r="189" spans="2:21">
      <c r="B189" s="268" t="s">
        <v>641</v>
      </c>
      <c r="C189" s="242"/>
      <c r="D189" s="242"/>
      <c r="E189" s="242"/>
      <c r="F189" s="242"/>
      <c r="G189" s="242"/>
      <c r="H189" s="242"/>
      <c r="I189" s="242"/>
      <c r="J189" s="242"/>
      <c r="K189" s="242"/>
      <c r="M189" s="247">
        <f t="shared" si="28"/>
        <v>0</v>
      </c>
      <c r="N189" s="247">
        <f t="shared" si="29"/>
        <v>0</v>
      </c>
      <c r="O189" s="247">
        <f t="shared" si="30"/>
        <v>0</v>
      </c>
      <c r="P189" s="247">
        <f t="shared" si="31"/>
        <v>0</v>
      </c>
      <c r="Q189" s="247">
        <f t="shared" si="32"/>
        <v>0</v>
      </c>
      <c r="R189" s="247">
        <f t="shared" si="33"/>
        <v>0</v>
      </c>
      <c r="S189" s="247">
        <f t="shared" si="34"/>
        <v>0</v>
      </c>
      <c r="T189" s="247">
        <f t="shared" si="35"/>
        <v>0</v>
      </c>
      <c r="U189" s="246">
        <f t="shared" si="36"/>
        <v>0</v>
      </c>
    </row>
    <row r="190" spans="2:21">
      <c r="B190" s="268" t="s">
        <v>642</v>
      </c>
      <c r="C190" s="242">
        <v>1</v>
      </c>
      <c r="D190" s="242"/>
      <c r="E190" s="242">
        <v>3594</v>
      </c>
      <c r="F190" s="242"/>
      <c r="G190" s="242"/>
      <c r="H190" s="242">
        <v>50</v>
      </c>
      <c r="I190" s="242">
        <v>1797</v>
      </c>
      <c r="J190" s="242">
        <v>5391</v>
      </c>
      <c r="K190" s="242">
        <v>5391</v>
      </c>
      <c r="M190" s="247">
        <f t="shared" si="28"/>
        <v>10782</v>
      </c>
      <c r="N190" s="247">
        <f t="shared" si="29"/>
        <v>5391</v>
      </c>
      <c r="O190" s="247">
        <f t="shared" si="30"/>
        <v>21564</v>
      </c>
      <c r="P190" s="247">
        <f t="shared" si="31"/>
        <v>10782</v>
      </c>
      <c r="Q190" s="247">
        <f t="shared" si="32"/>
        <v>32346</v>
      </c>
      <c r="R190" s="247">
        <f t="shared" si="33"/>
        <v>16173</v>
      </c>
      <c r="S190" s="247">
        <f t="shared" si="34"/>
        <v>43128</v>
      </c>
      <c r="T190" s="247">
        <f t="shared" si="35"/>
        <v>21564</v>
      </c>
      <c r="U190" s="246">
        <f t="shared" si="36"/>
        <v>64692</v>
      </c>
    </row>
    <row r="191" spans="2:21">
      <c r="B191" s="268" t="s">
        <v>643</v>
      </c>
      <c r="C191" s="242">
        <v>8</v>
      </c>
      <c r="D191" s="242">
        <v>21.01</v>
      </c>
      <c r="E191" s="242">
        <v>3489.34</v>
      </c>
      <c r="F191" s="242">
        <v>14.7</v>
      </c>
      <c r="G191" s="242">
        <v>512.92999999999995</v>
      </c>
      <c r="H191" s="242">
        <v>50</v>
      </c>
      <c r="I191" s="242">
        <v>1744.67</v>
      </c>
      <c r="J191" s="242">
        <v>5746.94</v>
      </c>
      <c r="K191" s="242">
        <v>45975.55</v>
      </c>
      <c r="M191" s="247">
        <f t="shared" si="28"/>
        <v>83744.160000000003</v>
      </c>
      <c r="N191" s="247">
        <f t="shared" si="29"/>
        <v>54182.399999999994</v>
      </c>
      <c r="O191" s="247">
        <f t="shared" si="30"/>
        <v>167488.32000000001</v>
      </c>
      <c r="P191" s="247">
        <f t="shared" si="31"/>
        <v>108364.79999999999</v>
      </c>
      <c r="Q191" s="247">
        <f t="shared" si="32"/>
        <v>251232.48</v>
      </c>
      <c r="R191" s="247">
        <f t="shared" si="33"/>
        <v>162547.19999999998</v>
      </c>
      <c r="S191" s="247">
        <f t="shared" si="34"/>
        <v>334976.64000000001</v>
      </c>
      <c r="T191" s="247">
        <f t="shared" si="35"/>
        <v>216729.59999999998</v>
      </c>
      <c r="U191" s="246">
        <f t="shared" si="36"/>
        <v>551706.24</v>
      </c>
    </row>
    <row r="192" spans="2:21">
      <c r="B192" s="268" t="s">
        <v>644</v>
      </c>
      <c r="C192" s="242">
        <v>4</v>
      </c>
      <c r="D192" s="242">
        <v>20.37</v>
      </c>
      <c r="E192" s="242">
        <v>3383.05</v>
      </c>
      <c r="F192" s="242">
        <v>14.7</v>
      </c>
      <c r="G192" s="242">
        <v>497.31</v>
      </c>
      <c r="H192" s="242">
        <v>50</v>
      </c>
      <c r="I192" s="242">
        <v>1691.52</v>
      </c>
      <c r="J192" s="242">
        <v>5571.88</v>
      </c>
      <c r="K192" s="242">
        <v>22287.53</v>
      </c>
      <c r="M192" s="247">
        <f t="shared" si="28"/>
        <v>40596.600000000006</v>
      </c>
      <c r="N192" s="247">
        <f t="shared" si="29"/>
        <v>26265.96</v>
      </c>
      <c r="O192" s="247">
        <f t="shared" si="30"/>
        <v>81193.200000000012</v>
      </c>
      <c r="P192" s="247">
        <f t="shared" si="31"/>
        <v>52531.92</v>
      </c>
      <c r="Q192" s="247">
        <f t="shared" si="32"/>
        <v>121789.8</v>
      </c>
      <c r="R192" s="247">
        <f t="shared" si="33"/>
        <v>78797.88</v>
      </c>
      <c r="S192" s="247">
        <f t="shared" si="34"/>
        <v>162386.40000000002</v>
      </c>
      <c r="T192" s="247">
        <f t="shared" si="35"/>
        <v>105063.84</v>
      </c>
      <c r="U192" s="246">
        <f t="shared" si="36"/>
        <v>267450.23999999999</v>
      </c>
    </row>
    <row r="193" spans="2:21">
      <c r="B193" s="268" t="s">
        <v>495</v>
      </c>
      <c r="C193" s="242">
        <v>13</v>
      </c>
      <c r="D193" s="242"/>
      <c r="E193" s="242"/>
      <c r="F193" s="242"/>
      <c r="G193" s="242"/>
      <c r="H193" s="242"/>
      <c r="I193" s="242"/>
      <c r="J193" s="242"/>
      <c r="K193" s="242">
        <v>73654.09</v>
      </c>
      <c r="M193" s="247">
        <f t="shared" si="28"/>
        <v>0</v>
      </c>
      <c r="N193" s="247">
        <f t="shared" si="29"/>
        <v>0</v>
      </c>
      <c r="O193" s="247">
        <f t="shared" si="30"/>
        <v>0</v>
      </c>
      <c r="P193" s="247">
        <f t="shared" si="31"/>
        <v>0</v>
      </c>
      <c r="Q193" s="247">
        <f t="shared" si="32"/>
        <v>0</v>
      </c>
      <c r="R193" s="247">
        <f t="shared" si="33"/>
        <v>0</v>
      </c>
      <c r="S193" s="247">
        <f t="shared" si="34"/>
        <v>0</v>
      </c>
      <c r="T193" s="247">
        <f t="shared" si="35"/>
        <v>0</v>
      </c>
      <c r="U193" s="246">
        <f t="shared" si="36"/>
        <v>0</v>
      </c>
    </row>
    <row r="194" spans="2:21">
      <c r="B194" s="268" t="s">
        <v>645</v>
      </c>
      <c r="C194" s="242">
        <v>4</v>
      </c>
      <c r="D194" s="242">
        <v>22.03</v>
      </c>
      <c r="E194" s="242">
        <v>3658.74</v>
      </c>
      <c r="F194" s="242">
        <v>14.7</v>
      </c>
      <c r="G194" s="242">
        <v>537.84</v>
      </c>
      <c r="H194" s="242">
        <v>50</v>
      </c>
      <c r="I194" s="242">
        <v>1829.37</v>
      </c>
      <c r="J194" s="242">
        <v>6025.95</v>
      </c>
      <c r="K194" s="242">
        <v>24103.79</v>
      </c>
      <c r="M194" s="247">
        <f t="shared" si="28"/>
        <v>43904.88</v>
      </c>
      <c r="N194" s="247">
        <f t="shared" si="29"/>
        <v>28406.52</v>
      </c>
      <c r="O194" s="247">
        <f t="shared" si="30"/>
        <v>87809.76</v>
      </c>
      <c r="P194" s="247">
        <f t="shared" si="31"/>
        <v>56813.04</v>
      </c>
      <c r="Q194" s="247">
        <f t="shared" si="32"/>
        <v>131714.63999999998</v>
      </c>
      <c r="R194" s="247">
        <f t="shared" si="33"/>
        <v>85219.56</v>
      </c>
      <c r="S194" s="247">
        <f t="shared" si="34"/>
        <v>175619.52</v>
      </c>
      <c r="T194" s="247">
        <f t="shared" si="35"/>
        <v>113626.08</v>
      </c>
      <c r="U194" s="246">
        <f t="shared" si="36"/>
        <v>289245.59999999998</v>
      </c>
    </row>
    <row r="195" spans="2:21">
      <c r="C195">
        <f>C95+C106+C144+C169+C176+C188+C193+C194</f>
        <v>312</v>
      </c>
      <c r="M195" s="248">
        <f>SUM(M87:M194)</f>
        <v>4240884.0299999984</v>
      </c>
      <c r="N195" s="248">
        <f t="shared" ref="N195:U195" si="37">SUM(N87:N194)</f>
        <v>4405746.7641599989</v>
      </c>
      <c r="O195" s="248">
        <f t="shared" si="37"/>
        <v>8481768.0599999968</v>
      </c>
      <c r="P195" s="248">
        <f t="shared" si="37"/>
        <v>8811493.5283199977</v>
      </c>
      <c r="Q195" s="248">
        <f t="shared" si="37"/>
        <v>12722652.089999998</v>
      </c>
      <c r="R195" s="248">
        <f t="shared" si="37"/>
        <v>13217240.292480011</v>
      </c>
      <c r="S195" s="248">
        <f t="shared" si="37"/>
        <v>16963536.119999994</v>
      </c>
      <c r="T195" s="248">
        <f t="shared" si="37"/>
        <v>17622987.056639995</v>
      </c>
      <c r="U195" s="248">
        <f t="shared" si="37"/>
        <v>34586523.176640011</v>
      </c>
    </row>
    <row r="197" spans="2:21" ht="216.75">
      <c r="B197" s="251" t="s">
        <v>541</v>
      </c>
      <c r="C197" s="257" t="s">
        <v>542</v>
      </c>
      <c r="D197" s="250" t="s">
        <v>543</v>
      </c>
      <c r="E197" s="250" t="s">
        <v>544</v>
      </c>
      <c r="F197" s="250" t="s">
        <v>545</v>
      </c>
      <c r="G197" s="250" t="s">
        <v>546</v>
      </c>
      <c r="H197" s="257" t="s">
        <v>547</v>
      </c>
      <c r="I197" s="250" t="s">
        <v>548</v>
      </c>
      <c r="J197" s="250" t="s">
        <v>549</v>
      </c>
      <c r="K197" s="250" t="s">
        <v>550</v>
      </c>
    </row>
    <row r="198" spans="2:21">
      <c r="B198" s="251">
        <v>1</v>
      </c>
      <c r="C198" s="252">
        <v>5</v>
      </c>
      <c r="D198" s="251">
        <v>7</v>
      </c>
      <c r="E198" s="251">
        <v>8</v>
      </c>
      <c r="F198" s="251">
        <v>9</v>
      </c>
      <c r="G198" s="251">
        <v>10</v>
      </c>
      <c r="H198" s="252">
        <v>11</v>
      </c>
      <c r="I198" s="251">
        <v>12</v>
      </c>
      <c r="J198" s="251">
        <v>13</v>
      </c>
      <c r="K198" s="251">
        <v>14</v>
      </c>
      <c r="M198" t="s">
        <v>380</v>
      </c>
      <c r="N198" t="s">
        <v>372</v>
      </c>
      <c r="O198" t="s">
        <v>373</v>
      </c>
      <c r="P198" t="s">
        <v>87</v>
      </c>
    </row>
    <row r="199" spans="2:21">
      <c r="B199" s="253"/>
      <c r="C199" s="254"/>
      <c r="D199" s="255"/>
      <c r="E199" s="255"/>
      <c r="F199" s="255"/>
      <c r="G199" s="255"/>
      <c r="H199" s="254"/>
      <c r="I199" s="255"/>
      <c r="J199" s="255"/>
      <c r="K199" s="256"/>
      <c r="L199" t="s">
        <v>648</v>
      </c>
      <c r="M199" s="247">
        <f>SUM(M87:N194)</f>
        <v>8646630.7941599954</v>
      </c>
      <c r="N199" s="247">
        <f>SUM(O87:P194)</f>
        <v>17293261.588319991</v>
      </c>
      <c r="O199" s="247">
        <f>SUM(Q87:R194)</f>
        <v>25939892.382479995</v>
      </c>
      <c r="P199" s="247">
        <f>SUM(S87:T194)</f>
        <v>34586523.176639982</v>
      </c>
    </row>
    <row r="200" spans="2:21" ht="13.5">
      <c r="B200" s="402" t="s">
        <v>660</v>
      </c>
      <c r="C200" s="403"/>
      <c r="D200" s="403"/>
      <c r="E200" s="403"/>
      <c r="F200" s="403"/>
      <c r="G200" s="403"/>
      <c r="H200" s="403"/>
      <c r="I200" s="403"/>
      <c r="J200" s="403"/>
      <c r="K200" s="404"/>
      <c r="L200" t="s">
        <v>649</v>
      </c>
      <c r="M200" s="247">
        <f>(M199-M205)*22%+M205*8.41%</f>
        <v>1876123.1946641786</v>
      </c>
      <c r="N200" s="247">
        <f>(N199-N205)*22%+N205*8.41%</f>
        <v>3752246.3893283573</v>
      </c>
      <c r="O200" s="247">
        <f>(O199-O205)*22%+O205*8.41%</f>
        <v>5628369.583992538</v>
      </c>
      <c r="P200" s="247">
        <f>(P199-P205)*22%+P205*8.41%</f>
        <v>7504492.7786567146</v>
      </c>
    </row>
    <row r="201" spans="2:21">
      <c r="B201" s="258" t="s">
        <v>661</v>
      </c>
      <c r="C201" s="252">
        <v>1</v>
      </c>
      <c r="D201" s="259">
        <v>24.51</v>
      </c>
      <c r="E201" s="259">
        <f t="shared" ref="E201:E207" si="38">D201*166.08</f>
        <v>4070.6208000000006</v>
      </c>
      <c r="F201" s="252">
        <v>12</v>
      </c>
      <c r="G201" s="260">
        <f>E201*0.12</f>
        <v>488.47449600000004</v>
      </c>
      <c r="H201" s="252">
        <v>70</v>
      </c>
      <c r="I201" s="259">
        <f>E201*0.7</f>
        <v>2849.4345600000001</v>
      </c>
      <c r="J201" s="259">
        <f>I201+G201+E201</f>
        <v>7408.529856000001</v>
      </c>
      <c r="K201" s="259">
        <f>J201*C201</f>
        <v>7408.529856000001</v>
      </c>
      <c r="M201" s="247"/>
      <c r="N201" s="247"/>
      <c r="O201" s="247"/>
      <c r="P201" s="247"/>
    </row>
    <row r="202" spans="2:21">
      <c r="B202" s="261" t="s">
        <v>644</v>
      </c>
      <c r="C202" s="252">
        <v>3</v>
      </c>
      <c r="D202" s="259">
        <v>23.76</v>
      </c>
      <c r="E202" s="259">
        <f t="shared" si="38"/>
        <v>3946.0608000000007</v>
      </c>
      <c r="F202" s="252">
        <v>14.7</v>
      </c>
      <c r="G202" s="259">
        <f>E202*0.147</f>
        <v>580.07093760000009</v>
      </c>
      <c r="H202" s="252">
        <v>20</v>
      </c>
      <c r="I202" s="259">
        <f>E202*0.2</f>
        <v>789.21216000000015</v>
      </c>
      <c r="J202" s="259">
        <f>I202+G202+E202</f>
        <v>5315.3438976000007</v>
      </c>
      <c r="K202" s="259">
        <f>C202*J202</f>
        <v>15946.031692800003</v>
      </c>
      <c r="L202" t="s">
        <v>650</v>
      </c>
      <c r="M202" s="247">
        <f>SUM(M8:N80)</f>
        <v>1987580.58</v>
      </c>
      <c r="N202" s="247">
        <f>SUM(O8:P80)</f>
        <v>3993863.52</v>
      </c>
      <c r="O202" s="247">
        <f>SUM(Q8:R80)</f>
        <v>6000146.46</v>
      </c>
      <c r="P202" s="247">
        <f>SUM(S8:T80)</f>
        <v>8006429.4000000004</v>
      </c>
    </row>
    <row r="203" spans="2:21">
      <c r="B203" s="262" t="s">
        <v>645</v>
      </c>
      <c r="C203" s="252">
        <v>1</v>
      </c>
      <c r="D203" s="259">
        <v>25.7</v>
      </c>
      <c r="E203" s="259">
        <f t="shared" si="38"/>
        <v>4268.2560000000003</v>
      </c>
      <c r="F203" s="252">
        <v>14.7</v>
      </c>
      <c r="G203" s="259">
        <f>E203*0.147</f>
        <v>627.43363199999999</v>
      </c>
      <c r="H203" s="252">
        <v>20</v>
      </c>
      <c r="I203" s="259">
        <f>E203*0.2</f>
        <v>853.65120000000013</v>
      </c>
      <c r="J203" s="259">
        <f>I203+G203+E203</f>
        <v>5749.3408319999999</v>
      </c>
      <c r="K203" s="259">
        <f t="shared" ref="K203:K208" si="39">J203*C203</f>
        <v>5749.3408319999999</v>
      </c>
      <c r="L203" t="s">
        <v>649</v>
      </c>
      <c r="M203" s="247">
        <f>(M202-M206)*22%+M206*8.41%</f>
        <v>433617.18180000002</v>
      </c>
      <c r="N203" s="247">
        <f>(N202-N206)*22%+N206*8.41%</f>
        <v>871348.88280000002</v>
      </c>
      <c r="O203" s="247">
        <f>(O202-O206)*22%+O206*8.41%</f>
        <v>1309080.5838000001</v>
      </c>
      <c r="P203" s="247">
        <f>(P202-P206)*22%+P206*8.41%</f>
        <v>1746812.2848</v>
      </c>
    </row>
    <row r="204" spans="2:21">
      <c r="B204" s="262" t="s">
        <v>635</v>
      </c>
      <c r="C204" s="252">
        <v>1</v>
      </c>
      <c r="D204" s="259">
        <v>37.74</v>
      </c>
      <c r="E204" s="259">
        <f t="shared" si="38"/>
        <v>6267.8592000000008</v>
      </c>
      <c r="F204" s="252">
        <v>20</v>
      </c>
      <c r="G204" s="259">
        <f>E204*0.2</f>
        <v>1253.5718400000003</v>
      </c>
      <c r="H204" s="252">
        <v>20</v>
      </c>
      <c r="I204" s="259">
        <f>E204*0.2</f>
        <v>1253.5718400000003</v>
      </c>
      <c r="J204" s="259">
        <f>E204+I204</f>
        <v>7521.4310400000013</v>
      </c>
      <c r="K204" s="259">
        <f t="shared" si="39"/>
        <v>7521.4310400000013</v>
      </c>
      <c r="M204" s="247"/>
      <c r="N204" s="247"/>
      <c r="O204" s="247"/>
      <c r="P204" s="247"/>
    </row>
    <row r="205" spans="2:21">
      <c r="B205" s="262" t="s">
        <v>636</v>
      </c>
      <c r="C205" s="252">
        <v>1</v>
      </c>
      <c r="D205" s="259">
        <v>37.74</v>
      </c>
      <c r="E205" s="259">
        <f t="shared" si="38"/>
        <v>6267.8592000000008</v>
      </c>
      <c r="F205" s="252">
        <v>20</v>
      </c>
      <c r="G205" s="259">
        <f>E205*0.2</f>
        <v>1253.5718400000003</v>
      </c>
      <c r="H205" s="252">
        <v>20</v>
      </c>
      <c r="I205" s="259">
        <f>E205*0.2</f>
        <v>1253.5718400000003</v>
      </c>
      <c r="J205" s="259">
        <f>E205+I205</f>
        <v>7521.4310400000013</v>
      </c>
      <c r="K205" s="259">
        <f t="shared" si="39"/>
        <v>7521.4310400000013</v>
      </c>
      <c r="L205" s="266" t="s">
        <v>651</v>
      </c>
      <c r="M205" s="267">
        <f>SUM($K$201:$K$207)*3</f>
        <v>192314.79066240005</v>
      </c>
      <c r="N205" s="267">
        <f>SUM($K$201:$K$207)*6</f>
        <v>384629.58132480009</v>
      </c>
      <c r="O205" s="267">
        <f>SUM($K$201:$K$207)*9</f>
        <v>576944.37198720011</v>
      </c>
      <c r="P205" s="267">
        <f>SUM($K$201:$K$207)*12</f>
        <v>769259.16264960018</v>
      </c>
    </row>
    <row r="206" spans="2:21">
      <c r="B206" s="263" t="s">
        <v>584</v>
      </c>
      <c r="C206" s="252">
        <v>1</v>
      </c>
      <c r="D206" s="259">
        <v>39.729999999999997</v>
      </c>
      <c r="E206" s="259">
        <f t="shared" si="38"/>
        <v>6598.3584000000001</v>
      </c>
      <c r="F206" s="252">
        <v>17</v>
      </c>
      <c r="G206" s="259">
        <f>E206*0.17</f>
        <v>1121.7209280000002</v>
      </c>
      <c r="H206" s="252">
        <v>25</v>
      </c>
      <c r="I206" s="259">
        <f>E206*0.25</f>
        <v>1649.5896</v>
      </c>
      <c r="J206" s="259">
        <f>I206+G206+E206</f>
        <v>9369.6689279999991</v>
      </c>
      <c r="K206" s="259">
        <f t="shared" si="39"/>
        <v>9369.6689279999991</v>
      </c>
      <c r="L206" s="266" t="s">
        <v>652</v>
      </c>
      <c r="M206" s="267">
        <f>K208*3</f>
        <v>26862</v>
      </c>
      <c r="N206" s="267">
        <f>K208*6</f>
        <v>53724</v>
      </c>
      <c r="O206" s="267">
        <f>K208*9</f>
        <v>80586</v>
      </c>
      <c r="P206" s="267">
        <f>K208*12</f>
        <v>107448</v>
      </c>
    </row>
    <row r="207" spans="2:21">
      <c r="B207" s="263" t="s">
        <v>585</v>
      </c>
      <c r="C207" s="252">
        <v>1</v>
      </c>
      <c r="D207" s="259">
        <v>36.020000000000003</v>
      </c>
      <c r="E207" s="259">
        <f t="shared" si="38"/>
        <v>5982.2016000000012</v>
      </c>
      <c r="F207" s="252">
        <v>52</v>
      </c>
      <c r="G207" s="259">
        <f>E207*0.52</f>
        <v>3110.7448320000008</v>
      </c>
      <c r="H207" s="252">
        <v>25</v>
      </c>
      <c r="I207" s="259">
        <f>E207*0.25</f>
        <v>1495.5504000000003</v>
      </c>
      <c r="J207" s="259">
        <f>I207+G207+E207</f>
        <v>10588.496832000003</v>
      </c>
      <c r="K207" s="259">
        <f t="shared" si="39"/>
        <v>10588.496832000003</v>
      </c>
      <c r="M207" s="247"/>
      <c r="N207" s="247"/>
      <c r="O207" s="247"/>
      <c r="P207" s="247"/>
    </row>
    <row r="208" spans="2:21">
      <c r="B208" s="263" t="s">
        <v>662</v>
      </c>
      <c r="C208" s="264">
        <v>1</v>
      </c>
      <c r="D208" s="263"/>
      <c r="E208" s="264">
        <v>8954</v>
      </c>
      <c r="F208" s="263"/>
      <c r="G208" s="263"/>
      <c r="H208" s="263"/>
      <c r="I208" s="259"/>
      <c r="J208" s="264">
        <f>E208</f>
        <v>8954</v>
      </c>
      <c r="K208" s="259">
        <f t="shared" si="39"/>
        <v>8954</v>
      </c>
    </row>
    <row r="209" spans="2:16">
      <c r="B209" s="263" t="s">
        <v>534</v>
      </c>
      <c r="C209" s="264">
        <f>SUM(C201:C208)</f>
        <v>10</v>
      </c>
      <c r="D209" s="263"/>
      <c r="E209" s="263"/>
      <c r="F209" s="263"/>
      <c r="G209" s="263"/>
      <c r="H209" s="263"/>
      <c r="I209" s="263"/>
      <c r="J209" s="263"/>
      <c r="K209" s="265">
        <f>SUM(K201:K208)</f>
        <v>73058.930220800015</v>
      </c>
    </row>
    <row r="210" spans="2:16">
      <c r="L210" t="s">
        <v>653</v>
      </c>
      <c r="M210" s="247">
        <f t="shared" ref="M210:P211" si="40">M199+M202</f>
        <v>10634211.374159995</v>
      </c>
      <c r="N210" s="247">
        <f t="shared" si="40"/>
        <v>21287125.10831999</v>
      </c>
      <c r="O210" s="247">
        <f t="shared" si="40"/>
        <v>31940038.842479996</v>
      </c>
      <c r="P210" s="247">
        <f t="shared" si="40"/>
        <v>42592952.57663998</v>
      </c>
    </row>
    <row r="211" spans="2:16">
      <c r="L211" t="s">
        <v>471</v>
      </c>
      <c r="M211" s="247">
        <f t="shared" si="40"/>
        <v>2309740.3764641788</v>
      </c>
      <c r="N211" s="247">
        <f t="shared" si="40"/>
        <v>4623595.2721283576</v>
      </c>
      <c r="O211" s="247">
        <f t="shared" si="40"/>
        <v>6937450.1677925382</v>
      </c>
      <c r="P211" s="247">
        <f t="shared" si="40"/>
        <v>9251305.0634567142</v>
      </c>
    </row>
    <row r="213" spans="2:16">
      <c r="L213" t="s">
        <v>654</v>
      </c>
    </row>
    <row r="215" spans="2:16">
      <c r="L215" t="s">
        <v>655</v>
      </c>
    </row>
    <row r="216" spans="2:16">
      <c r="L216" t="s">
        <v>272</v>
      </c>
      <c r="M216" s="169">
        <f>U8</f>
        <v>420881.4</v>
      </c>
    </row>
    <row r="217" spans="2:16">
      <c r="L217" t="s">
        <v>656</v>
      </c>
      <c r="M217" s="169">
        <f>P202-M216</f>
        <v>7585548</v>
      </c>
    </row>
    <row r="218" spans="2:16">
      <c r="L218" t="s">
        <v>273</v>
      </c>
      <c r="M218" s="169">
        <f>P199</f>
        <v>34586523.176639982</v>
      </c>
    </row>
    <row r="219" spans="2:16">
      <c r="M219" s="169"/>
    </row>
    <row r="220" spans="2:16">
      <c r="L220" t="s">
        <v>657</v>
      </c>
      <c r="M220" s="169"/>
    </row>
    <row r="221" spans="2:16">
      <c r="L221" t="s">
        <v>272</v>
      </c>
      <c r="M221" s="169">
        <f>M216*1.22</f>
        <v>513475.30800000002</v>
      </c>
    </row>
    <row r="222" spans="2:16">
      <c r="L222" t="s">
        <v>656</v>
      </c>
      <c r="M222" s="169">
        <f>P202+P203-M221</f>
        <v>9239766.3768000007</v>
      </c>
    </row>
    <row r="223" spans="2:16">
      <c r="L223" t="s">
        <v>273</v>
      </c>
      <c r="M223" s="169">
        <f>P199+P200</f>
        <v>42091015.955296695</v>
      </c>
    </row>
    <row r="224" spans="2:16">
      <c r="M224" s="169"/>
    </row>
    <row r="225" spans="12:13">
      <c r="L225" t="s">
        <v>658</v>
      </c>
      <c r="M225" s="169"/>
    </row>
    <row r="226" spans="12:13">
      <c r="L226" t="s">
        <v>272</v>
      </c>
      <c r="M226" s="169">
        <f>M216/12</f>
        <v>35073.450000000004</v>
      </c>
    </row>
    <row r="227" spans="12:13">
      <c r="L227" t="s">
        <v>656</v>
      </c>
      <c r="M227" s="169">
        <f>SUM(S9:S80)/12/65</f>
        <v>9719.4</v>
      </c>
    </row>
    <row r="228" spans="12:13">
      <c r="L228" t="s">
        <v>273</v>
      </c>
      <c r="M228" s="169">
        <f>SUM(S87:S194)/12/312</f>
        <v>4530.8590064102546</v>
      </c>
    </row>
    <row r="229" spans="12:13">
      <c r="M229" s="169"/>
    </row>
    <row r="230" spans="12:13">
      <c r="L230" t="s">
        <v>659</v>
      </c>
      <c r="M230" s="169"/>
    </row>
    <row r="231" spans="12:13">
      <c r="L231" t="s">
        <v>272</v>
      </c>
      <c r="M231" s="169">
        <f>M226</f>
        <v>35073.450000000004</v>
      </c>
    </row>
    <row r="232" spans="12:13">
      <c r="L232" t="s">
        <v>656</v>
      </c>
      <c r="M232" s="169">
        <f>SUM(S9:T80)/12/65</f>
        <v>9725.0615384615376</v>
      </c>
    </row>
    <row r="233" spans="12:13">
      <c r="L233" t="s">
        <v>273</v>
      </c>
      <c r="M233" s="169">
        <f>SUM(S87:T194)/12/312</f>
        <v>9237.8534125640981</v>
      </c>
    </row>
  </sheetData>
  <sheetProtection password="CF66" sheet="1" objects="1" scenarios="1"/>
  <mergeCells count="7">
    <mergeCell ref="B200:K200"/>
    <mergeCell ref="G5:G7"/>
    <mergeCell ref="B5:B7"/>
    <mergeCell ref="C5:C7"/>
    <mergeCell ref="D5:D7"/>
    <mergeCell ref="E5:F5"/>
    <mergeCell ref="E6:F6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E71"/>
  <sheetViews>
    <sheetView windowProtection="1" view="pageBreakPreview" zoomScale="50" zoomScaleNormal="60" zoomScaleSheetLayoutView="50" workbookViewId="0">
      <selection activeCell="C7" sqref="C7:F10"/>
    </sheetView>
  </sheetViews>
  <sheetFormatPr defaultRowHeight="18.75"/>
  <cols>
    <col min="1" max="1" width="4.42578125" style="1" customWidth="1"/>
    <col min="2" max="2" width="28.7109375" style="1" customWidth="1"/>
    <col min="3" max="6" width="11.28515625" style="1" customWidth="1"/>
    <col min="7" max="31" width="11" style="1" customWidth="1"/>
    <col min="32" max="16384" width="9.140625" style="1"/>
  </cols>
  <sheetData>
    <row r="1" spans="1:3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Q1" s="27"/>
      <c r="R1" s="27"/>
      <c r="S1" s="27"/>
      <c r="T1" s="27"/>
      <c r="U1" s="27"/>
      <c r="AB1" s="428"/>
      <c r="AC1" s="429"/>
      <c r="AD1" s="429"/>
      <c r="AE1" s="429"/>
    </row>
    <row r="2" spans="1:31" ht="18.75" customHeight="1">
      <c r="B2" s="38" t="s">
        <v>252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</row>
    <row r="4" spans="1:31" ht="18.75" customHeight="1">
      <c r="A4" s="358" t="s">
        <v>56</v>
      </c>
      <c r="B4" s="358" t="s">
        <v>208</v>
      </c>
      <c r="C4" s="455" t="s">
        <v>209</v>
      </c>
      <c r="D4" s="456"/>
      <c r="E4" s="456"/>
      <c r="F4" s="457"/>
      <c r="G4" s="455" t="s">
        <v>349</v>
      </c>
      <c r="H4" s="456"/>
      <c r="I4" s="456"/>
      <c r="J4" s="456"/>
      <c r="K4" s="456"/>
      <c r="L4" s="457"/>
      <c r="M4" s="455" t="s">
        <v>210</v>
      </c>
      <c r="N4" s="456"/>
      <c r="O4" s="456"/>
      <c r="P4" s="457"/>
      <c r="Q4" s="373" t="s">
        <v>303</v>
      </c>
      <c r="R4" s="374"/>
      <c r="S4" s="374"/>
      <c r="T4" s="374"/>
      <c r="U4" s="374"/>
      <c r="V4" s="374"/>
      <c r="W4" s="374"/>
      <c r="X4" s="374"/>
      <c r="Y4" s="374"/>
      <c r="Z4" s="374"/>
      <c r="AA4" s="374"/>
      <c r="AB4" s="374"/>
      <c r="AC4" s="374"/>
      <c r="AD4" s="374"/>
      <c r="AE4" s="385"/>
    </row>
    <row r="5" spans="1:31" ht="48.75" customHeight="1">
      <c r="A5" s="359"/>
      <c r="B5" s="359"/>
      <c r="C5" s="458"/>
      <c r="D5" s="459"/>
      <c r="E5" s="459"/>
      <c r="F5" s="460"/>
      <c r="G5" s="458"/>
      <c r="H5" s="459"/>
      <c r="I5" s="459"/>
      <c r="J5" s="459"/>
      <c r="K5" s="459"/>
      <c r="L5" s="460"/>
      <c r="M5" s="458"/>
      <c r="N5" s="459"/>
      <c r="O5" s="459"/>
      <c r="P5" s="460"/>
      <c r="Q5" s="382" t="s">
        <v>211</v>
      </c>
      <c r="R5" s="383"/>
      <c r="S5" s="384"/>
      <c r="T5" s="382" t="s">
        <v>212</v>
      </c>
      <c r="U5" s="383"/>
      <c r="V5" s="384"/>
      <c r="W5" s="382" t="s">
        <v>44</v>
      </c>
      <c r="X5" s="383"/>
      <c r="Y5" s="384"/>
      <c r="Z5" s="373" t="s">
        <v>213</v>
      </c>
      <c r="AA5" s="374"/>
      <c r="AB5" s="385"/>
      <c r="AC5" s="373" t="s">
        <v>214</v>
      </c>
      <c r="AD5" s="374"/>
      <c r="AE5" s="385"/>
    </row>
    <row r="6" spans="1:31" ht="18" customHeight="1">
      <c r="A6" s="62">
        <v>1</v>
      </c>
      <c r="B6" s="63">
        <v>2</v>
      </c>
      <c r="C6" s="452">
        <v>3</v>
      </c>
      <c r="D6" s="453"/>
      <c r="E6" s="453"/>
      <c r="F6" s="454"/>
      <c r="G6" s="452">
        <v>4</v>
      </c>
      <c r="H6" s="453"/>
      <c r="I6" s="453"/>
      <c r="J6" s="453"/>
      <c r="K6" s="453"/>
      <c r="L6" s="454"/>
      <c r="M6" s="452">
        <v>5</v>
      </c>
      <c r="N6" s="453"/>
      <c r="O6" s="453"/>
      <c r="P6" s="454"/>
      <c r="Q6" s="452">
        <v>6</v>
      </c>
      <c r="R6" s="453"/>
      <c r="S6" s="454"/>
      <c r="T6" s="452">
        <v>7</v>
      </c>
      <c r="U6" s="453"/>
      <c r="V6" s="454"/>
      <c r="W6" s="461">
        <v>8</v>
      </c>
      <c r="X6" s="462"/>
      <c r="Y6" s="463"/>
      <c r="Z6" s="461">
        <v>9</v>
      </c>
      <c r="AA6" s="462"/>
      <c r="AB6" s="463"/>
      <c r="AC6" s="461">
        <v>10</v>
      </c>
      <c r="AD6" s="462"/>
      <c r="AE6" s="463"/>
    </row>
    <row r="7" spans="1:31" ht="20.100000000000001" customHeight="1">
      <c r="A7" s="62"/>
      <c r="B7" s="218" t="s">
        <v>452</v>
      </c>
      <c r="C7" s="446">
        <v>1996</v>
      </c>
      <c r="D7" s="447"/>
      <c r="E7" s="447"/>
      <c r="F7" s="448"/>
      <c r="G7" s="437" t="s">
        <v>453</v>
      </c>
      <c r="H7" s="438"/>
      <c r="I7" s="438"/>
      <c r="J7" s="438"/>
      <c r="K7" s="438"/>
      <c r="L7" s="439"/>
      <c r="M7" s="440">
        <f>SUM(Q7,T7,W7,Z7,AC7)</f>
        <v>137</v>
      </c>
      <c r="N7" s="441"/>
      <c r="O7" s="441"/>
      <c r="P7" s="442"/>
      <c r="Q7" s="443">
        <v>45</v>
      </c>
      <c r="R7" s="444"/>
      <c r="S7" s="445"/>
      <c r="T7" s="443">
        <v>75</v>
      </c>
      <c r="U7" s="444"/>
      <c r="V7" s="445"/>
      <c r="W7" s="443">
        <v>17</v>
      </c>
      <c r="X7" s="444"/>
      <c r="Y7" s="445"/>
      <c r="Z7" s="443">
        <v>0</v>
      </c>
      <c r="AA7" s="444"/>
      <c r="AB7" s="445"/>
      <c r="AC7" s="443"/>
      <c r="AD7" s="444"/>
      <c r="AE7" s="445"/>
    </row>
    <row r="8" spans="1:31" ht="20.100000000000001" customHeight="1">
      <c r="A8" s="62"/>
      <c r="B8" s="218" t="s">
        <v>454</v>
      </c>
      <c r="C8" s="446">
        <v>2003</v>
      </c>
      <c r="D8" s="447"/>
      <c r="E8" s="447"/>
      <c r="F8" s="448"/>
      <c r="G8" s="437" t="s">
        <v>453</v>
      </c>
      <c r="H8" s="438"/>
      <c r="I8" s="438"/>
      <c r="J8" s="438"/>
      <c r="K8" s="438"/>
      <c r="L8" s="439"/>
      <c r="M8" s="440">
        <f>SUM(Q8,T8,W8,Z8,AC8)</f>
        <v>94</v>
      </c>
      <c r="N8" s="441"/>
      <c r="O8" s="441"/>
      <c r="P8" s="442"/>
      <c r="Q8" s="443">
        <v>2</v>
      </c>
      <c r="R8" s="444"/>
      <c r="S8" s="445"/>
      <c r="T8" s="443">
        <v>75</v>
      </c>
      <c r="U8" s="444"/>
      <c r="V8" s="445"/>
      <c r="W8" s="443">
        <v>17</v>
      </c>
      <c r="X8" s="444"/>
      <c r="Y8" s="445"/>
      <c r="Z8" s="443">
        <v>0</v>
      </c>
      <c r="AA8" s="444"/>
      <c r="AB8" s="445"/>
      <c r="AC8" s="443"/>
      <c r="AD8" s="444"/>
      <c r="AE8" s="445"/>
    </row>
    <row r="9" spans="1:31" ht="20.100000000000001" customHeight="1">
      <c r="A9" s="62"/>
      <c r="B9" s="218" t="s">
        <v>455</v>
      </c>
      <c r="C9" s="446">
        <v>2013</v>
      </c>
      <c r="D9" s="447"/>
      <c r="E9" s="447"/>
      <c r="F9" s="448"/>
      <c r="G9" s="437" t="s">
        <v>453</v>
      </c>
      <c r="H9" s="438"/>
      <c r="I9" s="438"/>
      <c r="J9" s="438"/>
      <c r="K9" s="438"/>
      <c r="L9" s="439"/>
      <c r="M9" s="440">
        <f>SUM(Q9,T9,W9,Z9,AC9)</f>
        <v>174</v>
      </c>
      <c r="N9" s="441"/>
      <c r="O9" s="441"/>
      <c r="P9" s="442"/>
      <c r="Q9" s="443">
        <v>52</v>
      </c>
      <c r="R9" s="444"/>
      <c r="S9" s="445"/>
      <c r="T9" s="443">
        <v>77</v>
      </c>
      <c r="U9" s="444"/>
      <c r="V9" s="445"/>
      <c r="W9" s="443">
        <v>16</v>
      </c>
      <c r="X9" s="444"/>
      <c r="Y9" s="445"/>
      <c r="Z9" s="443">
        <v>29</v>
      </c>
      <c r="AA9" s="444"/>
      <c r="AB9" s="445"/>
      <c r="AC9" s="443"/>
      <c r="AD9" s="444"/>
      <c r="AE9" s="445"/>
    </row>
    <row r="10" spans="1:31" ht="20.100000000000001" customHeight="1">
      <c r="A10" s="62"/>
      <c r="B10" s="218" t="s">
        <v>456</v>
      </c>
      <c r="C10" s="446">
        <v>2013</v>
      </c>
      <c r="D10" s="447"/>
      <c r="E10" s="447"/>
      <c r="F10" s="448"/>
      <c r="G10" s="437" t="s">
        <v>453</v>
      </c>
      <c r="H10" s="438"/>
      <c r="I10" s="438"/>
      <c r="J10" s="438"/>
      <c r="K10" s="438"/>
      <c r="L10" s="439"/>
      <c r="M10" s="440">
        <f>SUM(Q10,T10,W10,Z10,AC10)</f>
        <v>465</v>
      </c>
      <c r="N10" s="441"/>
      <c r="O10" s="441"/>
      <c r="P10" s="442"/>
      <c r="Q10" s="443">
        <v>96</v>
      </c>
      <c r="R10" s="444"/>
      <c r="S10" s="445"/>
      <c r="T10" s="443">
        <v>270</v>
      </c>
      <c r="U10" s="444"/>
      <c r="V10" s="445"/>
      <c r="W10" s="443">
        <v>59</v>
      </c>
      <c r="X10" s="444"/>
      <c r="Y10" s="445"/>
      <c r="Z10" s="443">
        <v>40</v>
      </c>
      <c r="AA10" s="444"/>
      <c r="AB10" s="445"/>
      <c r="AC10" s="443"/>
      <c r="AD10" s="444"/>
      <c r="AE10" s="445"/>
    </row>
    <row r="11" spans="1:31" ht="20.100000000000001" customHeight="1">
      <c r="A11" s="449" t="s">
        <v>61</v>
      </c>
      <c r="B11" s="450"/>
      <c r="C11" s="450"/>
      <c r="D11" s="450"/>
      <c r="E11" s="450"/>
      <c r="F11" s="450"/>
      <c r="G11" s="450"/>
      <c r="H11" s="450"/>
      <c r="I11" s="450"/>
      <c r="J11" s="450"/>
      <c r="K11" s="450"/>
      <c r="L11" s="451"/>
      <c r="M11" s="395">
        <f>SUM(M7:P10)</f>
        <v>870</v>
      </c>
      <c r="N11" s="464"/>
      <c r="O11" s="464"/>
      <c r="P11" s="396"/>
      <c r="Q11" s="395">
        <f>SUM(Q7:S10)</f>
        <v>195</v>
      </c>
      <c r="R11" s="464"/>
      <c r="S11" s="396"/>
      <c r="T11" s="395">
        <f>SUM(T7:V10)</f>
        <v>497</v>
      </c>
      <c r="U11" s="464"/>
      <c r="V11" s="396"/>
      <c r="W11" s="395">
        <f>SUM(W7:Y10)</f>
        <v>109</v>
      </c>
      <c r="X11" s="464"/>
      <c r="Y11" s="396"/>
      <c r="Z11" s="395">
        <f>SUM(Z7:AB10)</f>
        <v>69</v>
      </c>
      <c r="AA11" s="464"/>
      <c r="AB11" s="396"/>
      <c r="AC11" s="395">
        <f>SUM(AC7:AE10)</f>
        <v>0</v>
      </c>
      <c r="AD11" s="464"/>
      <c r="AE11" s="396"/>
    </row>
    <row r="12" spans="1:31" ht="18.75" customHeight="1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3"/>
      <c r="N12" s="33"/>
      <c r="O12" s="33"/>
      <c r="P12" s="33"/>
      <c r="Q12" s="53"/>
      <c r="R12" s="53"/>
      <c r="S12" s="53"/>
      <c r="T12" s="53"/>
      <c r="U12" s="53"/>
      <c r="V12" s="53"/>
      <c r="W12" s="54"/>
      <c r="X12" s="54"/>
      <c r="Y12" s="54"/>
      <c r="Z12" s="54"/>
      <c r="AA12" s="54"/>
      <c r="AB12" s="54"/>
      <c r="AC12" s="54"/>
      <c r="AD12" s="54"/>
      <c r="AE12" s="54"/>
    </row>
    <row r="13" spans="1:31" s="38" customFormat="1" ht="18.75" customHeight="1">
      <c r="B13" s="38" t="s">
        <v>253</v>
      </c>
    </row>
    <row r="14" spans="1:31" s="38" customFormat="1" ht="18.75" customHeight="1"/>
    <row r="15" spans="1:31" ht="18.75" customHeight="1">
      <c r="A15" s="346" t="s">
        <v>56</v>
      </c>
      <c r="B15" s="346" t="s">
        <v>215</v>
      </c>
      <c r="C15" s="347" t="s">
        <v>208</v>
      </c>
      <c r="D15" s="347"/>
      <c r="E15" s="347"/>
      <c r="F15" s="347"/>
      <c r="G15" s="347" t="s">
        <v>349</v>
      </c>
      <c r="H15" s="347"/>
      <c r="I15" s="347"/>
      <c r="J15" s="347"/>
      <c r="K15" s="347"/>
      <c r="L15" s="347"/>
      <c r="M15" s="347"/>
      <c r="N15" s="347"/>
      <c r="O15" s="347"/>
      <c r="P15" s="347"/>
      <c r="Q15" s="347" t="s">
        <v>216</v>
      </c>
      <c r="R15" s="347"/>
      <c r="S15" s="347"/>
      <c r="T15" s="347"/>
      <c r="U15" s="347"/>
      <c r="V15" s="344" t="s">
        <v>217</v>
      </c>
      <c r="W15" s="344"/>
      <c r="X15" s="344"/>
      <c r="Y15" s="344"/>
      <c r="Z15" s="344"/>
      <c r="AA15" s="344"/>
      <c r="AB15" s="344"/>
      <c r="AC15" s="344"/>
      <c r="AD15" s="344"/>
      <c r="AE15" s="344"/>
    </row>
    <row r="16" spans="1:31" ht="18.75" customHeight="1">
      <c r="A16" s="346"/>
      <c r="B16" s="346"/>
      <c r="C16" s="347"/>
      <c r="D16" s="347"/>
      <c r="E16" s="347"/>
      <c r="F16" s="347"/>
      <c r="G16" s="347"/>
      <c r="H16" s="347"/>
      <c r="I16" s="347"/>
      <c r="J16" s="347"/>
      <c r="K16" s="347"/>
      <c r="L16" s="347"/>
      <c r="M16" s="347"/>
      <c r="N16" s="347"/>
      <c r="O16" s="347"/>
      <c r="P16" s="347"/>
      <c r="Q16" s="347"/>
      <c r="R16" s="347"/>
      <c r="S16" s="347"/>
      <c r="T16" s="347"/>
      <c r="U16" s="347"/>
      <c r="V16" s="344" t="s">
        <v>218</v>
      </c>
      <c r="W16" s="344"/>
      <c r="X16" s="344" t="s">
        <v>106</v>
      </c>
      <c r="Y16" s="344"/>
      <c r="Z16" s="344"/>
      <c r="AA16" s="344"/>
      <c r="AB16" s="344"/>
      <c r="AC16" s="344"/>
      <c r="AD16" s="344"/>
      <c r="AE16" s="344"/>
    </row>
    <row r="17" spans="1:31" ht="18.75" customHeight="1">
      <c r="A17" s="346"/>
      <c r="B17" s="346"/>
      <c r="C17" s="347"/>
      <c r="D17" s="347"/>
      <c r="E17" s="347"/>
      <c r="F17" s="347"/>
      <c r="G17" s="347"/>
      <c r="H17" s="347"/>
      <c r="I17" s="347"/>
      <c r="J17" s="347"/>
      <c r="K17" s="347"/>
      <c r="L17" s="347"/>
      <c r="M17" s="347"/>
      <c r="N17" s="347"/>
      <c r="O17" s="347"/>
      <c r="P17" s="347"/>
      <c r="Q17" s="347"/>
      <c r="R17" s="347"/>
      <c r="S17" s="347"/>
      <c r="T17" s="347"/>
      <c r="U17" s="347"/>
      <c r="V17" s="344"/>
      <c r="W17" s="344"/>
      <c r="X17" s="344" t="s">
        <v>380</v>
      </c>
      <c r="Y17" s="344"/>
      <c r="Z17" s="344" t="s">
        <v>372</v>
      </c>
      <c r="AA17" s="344"/>
      <c r="AB17" s="344" t="s">
        <v>373</v>
      </c>
      <c r="AC17" s="344"/>
      <c r="AD17" s="344" t="s">
        <v>87</v>
      </c>
      <c r="AE17" s="344"/>
    </row>
    <row r="18" spans="1:31" ht="18" customHeight="1">
      <c r="A18" s="62">
        <v>1</v>
      </c>
      <c r="B18" s="62">
        <v>2</v>
      </c>
      <c r="C18" s="432">
        <v>3</v>
      </c>
      <c r="D18" s="432"/>
      <c r="E18" s="432"/>
      <c r="F18" s="432"/>
      <c r="G18" s="432">
        <v>4</v>
      </c>
      <c r="H18" s="432"/>
      <c r="I18" s="432"/>
      <c r="J18" s="432"/>
      <c r="K18" s="432"/>
      <c r="L18" s="432"/>
      <c r="M18" s="432"/>
      <c r="N18" s="432"/>
      <c r="O18" s="432"/>
      <c r="P18" s="432"/>
      <c r="Q18" s="432">
        <v>5</v>
      </c>
      <c r="R18" s="432"/>
      <c r="S18" s="432"/>
      <c r="T18" s="432"/>
      <c r="U18" s="432"/>
      <c r="V18" s="432">
        <v>6</v>
      </c>
      <c r="W18" s="432"/>
      <c r="X18" s="431">
        <v>7</v>
      </c>
      <c r="Y18" s="431"/>
      <c r="Z18" s="431">
        <v>8</v>
      </c>
      <c r="AA18" s="431"/>
      <c r="AB18" s="431">
        <v>9</v>
      </c>
      <c r="AC18" s="431"/>
      <c r="AD18" s="431">
        <v>10</v>
      </c>
      <c r="AE18" s="431"/>
    </row>
    <row r="19" spans="1:31" ht="20.100000000000001" customHeight="1">
      <c r="A19" s="86"/>
      <c r="B19" s="81"/>
      <c r="C19" s="433"/>
      <c r="D19" s="433"/>
      <c r="E19" s="433"/>
      <c r="F19" s="433"/>
      <c r="G19" s="434"/>
      <c r="H19" s="434"/>
      <c r="I19" s="434"/>
      <c r="J19" s="434"/>
      <c r="K19" s="434"/>
      <c r="L19" s="434"/>
      <c r="M19" s="434"/>
      <c r="N19" s="434"/>
      <c r="O19" s="434"/>
      <c r="P19" s="434"/>
      <c r="Q19" s="435"/>
      <c r="R19" s="435"/>
      <c r="S19" s="435"/>
      <c r="T19" s="435"/>
      <c r="U19" s="435"/>
      <c r="V19" s="436">
        <f>AD19</f>
        <v>0</v>
      </c>
      <c r="W19" s="436"/>
      <c r="X19" s="430"/>
      <c r="Y19" s="430"/>
      <c r="Z19" s="430"/>
      <c r="AA19" s="430"/>
      <c r="AB19" s="430"/>
      <c r="AC19" s="430"/>
      <c r="AD19" s="430"/>
      <c r="AE19" s="430"/>
    </row>
    <row r="20" spans="1:31" ht="20.100000000000001" customHeight="1">
      <c r="A20" s="86"/>
      <c r="B20" s="81"/>
      <c r="C20" s="433"/>
      <c r="D20" s="433"/>
      <c r="E20" s="433"/>
      <c r="F20" s="433"/>
      <c r="G20" s="434"/>
      <c r="H20" s="434"/>
      <c r="I20" s="434"/>
      <c r="J20" s="434"/>
      <c r="K20" s="434"/>
      <c r="L20" s="434"/>
      <c r="M20" s="434"/>
      <c r="N20" s="434"/>
      <c r="O20" s="434"/>
      <c r="P20" s="434"/>
      <c r="Q20" s="435"/>
      <c r="R20" s="435"/>
      <c r="S20" s="435"/>
      <c r="T20" s="435"/>
      <c r="U20" s="435"/>
      <c r="V20" s="436">
        <f>AD20</f>
        <v>0</v>
      </c>
      <c r="W20" s="436"/>
      <c r="X20" s="430"/>
      <c r="Y20" s="430"/>
      <c r="Z20" s="430"/>
      <c r="AA20" s="430"/>
      <c r="AB20" s="430"/>
      <c r="AC20" s="430"/>
      <c r="AD20" s="430"/>
      <c r="AE20" s="430"/>
    </row>
    <row r="21" spans="1:31" ht="20.100000000000001" customHeight="1">
      <c r="A21" s="86"/>
      <c r="B21" s="81"/>
      <c r="C21" s="433"/>
      <c r="D21" s="433"/>
      <c r="E21" s="433"/>
      <c r="F21" s="433"/>
      <c r="G21" s="434"/>
      <c r="H21" s="434"/>
      <c r="I21" s="434"/>
      <c r="J21" s="434"/>
      <c r="K21" s="434"/>
      <c r="L21" s="434"/>
      <c r="M21" s="434"/>
      <c r="N21" s="434"/>
      <c r="O21" s="434"/>
      <c r="P21" s="434"/>
      <c r="Q21" s="435"/>
      <c r="R21" s="435"/>
      <c r="S21" s="435"/>
      <c r="T21" s="435"/>
      <c r="U21" s="435"/>
      <c r="V21" s="436">
        <f>AD21</f>
        <v>0</v>
      </c>
      <c r="W21" s="436"/>
      <c r="X21" s="430"/>
      <c r="Y21" s="430"/>
      <c r="Z21" s="430"/>
      <c r="AA21" s="430"/>
      <c r="AB21" s="430"/>
      <c r="AC21" s="430"/>
      <c r="AD21" s="430"/>
      <c r="AE21" s="430"/>
    </row>
    <row r="22" spans="1:31" ht="20.100000000000001" customHeight="1">
      <c r="A22" s="86"/>
      <c r="B22" s="81"/>
      <c r="C22" s="433"/>
      <c r="D22" s="433"/>
      <c r="E22" s="433"/>
      <c r="F22" s="433"/>
      <c r="G22" s="434"/>
      <c r="H22" s="434"/>
      <c r="I22" s="434"/>
      <c r="J22" s="434"/>
      <c r="K22" s="434"/>
      <c r="L22" s="434"/>
      <c r="M22" s="434"/>
      <c r="N22" s="434"/>
      <c r="O22" s="434"/>
      <c r="P22" s="434"/>
      <c r="Q22" s="435"/>
      <c r="R22" s="435"/>
      <c r="S22" s="435"/>
      <c r="T22" s="435"/>
      <c r="U22" s="435"/>
      <c r="V22" s="436">
        <f>AD22</f>
        <v>0</v>
      </c>
      <c r="W22" s="436"/>
      <c r="X22" s="430"/>
      <c r="Y22" s="430"/>
      <c r="Z22" s="430"/>
      <c r="AA22" s="430"/>
      <c r="AB22" s="430"/>
      <c r="AC22" s="430"/>
      <c r="AD22" s="430"/>
      <c r="AE22" s="430"/>
    </row>
    <row r="23" spans="1:31" ht="20.100000000000001" customHeight="1">
      <c r="A23" s="346" t="s">
        <v>61</v>
      </c>
      <c r="B23" s="346"/>
      <c r="C23" s="346"/>
      <c r="D23" s="346"/>
      <c r="E23" s="346"/>
      <c r="F23" s="346"/>
      <c r="G23" s="346"/>
      <c r="H23" s="346"/>
      <c r="I23" s="346"/>
      <c r="J23" s="346"/>
      <c r="K23" s="346"/>
      <c r="L23" s="346"/>
      <c r="M23" s="346"/>
      <c r="N23" s="346"/>
      <c r="O23" s="346"/>
      <c r="P23" s="346"/>
      <c r="Q23" s="346"/>
      <c r="R23" s="346"/>
      <c r="S23" s="346"/>
      <c r="T23" s="346"/>
      <c r="U23" s="346"/>
      <c r="V23" s="436">
        <f>AD23</f>
        <v>0</v>
      </c>
      <c r="W23" s="436"/>
      <c r="X23" s="414">
        <f>SUM(X19:Y22)</f>
        <v>0</v>
      </c>
      <c r="Y23" s="414"/>
      <c r="Z23" s="414">
        <f>SUM(Z19:AA22)</f>
        <v>0</v>
      </c>
      <c r="AA23" s="414"/>
      <c r="AB23" s="414">
        <f>SUM(AB19:AC22)</f>
        <v>0</v>
      </c>
      <c r="AC23" s="414"/>
      <c r="AD23" s="414">
        <f>SUM(AD19:AE22)</f>
        <v>0</v>
      </c>
      <c r="AE23" s="414"/>
    </row>
    <row r="24" spans="1:31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Q24" s="27"/>
      <c r="R24" s="27"/>
      <c r="S24" s="27"/>
      <c r="T24" s="27"/>
      <c r="U24" s="27"/>
      <c r="AE24" s="27"/>
    </row>
    <row r="25" spans="1:31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Q25" s="27"/>
      <c r="R25" s="27"/>
      <c r="S25" s="27"/>
      <c r="T25" s="27"/>
      <c r="U25" s="27"/>
      <c r="AE25" s="27"/>
    </row>
    <row r="26" spans="1:31" s="38" customFormat="1" ht="18.75" customHeight="1">
      <c r="B26" s="38" t="s">
        <v>231</v>
      </c>
    </row>
    <row r="27" spans="1:31">
      <c r="A27" s="23"/>
      <c r="B27" s="23"/>
      <c r="C27" s="23"/>
      <c r="D27" s="23"/>
      <c r="E27" s="23"/>
      <c r="F27" s="23"/>
      <c r="G27" s="23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23"/>
      <c r="AD27" s="67" t="s">
        <v>250</v>
      </c>
    </row>
    <row r="28" spans="1:31" ht="30" customHeight="1">
      <c r="A28" s="347" t="s">
        <v>56</v>
      </c>
      <c r="B28" s="347" t="s">
        <v>254</v>
      </c>
      <c r="C28" s="347"/>
      <c r="D28" s="347"/>
      <c r="E28" s="347"/>
      <c r="F28" s="347"/>
      <c r="G28" s="382" t="s">
        <v>60</v>
      </c>
      <c r="H28" s="383"/>
      <c r="I28" s="383"/>
      <c r="J28" s="384"/>
      <c r="K28" s="382" t="s">
        <v>97</v>
      </c>
      <c r="L28" s="383"/>
      <c r="M28" s="383"/>
      <c r="N28" s="384"/>
      <c r="O28" s="382" t="s">
        <v>307</v>
      </c>
      <c r="P28" s="383"/>
      <c r="Q28" s="383"/>
      <c r="R28" s="384"/>
      <c r="S28" s="382" t="s">
        <v>140</v>
      </c>
      <c r="T28" s="383"/>
      <c r="U28" s="383"/>
      <c r="V28" s="384"/>
      <c r="W28" s="382" t="s">
        <v>61</v>
      </c>
      <c r="X28" s="383"/>
      <c r="Y28" s="383"/>
      <c r="Z28" s="384"/>
    </row>
    <row r="29" spans="1:31" ht="30" customHeight="1">
      <c r="A29" s="347"/>
      <c r="B29" s="347"/>
      <c r="C29" s="347"/>
      <c r="D29" s="347"/>
      <c r="E29" s="347"/>
      <c r="F29" s="347"/>
      <c r="G29" s="382" t="s">
        <v>106</v>
      </c>
      <c r="H29" s="383"/>
      <c r="I29" s="383"/>
      <c r="J29" s="384"/>
      <c r="K29" s="382" t="s">
        <v>106</v>
      </c>
      <c r="L29" s="383"/>
      <c r="M29" s="383"/>
      <c r="N29" s="384"/>
      <c r="O29" s="382" t="s">
        <v>106</v>
      </c>
      <c r="P29" s="383"/>
      <c r="Q29" s="383"/>
      <c r="R29" s="384"/>
      <c r="S29" s="382" t="s">
        <v>106</v>
      </c>
      <c r="T29" s="383"/>
      <c r="U29" s="383"/>
      <c r="V29" s="384"/>
      <c r="W29" s="382" t="s">
        <v>106</v>
      </c>
      <c r="X29" s="383"/>
      <c r="Y29" s="383"/>
      <c r="Z29" s="384"/>
    </row>
    <row r="30" spans="1:31" ht="39.950000000000003" customHeight="1">
      <c r="A30" s="347"/>
      <c r="B30" s="347"/>
      <c r="C30" s="347"/>
      <c r="D30" s="347"/>
      <c r="E30" s="347"/>
      <c r="F30" s="347"/>
      <c r="G30" s="7" t="s">
        <v>381</v>
      </c>
      <c r="H30" s="7" t="s">
        <v>372</v>
      </c>
      <c r="I30" s="7" t="s">
        <v>373</v>
      </c>
      <c r="J30" s="7" t="s">
        <v>87</v>
      </c>
      <c r="K30" s="7" t="s">
        <v>381</v>
      </c>
      <c r="L30" s="7" t="s">
        <v>372</v>
      </c>
      <c r="M30" s="7" t="s">
        <v>373</v>
      </c>
      <c r="N30" s="7" t="s">
        <v>87</v>
      </c>
      <c r="O30" s="7" t="s">
        <v>381</v>
      </c>
      <c r="P30" s="7" t="s">
        <v>372</v>
      </c>
      <c r="Q30" s="7" t="s">
        <v>373</v>
      </c>
      <c r="R30" s="7" t="s">
        <v>87</v>
      </c>
      <c r="S30" s="7" t="s">
        <v>381</v>
      </c>
      <c r="T30" s="7" t="s">
        <v>372</v>
      </c>
      <c r="U30" s="7" t="s">
        <v>373</v>
      </c>
      <c r="V30" s="7" t="s">
        <v>87</v>
      </c>
      <c r="W30" s="7" t="s">
        <v>381</v>
      </c>
      <c r="X30" s="7" t="s">
        <v>372</v>
      </c>
      <c r="Y30" s="7" t="s">
        <v>373</v>
      </c>
      <c r="Z30" s="7" t="s">
        <v>87</v>
      </c>
    </row>
    <row r="31" spans="1:31" ht="18" customHeight="1">
      <c r="A31" s="7">
        <v>1</v>
      </c>
      <c r="B31" s="347">
        <v>2</v>
      </c>
      <c r="C31" s="347"/>
      <c r="D31" s="347"/>
      <c r="E31" s="347"/>
      <c r="F31" s="347"/>
      <c r="G31" s="7">
        <v>3</v>
      </c>
      <c r="H31" s="94">
        <v>4</v>
      </c>
      <c r="I31" s="94">
        <v>5</v>
      </c>
      <c r="J31" s="95">
        <v>6</v>
      </c>
      <c r="K31" s="95">
        <v>7</v>
      </c>
      <c r="L31" s="95">
        <v>8</v>
      </c>
      <c r="M31" s="96">
        <v>9</v>
      </c>
      <c r="N31" s="7">
        <v>10</v>
      </c>
      <c r="O31" s="94">
        <v>11</v>
      </c>
      <c r="P31" s="95">
        <v>12</v>
      </c>
      <c r="Q31" s="95">
        <v>13</v>
      </c>
      <c r="R31" s="96">
        <v>14</v>
      </c>
      <c r="S31" s="7">
        <v>15</v>
      </c>
      <c r="T31" s="94">
        <v>16</v>
      </c>
      <c r="U31" s="95">
        <v>17</v>
      </c>
      <c r="V31" s="95">
        <v>18</v>
      </c>
      <c r="W31" s="95">
        <v>19</v>
      </c>
      <c r="X31" s="96">
        <v>20</v>
      </c>
      <c r="Y31" s="7">
        <v>21</v>
      </c>
      <c r="Z31" s="6">
        <v>22</v>
      </c>
    </row>
    <row r="32" spans="1:31" ht="20.100000000000001" customHeight="1">
      <c r="A32" s="85"/>
      <c r="B32" s="415" t="s">
        <v>460</v>
      </c>
      <c r="C32" s="415"/>
      <c r="D32" s="415"/>
      <c r="E32" s="415"/>
      <c r="F32" s="415"/>
      <c r="G32" s="109"/>
      <c r="H32" s="109"/>
      <c r="I32" s="109"/>
      <c r="J32" s="109"/>
      <c r="K32" s="188">
        <f>'IV. Кап. інвестиції'!F8</f>
        <v>22388</v>
      </c>
      <c r="L32" s="188">
        <f>'IV. Кап. інвестиції'!G8</f>
        <v>22388</v>
      </c>
      <c r="M32" s="188">
        <f>'IV. Кап. інвестиції'!H8</f>
        <v>22388</v>
      </c>
      <c r="N32" s="188">
        <f>'IV. Кап. інвестиції'!I8</f>
        <v>22388</v>
      </c>
      <c r="O32" s="109"/>
      <c r="P32" s="109"/>
      <c r="Q32" s="109"/>
      <c r="R32" s="109"/>
      <c r="S32" s="109"/>
      <c r="T32" s="109"/>
      <c r="U32" s="109"/>
      <c r="V32" s="109"/>
      <c r="W32" s="93">
        <f t="shared" ref="W32:Z35" si="0">SUM(G32,K32,O32,S32)</f>
        <v>22388</v>
      </c>
      <c r="X32" s="93">
        <f t="shared" si="0"/>
        <v>22388</v>
      </c>
      <c r="Y32" s="93">
        <f t="shared" si="0"/>
        <v>22388</v>
      </c>
      <c r="Z32" s="93">
        <f t="shared" si="0"/>
        <v>22388</v>
      </c>
    </row>
    <row r="33" spans="1:31" ht="20.100000000000001" customHeight="1">
      <c r="A33" s="85"/>
      <c r="B33" s="415"/>
      <c r="C33" s="415"/>
      <c r="D33" s="415"/>
      <c r="E33" s="415"/>
      <c r="F33" s="415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93">
        <f t="shared" si="0"/>
        <v>0</v>
      </c>
      <c r="X33" s="93">
        <f t="shared" si="0"/>
        <v>0</v>
      </c>
      <c r="Y33" s="93">
        <f t="shared" si="0"/>
        <v>0</v>
      </c>
      <c r="Z33" s="93">
        <f t="shared" si="0"/>
        <v>0</v>
      </c>
    </row>
    <row r="34" spans="1:31" ht="20.100000000000001" customHeight="1">
      <c r="A34" s="85"/>
      <c r="B34" s="415"/>
      <c r="C34" s="415"/>
      <c r="D34" s="415"/>
      <c r="E34" s="415"/>
      <c r="F34" s="415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93">
        <f t="shared" si="0"/>
        <v>0</v>
      </c>
      <c r="X34" s="93">
        <f t="shared" si="0"/>
        <v>0</v>
      </c>
      <c r="Y34" s="93">
        <f t="shared" si="0"/>
        <v>0</v>
      </c>
      <c r="Z34" s="93">
        <f t="shared" si="0"/>
        <v>0</v>
      </c>
    </row>
    <row r="35" spans="1:31" ht="20.100000000000001" customHeight="1">
      <c r="A35" s="85"/>
      <c r="B35" s="415"/>
      <c r="C35" s="415"/>
      <c r="D35" s="415"/>
      <c r="E35" s="415"/>
      <c r="F35" s="415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93">
        <f t="shared" si="0"/>
        <v>0</v>
      </c>
      <c r="X35" s="93">
        <f t="shared" si="0"/>
        <v>0</v>
      </c>
      <c r="Y35" s="93">
        <f t="shared" si="0"/>
        <v>0</v>
      </c>
      <c r="Z35" s="93">
        <f t="shared" si="0"/>
        <v>0</v>
      </c>
    </row>
    <row r="36" spans="1:31" ht="20.100000000000001" customHeight="1">
      <c r="A36" s="425" t="s">
        <v>61</v>
      </c>
      <c r="B36" s="426"/>
      <c r="C36" s="426"/>
      <c r="D36" s="426"/>
      <c r="E36" s="426"/>
      <c r="F36" s="427"/>
      <c r="G36" s="93">
        <f t="shared" ref="G36:Z36" si="1">SUM(G32:G35)</f>
        <v>0</v>
      </c>
      <c r="H36" s="93">
        <f t="shared" si="1"/>
        <v>0</v>
      </c>
      <c r="I36" s="93">
        <f t="shared" si="1"/>
        <v>0</v>
      </c>
      <c r="J36" s="93">
        <f t="shared" si="1"/>
        <v>0</v>
      </c>
      <c r="K36" s="93">
        <f t="shared" si="1"/>
        <v>22388</v>
      </c>
      <c r="L36" s="93">
        <f t="shared" si="1"/>
        <v>22388</v>
      </c>
      <c r="M36" s="93">
        <f t="shared" si="1"/>
        <v>22388</v>
      </c>
      <c r="N36" s="93">
        <f t="shared" si="1"/>
        <v>22388</v>
      </c>
      <c r="O36" s="93">
        <f t="shared" si="1"/>
        <v>0</v>
      </c>
      <c r="P36" s="93">
        <f t="shared" si="1"/>
        <v>0</v>
      </c>
      <c r="Q36" s="93">
        <f t="shared" si="1"/>
        <v>0</v>
      </c>
      <c r="R36" s="93">
        <f t="shared" si="1"/>
        <v>0</v>
      </c>
      <c r="S36" s="93">
        <f t="shared" si="1"/>
        <v>0</v>
      </c>
      <c r="T36" s="93">
        <f t="shared" si="1"/>
        <v>0</v>
      </c>
      <c r="U36" s="93">
        <f t="shared" si="1"/>
        <v>0</v>
      </c>
      <c r="V36" s="93">
        <f t="shared" si="1"/>
        <v>0</v>
      </c>
      <c r="W36" s="93">
        <f t="shared" si="1"/>
        <v>22388</v>
      </c>
      <c r="X36" s="93">
        <f t="shared" si="1"/>
        <v>22388</v>
      </c>
      <c r="Y36" s="93">
        <f t="shared" si="1"/>
        <v>22388</v>
      </c>
      <c r="Z36" s="93">
        <f t="shared" si="1"/>
        <v>22388</v>
      </c>
    </row>
    <row r="37" spans="1:31" ht="20.100000000000001" customHeight="1">
      <c r="A37" s="421" t="s">
        <v>62</v>
      </c>
      <c r="B37" s="422"/>
      <c r="C37" s="422"/>
      <c r="D37" s="422"/>
      <c r="E37" s="422"/>
      <c r="F37" s="423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</row>
    <row r="38" spans="1:31" ht="20.100000000000001" customHeight="1">
      <c r="A38" s="51"/>
      <c r="B38" s="51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51"/>
      <c r="T38" s="51"/>
      <c r="U38" s="51"/>
      <c r="V38" s="51"/>
      <c r="W38" s="84"/>
      <c r="X38" s="51"/>
      <c r="Y38" s="51"/>
      <c r="Z38" s="51"/>
      <c r="AA38" s="51"/>
    </row>
    <row r="39" spans="1:31" ht="20.100000000000001" customHeight="1">
      <c r="A39" s="13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  <row r="40" spans="1:31" s="38" customFormat="1" ht="20.100000000000001" customHeight="1">
      <c r="B40" s="38" t="s">
        <v>255</v>
      </c>
    </row>
    <row r="41" spans="1:31" s="68" customFormat="1" ht="20.100000000000001" customHeight="1">
      <c r="A41" s="1"/>
      <c r="B41" s="1"/>
      <c r="C41" s="1"/>
      <c r="D41" s="1"/>
      <c r="E41" s="1"/>
      <c r="F41" s="1"/>
      <c r="G41" s="1"/>
      <c r="H41" s="1"/>
      <c r="I41" s="1"/>
      <c r="K41" s="1"/>
      <c r="AD41" s="67" t="s">
        <v>250</v>
      </c>
    </row>
    <row r="42" spans="1:31" s="69" customFormat="1" ht="34.5" customHeight="1">
      <c r="A42" s="344" t="s">
        <v>223</v>
      </c>
      <c r="B42" s="347" t="s">
        <v>306</v>
      </c>
      <c r="C42" s="347" t="s">
        <v>337</v>
      </c>
      <c r="D42" s="347"/>
      <c r="E42" s="347" t="s">
        <v>224</v>
      </c>
      <c r="F42" s="347"/>
      <c r="G42" s="347" t="s">
        <v>225</v>
      </c>
      <c r="H42" s="347"/>
      <c r="I42" s="347" t="s">
        <v>298</v>
      </c>
      <c r="J42" s="347"/>
      <c r="K42" s="347" t="s">
        <v>148</v>
      </c>
      <c r="L42" s="347"/>
      <c r="M42" s="347"/>
      <c r="N42" s="347"/>
      <c r="O42" s="347"/>
      <c r="P42" s="347"/>
      <c r="Q42" s="347"/>
      <c r="R42" s="347"/>
      <c r="S42" s="347"/>
      <c r="T42" s="347"/>
      <c r="U42" s="347" t="s">
        <v>338</v>
      </c>
      <c r="V42" s="347"/>
      <c r="W42" s="347"/>
      <c r="X42" s="347"/>
      <c r="Y42" s="347"/>
      <c r="Z42" s="347" t="s">
        <v>302</v>
      </c>
      <c r="AA42" s="347"/>
      <c r="AB42" s="347"/>
      <c r="AC42" s="347"/>
      <c r="AD42" s="347"/>
      <c r="AE42" s="347"/>
    </row>
    <row r="43" spans="1:31" s="69" customFormat="1" ht="52.5" customHeight="1">
      <c r="A43" s="344"/>
      <c r="B43" s="347"/>
      <c r="C43" s="347"/>
      <c r="D43" s="347"/>
      <c r="E43" s="347"/>
      <c r="F43" s="347"/>
      <c r="G43" s="347"/>
      <c r="H43" s="347"/>
      <c r="I43" s="347"/>
      <c r="J43" s="347"/>
      <c r="K43" s="347" t="s">
        <v>350</v>
      </c>
      <c r="L43" s="347"/>
      <c r="M43" s="347" t="s">
        <v>351</v>
      </c>
      <c r="N43" s="347"/>
      <c r="O43" s="347" t="s">
        <v>336</v>
      </c>
      <c r="P43" s="347"/>
      <c r="Q43" s="347"/>
      <c r="R43" s="347"/>
      <c r="S43" s="347"/>
      <c r="T43" s="347"/>
      <c r="U43" s="347"/>
      <c r="V43" s="347"/>
      <c r="W43" s="347"/>
      <c r="X43" s="347"/>
      <c r="Y43" s="347"/>
      <c r="Z43" s="347"/>
      <c r="AA43" s="347"/>
      <c r="AB43" s="347"/>
      <c r="AC43" s="347"/>
      <c r="AD43" s="347"/>
      <c r="AE43" s="347"/>
    </row>
    <row r="44" spans="1:31" s="70" customFormat="1" ht="82.5" customHeight="1">
      <c r="A44" s="344"/>
      <c r="B44" s="347"/>
      <c r="C44" s="347"/>
      <c r="D44" s="347"/>
      <c r="E44" s="347"/>
      <c r="F44" s="347"/>
      <c r="G44" s="347"/>
      <c r="H44" s="347"/>
      <c r="I44" s="347"/>
      <c r="J44" s="347"/>
      <c r="K44" s="347"/>
      <c r="L44" s="347"/>
      <c r="M44" s="347"/>
      <c r="N44" s="347"/>
      <c r="O44" s="347" t="s">
        <v>299</v>
      </c>
      <c r="P44" s="347"/>
      <c r="Q44" s="347" t="s">
        <v>300</v>
      </c>
      <c r="R44" s="347"/>
      <c r="S44" s="347" t="s">
        <v>301</v>
      </c>
      <c r="T44" s="347"/>
      <c r="U44" s="347"/>
      <c r="V44" s="347"/>
      <c r="W44" s="347"/>
      <c r="X44" s="347"/>
      <c r="Y44" s="347"/>
      <c r="Z44" s="347"/>
      <c r="AA44" s="347"/>
      <c r="AB44" s="347"/>
      <c r="AC44" s="347"/>
      <c r="AD44" s="347"/>
      <c r="AE44" s="347"/>
    </row>
    <row r="45" spans="1:31" s="69" customFormat="1" ht="18" customHeight="1">
      <c r="A45" s="6">
        <v>1</v>
      </c>
      <c r="B45" s="7">
        <v>2</v>
      </c>
      <c r="C45" s="347">
        <v>3</v>
      </c>
      <c r="D45" s="347"/>
      <c r="E45" s="347">
        <v>4</v>
      </c>
      <c r="F45" s="347"/>
      <c r="G45" s="347">
        <v>5</v>
      </c>
      <c r="H45" s="347"/>
      <c r="I45" s="347">
        <v>6</v>
      </c>
      <c r="J45" s="347"/>
      <c r="K45" s="382">
        <v>7</v>
      </c>
      <c r="L45" s="384"/>
      <c r="M45" s="382">
        <v>8</v>
      </c>
      <c r="N45" s="384"/>
      <c r="O45" s="347">
        <v>9</v>
      </c>
      <c r="P45" s="347"/>
      <c r="Q45" s="344">
        <v>10</v>
      </c>
      <c r="R45" s="344"/>
      <c r="S45" s="347">
        <v>11</v>
      </c>
      <c r="T45" s="347"/>
      <c r="U45" s="347">
        <v>12</v>
      </c>
      <c r="V45" s="347"/>
      <c r="W45" s="347"/>
      <c r="X45" s="347"/>
      <c r="Y45" s="347"/>
      <c r="Z45" s="347">
        <v>13</v>
      </c>
      <c r="AA45" s="347"/>
      <c r="AB45" s="347"/>
      <c r="AC45" s="347"/>
      <c r="AD45" s="347"/>
      <c r="AE45" s="347"/>
    </row>
    <row r="46" spans="1:31" s="69" customFormat="1" ht="20.100000000000001" customHeight="1">
      <c r="A46" s="219"/>
      <c r="B46" s="220"/>
      <c r="C46" s="424"/>
      <c r="D46" s="424"/>
      <c r="E46" s="386"/>
      <c r="F46" s="386"/>
      <c r="G46" s="386"/>
      <c r="H46" s="386"/>
      <c r="I46" s="386"/>
      <c r="J46" s="386"/>
      <c r="K46" s="388"/>
      <c r="L46" s="389"/>
      <c r="M46" s="395">
        <f t="shared" ref="M46:M52" si="2">SUM(O46,Q46,S46)</f>
        <v>0</v>
      </c>
      <c r="N46" s="396"/>
      <c r="O46" s="386"/>
      <c r="P46" s="386"/>
      <c r="Q46" s="386"/>
      <c r="R46" s="386"/>
      <c r="S46" s="386"/>
      <c r="T46" s="386"/>
      <c r="U46" s="369"/>
      <c r="V46" s="369"/>
      <c r="W46" s="369"/>
      <c r="X46" s="369"/>
      <c r="Y46" s="369"/>
      <c r="Z46" s="415"/>
      <c r="AA46" s="415"/>
      <c r="AB46" s="415"/>
      <c r="AC46" s="415"/>
      <c r="AD46" s="415"/>
      <c r="AE46" s="415"/>
    </row>
    <row r="47" spans="1:31" s="69" customFormat="1" ht="20.100000000000001" customHeight="1">
      <c r="A47" s="219"/>
      <c r="B47" s="220"/>
      <c r="C47" s="424"/>
      <c r="D47" s="424"/>
      <c r="E47" s="386"/>
      <c r="F47" s="386"/>
      <c r="G47" s="386"/>
      <c r="H47" s="386"/>
      <c r="I47" s="386"/>
      <c r="J47" s="386"/>
      <c r="K47" s="388"/>
      <c r="L47" s="389"/>
      <c r="M47" s="395">
        <f t="shared" si="2"/>
        <v>0</v>
      </c>
      <c r="N47" s="396"/>
      <c r="O47" s="386"/>
      <c r="P47" s="386"/>
      <c r="Q47" s="386"/>
      <c r="R47" s="386"/>
      <c r="S47" s="386"/>
      <c r="T47" s="386"/>
      <c r="U47" s="369"/>
      <c r="V47" s="369"/>
      <c r="W47" s="369"/>
      <c r="X47" s="369"/>
      <c r="Y47" s="369"/>
      <c r="Z47" s="415"/>
      <c r="AA47" s="415"/>
      <c r="AB47" s="415"/>
      <c r="AC47" s="415"/>
      <c r="AD47" s="415"/>
      <c r="AE47" s="415"/>
    </row>
    <row r="48" spans="1:31" s="69" customFormat="1" ht="20.100000000000001" customHeight="1">
      <c r="A48" s="219"/>
      <c r="B48" s="220"/>
      <c r="C48" s="424"/>
      <c r="D48" s="424"/>
      <c r="E48" s="386"/>
      <c r="F48" s="386"/>
      <c r="G48" s="386"/>
      <c r="H48" s="386"/>
      <c r="I48" s="386"/>
      <c r="J48" s="386"/>
      <c r="K48" s="388"/>
      <c r="L48" s="389"/>
      <c r="M48" s="395">
        <f t="shared" si="2"/>
        <v>0</v>
      </c>
      <c r="N48" s="396"/>
      <c r="O48" s="386"/>
      <c r="P48" s="386"/>
      <c r="Q48" s="386"/>
      <c r="R48" s="386"/>
      <c r="S48" s="386"/>
      <c r="T48" s="386"/>
      <c r="U48" s="369"/>
      <c r="V48" s="369"/>
      <c r="W48" s="369"/>
      <c r="X48" s="369"/>
      <c r="Y48" s="369"/>
      <c r="Z48" s="415"/>
      <c r="AA48" s="415"/>
      <c r="AB48" s="415"/>
      <c r="AC48" s="415"/>
      <c r="AD48" s="415"/>
      <c r="AE48" s="415"/>
    </row>
    <row r="49" spans="1:31" s="69" customFormat="1" ht="20.100000000000001" customHeight="1">
      <c r="A49" s="219"/>
      <c r="B49" s="220"/>
      <c r="C49" s="424"/>
      <c r="D49" s="424"/>
      <c r="E49" s="386"/>
      <c r="F49" s="386"/>
      <c r="G49" s="386"/>
      <c r="H49" s="386"/>
      <c r="I49" s="386"/>
      <c r="J49" s="386"/>
      <c r="K49" s="388"/>
      <c r="L49" s="389"/>
      <c r="M49" s="395">
        <f>SUM(O49,Q49,S49)</f>
        <v>0</v>
      </c>
      <c r="N49" s="396"/>
      <c r="O49" s="386"/>
      <c r="P49" s="386"/>
      <c r="Q49" s="386"/>
      <c r="R49" s="386"/>
      <c r="S49" s="386"/>
      <c r="T49" s="386"/>
      <c r="U49" s="369"/>
      <c r="V49" s="369"/>
      <c r="W49" s="369"/>
      <c r="X49" s="369"/>
      <c r="Y49" s="369"/>
      <c r="Z49" s="415"/>
      <c r="AA49" s="415"/>
      <c r="AB49" s="415"/>
      <c r="AC49" s="415"/>
      <c r="AD49" s="415"/>
      <c r="AE49" s="415"/>
    </row>
    <row r="50" spans="1:31" s="69" customFormat="1" ht="20.100000000000001" customHeight="1">
      <c r="A50" s="219"/>
      <c r="B50" s="220"/>
      <c r="C50" s="424"/>
      <c r="D50" s="424"/>
      <c r="E50" s="386"/>
      <c r="F50" s="386"/>
      <c r="G50" s="386"/>
      <c r="H50" s="386"/>
      <c r="I50" s="386"/>
      <c r="J50" s="386"/>
      <c r="K50" s="388"/>
      <c r="L50" s="389"/>
      <c r="M50" s="395">
        <f t="shared" si="2"/>
        <v>0</v>
      </c>
      <c r="N50" s="396"/>
      <c r="O50" s="386"/>
      <c r="P50" s="386"/>
      <c r="Q50" s="386"/>
      <c r="R50" s="386"/>
      <c r="S50" s="386"/>
      <c r="T50" s="386"/>
      <c r="U50" s="369"/>
      <c r="V50" s="369"/>
      <c r="W50" s="369"/>
      <c r="X50" s="369"/>
      <c r="Y50" s="369"/>
      <c r="Z50" s="415"/>
      <c r="AA50" s="415"/>
      <c r="AB50" s="415"/>
      <c r="AC50" s="415"/>
      <c r="AD50" s="415"/>
      <c r="AE50" s="415"/>
    </row>
    <row r="51" spans="1:31" s="69" customFormat="1" ht="20.100000000000001" customHeight="1">
      <c r="A51" s="219"/>
      <c r="B51" s="220"/>
      <c r="C51" s="424"/>
      <c r="D51" s="424"/>
      <c r="E51" s="386"/>
      <c r="F51" s="386"/>
      <c r="G51" s="386"/>
      <c r="H51" s="386"/>
      <c r="I51" s="386"/>
      <c r="J51" s="386"/>
      <c r="K51" s="388"/>
      <c r="L51" s="389"/>
      <c r="M51" s="395">
        <f t="shared" si="2"/>
        <v>0</v>
      </c>
      <c r="N51" s="396"/>
      <c r="O51" s="386"/>
      <c r="P51" s="386"/>
      <c r="Q51" s="386"/>
      <c r="R51" s="386"/>
      <c r="S51" s="386"/>
      <c r="T51" s="386"/>
      <c r="U51" s="369"/>
      <c r="V51" s="369"/>
      <c r="W51" s="369"/>
      <c r="X51" s="369"/>
      <c r="Y51" s="369"/>
      <c r="Z51" s="415"/>
      <c r="AA51" s="415"/>
      <c r="AB51" s="415"/>
      <c r="AC51" s="415"/>
      <c r="AD51" s="415"/>
      <c r="AE51" s="415"/>
    </row>
    <row r="52" spans="1:31" s="69" customFormat="1" ht="20.100000000000001" customHeight="1">
      <c r="A52" s="219"/>
      <c r="B52" s="220"/>
      <c r="C52" s="424"/>
      <c r="D52" s="424"/>
      <c r="E52" s="386"/>
      <c r="F52" s="386"/>
      <c r="G52" s="386"/>
      <c r="H52" s="386"/>
      <c r="I52" s="386"/>
      <c r="J52" s="386"/>
      <c r="K52" s="388"/>
      <c r="L52" s="389"/>
      <c r="M52" s="395">
        <f t="shared" si="2"/>
        <v>0</v>
      </c>
      <c r="N52" s="396"/>
      <c r="O52" s="386"/>
      <c r="P52" s="386"/>
      <c r="Q52" s="386"/>
      <c r="R52" s="386"/>
      <c r="S52" s="386"/>
      <c r="T52" s="386"/>
      <c r="U52" s="369"/>
      <c r="V52" s="369"/>
      <c r="W52" s="369"/>
      <c r="X52" s="369"/>
      <c r="Y52" s="369"/>
      <c r="Z52" s="415"/>
      <c r="AA52" s="415"/>
      <c r="AB52" s="415"/>
      <c r="AC52" s="415"/>
      <c r="AD52" s="415"/>
      <c r="AE52" s="415"/>
    </row>
    <row r="53" spans="1:31" s="69" customFormat="1" ht="20.100000000000001" customHeight="1">
      <c r="A53" s="421" t="s">
        <v>61</v>
      </c>
      <c r="B53" s="422"/>
      <c r="C53" s="422"/>
      <c r="D53" s="423"/>
      <c r="E53" s="414">
        <f>SUM(E46:F52)</f>
        <v>0</v>
      </c>
      <c r="F53" s="414"/>
      <c r="G53" s="414">
        <f>SUM(G46:H52)</f>
        <v>0</v>
      </c>
      <c r="H53" s="414"/>
      <c r="I53" s="414">
        <f>SUM(I46:J52)</f>
        <v>0</v>
      </c>
      <c r="J53" s="414"/>
      <c r="K53" s="414">
        <f>SUM(K46:L52)</f>
        <v>0</v>
      </c>
      <c r="L53" s="414"/>
      <c r="M53" s="414">
        <f>SUM(M46:N52)</f>
        <v>0</v>
      </c>
      <c r="N53" s="414"/>
      <c r="O53" s="414">
        <f>SUM(O46:P52)</f>
        <v>0</v>
      </c>
      <c r="P53" s="414"/>
      <c r="Q53" s="414">
        <f>SUM(Q46:R52)</f>
        <v>0</v>
      </c>
      <c r="R53" s="414"/>
      <c r="S53" s="414">
        <f>SUM(S46:T52)</f>
        <v>0</v>
      </c>
      <c r="T53" s="414"/>
      <c r="U53" s="413"/>
      <c r="V53" s="413"/>
      <c r="W53" s="413"/>
      <c r="X53" s="413"/>
      <c r="Y53" s="413"/>
      <c r="Z53" s="416"/>
      <c r="AA53" s="416"/>
      <c r="AB53" s="416"/>
      <c r="AC53" s="416"/>
      <c r="AD53" s="416"/>
      <c r="AE53" s="416"/>
    </row>
    <row r="54" spans="1:31" ht="20.100000000000001" customHeight="1">
      <c r="A54" s="13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</row>
    <row r="55" spans="1:31" ht="20.100000000000001" customHeight="1">
      <c r="A55" s="13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</row>
    <row r="56" spans="1:31" s="4" customFormat="1" ht="20.100000000000001" customHeight="1">
      <c r="C56" s="38"/>
      <c r="D56" s="38"/>
      <c r="E56" s="38"/>
      <c r="F56" s="38"/>
      <c r="G56" s="38"/>
      <c r="H56" s="38"/>
      <c r="I56" s="38"/>
      <c r="J56" s="38"/>
      <c r="K56" s="38"/>
    </row>
    <row r="57" spans="1:31" s="32" customFormat="1" ht="20.100000000000001" customHeight="1">
      <c r="B57" s="376" t="s">
        <v>260</v>
      </c>
      <c r="C57" s="417"/>
      <c r="D57" s="417"/>
      <c r="E57" s="417"/>
      <c r="F57" s="417"/>
      <c r="G57" s="65"/>
      <c r="H57" s="65"/>
      <c r="I57" s="65"/>
      <c r="J57" s="65"/>
      <c r="K57" s="65"/>
      <c r="L57" s="418" t="s">
        <v>261</v>
      </c>
      <c r="M57" s="418"/>
      <c r="N57" s="418"/>
      <c r="O57" s="418"/>
      <c r="P57" s="418"/>
      <c r="Q57" s="66"/>
      <c r="R57" s="66"/>
      <c r="S57" s="66"/>
      <c r="T57" s="66"/>
      <c r="U57" s="66"/>
      <c r="V57" s="419" t="s">
        <v>262</v>
      </c>
      <c r="W57" s="420"/>
      <c r="X57" s="420"/>
      <c r="Y57" s="420"/>
      <c r="Z57" s="420"/>
    </row>
    <row r="58" spans="1:31" s="4" customFormat="1" ht="19.5" customHeight="1">
      <c r="B58" s="3"/>
      <c r="C58" s="4" t="s">
        <v>84</v>
      </c>
      <c r="E58" s="41"/>
      <c r="F58" s="41"/>
      <c r="G58" s="41"/>
      <c r="H58" s="41"/>
      <c r="I58" s="41"/>
      <c r="J58" s="41"/>
      <c r="K58" s="41"/>
      <c r="M58" s="3"/>
      <c r="N58" s="22" t="s">
        <v>85</v>
      </c>
      <c r="O58" s="3"/>
      <c r="Q58" s="41"/>
      <c r="R58" s="41"/>
      <c r="S58" s="41"/>
      <c r="V58" s="412" t="s">
        <v>141</v>
      </c>
      <c r="W58" s="412"/>
      <c r="X58" s="412"/>
      <c r="Y58" s="412"/>
      <c r="Z58" s="412"/>
    </row>
    <row r="59" spans="1:31" ht="20.100000000000001" customHeight="1">
      <c r="B59" s="34"/>
      <c r="C59" s="34"/>
      <c r="D59" s="34"/>
      <c r="E59" s="34"/>
      <c r="F59" s="34"/>
      <c r="G59" s="34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34"/>
      <c r="U59" s="34"/>
    </row>
    <row r="60" spans="1:31" ht="20.100000000000001" customHeight="1"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</row>
    <row r="61" spans="1:31"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</row>
    <row r="62" spans="1:31">
      <c r="B62" s="35"/>
    </row>
    <row r="65" spans="2:2" ht="19.5">
      <c r="B65" s="36"/>
    </row>
    <row r="66" spans="2:2" ht="19.5">
      <c r="B66" s="36"/>
    </row>
    <row r="67" spans="2:2" ht="19.5">
      <c r="B67" s="36"/>
    </row>
    <row r="68" spans="2:2" ht="19.5">
      <c r="B68" s="36"/>
    </row>
    <row r="69" spans="2:2" ht="19.5">
      <c r="B69" s="36"/>
    </row>
    <row r="70" spans="2:2" ht="19.5">
      <c r="B70" s="36"/>
    </row>
    <row r="71" spans="2:2" ht="19.5">
      <c r="B71" s="36"/>
    </row>
  </sheetData>
  <sheetProtection password="C6FB" sheet="1"/>
  <mergeCells count="254">
    <mergeCell ref="C49:D49"/>
    <mergeCell ref="E49:F49"/>
    <mergeCell ref="E47:F47"/>
    <mergeCell ref="C45:D45"/>
    <mergeCell ref="E45:F45"/>
    <mergeCell ref="I49:J49"/>
    <mergeCell ref="G47:H47"/>
    <mergeCell ref="C46:D46"/>
    <mergeCell ref="E46:F46"/>
    <mergeCell ref="C48:D48"/>
    <mergeCell ref="E48:F48"/>
    <mergeCell ref="G52:H52"/>
    <mergeCell ref="K52:L52"/>
    <mergeCell ref="I48:J48"/>
    <mergeCell ref="O53:P53"/>
    <mergeCell ref="I53:J53"/>
    <mergeCell ref="O52:P52"/>
    <mergeCell ref="Q50:R50"/>
    <mergeCell ref="Q53:R53"/>
    <mergeCell ref="Z49:AE49"/>
    <mergeCell ref="U49:Y49"/>
    <mergeCell ref="I51:J51"/>
    <mergeCell ref="K49:L49"/>
    <mergeCell ref="Z51:AE51"/>
    <mergeCell ref="O50:P50"/>
    <mergeCell ref="Q49:R49"/>
    <mergeCell ref="M48:N48"/>
    <mergeCell ref="S49:T49"/>
    <mergeCell ref="Q48:R48"/>
    <mergeCell ref="G49:H49"/>
    <mergeCell ref="G48:H48"/>
    <mergeCell ref="S51:T51"/>
    <mergeCell ref="U51:Y51"/>
    <mergeCell ref="Z50:AE50"/>
    <mergeCell ref="Z48:AE48"/>
    <mergeCell ref="C51:D51"/>
    <mergeCell ref="G51:H51"/>
    <mergeCell ref="K51:L51"/>
    <mergeCell ref="K50:L50"/>
    <mergeCell ref="M51:N51"/>
    <mergeCell ref="O51:P51"/>
    <mergeCell ref="Q51:R51"/>
    <mergeCell ref="C42:D44"/>
    <mergeCell ref="C50:D50"/>
    <mergeCell ref="M50:N50"/>
    <mergeCell ref="E50:F50"/>
    <mergeCell ref="G50:H50"/>
    <mergeCell ref="I50:J50"/>
    <mergeCell ref="Q44:R44"/>
    <mergeCell ref="E42:F44"/>
    <mergeCell ref="K45:L45"/>
    <mergeCell ref="M49:N49"/>
    <mergeCell ref="O49:P49"/>
    <mergeCell ref="G46:H46"/>
    <mergeCell ref="I46:J46"/>
    <mergeCell ref="I45:J45"/>
    <mergeCell ref="K48:L48"/>
    <mergeCell ref="Q46:R46"/>
    <mergeCell ref="O46:P46"/>
    <mergeCell ref="C18:F18"/>
    <mergeCell ref="C20:F20"/>
    <mergeCell ref="G18:P18"/>
    <mergeCell ref="G19:P19"/>
    <mergeCell ref="V19:W19"/>
    <mergeCell ref="Q8:S8"/>
    <mergeCell ref="T10:V10"/>
    <mergeCell ref="M11:P11"/>
    <mergeCell ref="Q11:S11"/>
    <mergeCell ref="V16:W17"/>
    <mergeCell ref="C9:F9"/>
    <mergeCell ref="C8:F8"/>
    <mergeCell ref="G8:L8"/>
    <mergeCell ref="T11:V11"/>
    <mergeCell ref="AC6:AE6"/>
    <mergeCell ref="W6:Y6"/>
    <mergeCell ref="AD17:AE17"/>
    <mergeCell ref="W11:Y11"/>
    <mergeCell ref="M8:P8"/>
    <mergeCell ref="AC10:AE10"/>
    <mergeCell ref="W8:Y8"/>
    <mergeCell ref="T8:V8"/>
    <mergeCell ref="AC9:AE9"/>
    <mergeCell ref="Q15:U17"/>
    <mergeCell ref="X16:AE16"/>
    <mergeCell ref="X17:Y17"/>
    <mergeCell ref="M10:P10"/>
    <mergeCell ref="Q10:S10"/>
    <mergeCell ref="AC8:AE8"/>
    <mergeCell ref="Z8:AB8"/>
    <mergeCell ref="W10:Y10"/>
    <mergeCell ref="AC11:AE11"/>
    <mergeCell ref="V15:AE15"/>
    <mergeCell ref="T9:V9"/>
    <mergeCell ref="W9:Y9"/>
    <mergeCell ref="Z11:AB11"/>
    <mergeCell ref="Z10:AB10"/>
    <mergeCell ref="Z9:AB9"/>
    <mergeCell ref="G6:L6"/>
    <mergeCell ref="M7:P7"/>
    <mergeCell ref="M6:P6"/>
    <mergeCell ref="T6:V6"/>
    <mergeCell ref="A4:A5"/>
    <mergeCell ref="B4:B5"/>
    <mergeCell ref="C4:F5"/>
    <mergeCell ref="G4:L5"/>
    <mergeCell ref="M4:P5"/>
    <mergeCell ref="C7:F7"/>
    <mergeCell ref="C6:F6"/>
    <mergeCell ref="T7:V7"/>
    <mergeCell ref="Q4:AE4"/>
    <mergeCell ref="T5:V5"/>
    <mergeCell ref="W5:Y5"/>
    <mergeCell ref="Z5:AB5"/>
    <mergeCell ref="Q5:S5"/>
    <mergeCell ref="AC5:AE5"/>
    <mergeCell ref="Q6:S6"/>
    <mergeCell ref="Z6:AB6"/>
    <mergeCell ref="Q7:S7"/>
    <mergeCell ref="W7:Y7"/>
    <mergeCell ref="AC7:AE7"/>
    <mergeCell ref="Z7:AB7"/>
    <mergeCell ref="X23:Y23"/>
    <mergeCell ref="V23:W23"/>
    <mergeCell ref="AD20:AE20"/>
    <mergeCell ref="AB20:AC20"/>
    <mergeCell ref="Q20:U20"/>
    <mergeCell ref="V20:W20"/>
    <mergeCell ref="G20:P20"/>
    <mergeCell ref="A23:U23"/>
    <mergeCell ref="G7:L7"/>
    <mergeCell ref="Z17:AA17"/>
    <mergeCell ref="G9:L9"/>
    <mergeCell ref="AB17:AC17"/>
    <mergeCell ref="M9:P9"/>
    <mergeCell ref="Q9:S9"/>
    <mergeCell ref="C10:F10"/>
    <mergeCell ref="A11:L11"/>
    <mergeCell ref="A15:A17"/>
    <mergeCell ref="B15:B17"/>
    <mergeCell ref="C15:F17"/>
    <mergeCell ref="G15:P17"/>
    <mergeCell ref="C19:F19"/>
    <mergeCell ref="Q19:U19"/>
    <mergeCell ref="C21:F21"/>
    <mergeCell ref="G10:L10"/>
    <mergeCell ref="C22:F22"/>
    <mergeCell ref="G22:P22"/>
    <mergeCell ref="Q22:U22"/>
    <mergeCell ref="AB21:AC21"/>
    <mergeCell ref="AD21:AE21"/>
    <mergeCell ref="Z21:AA21"/>
    <mergeCell ref="AB22:AC22"/>
    <mergeCell ref="AD22:AE22"/>
    <mergeCell ref="Z22:AA22"/>
    <mergeCell ref="G21:P21"/>
    <mergeCell ref="Q21:U21"/>
    <mergeCell ref="V21:W21"/>
    <mergeCell ref="X21:Y21"/>
    <mergeCell ref="V22:W22"/>
    <mergeCell ref="AB1:AE1"/>
    <mergeCell ref="Q52:R52"/>
    <mergeCell ref="S48:T48"/>
    <mergeCell ref="U48:Y48"/>
    <mergeCell ref="S50:T50"/>
    <mergeCell ref="U50:Y50"/>
    <mergeCell ref="S46:T46"/>
    <mergeCell ref="S44:T44"/>
    <mergeCell ref="Z23:AA23"/>
    <mergeCell ref="X19:Y19"/>
    <mergeCell ref="X20:Y20"/>
    <mergeCell ref="X22:Y22"/>
    <mergeCell ref="Z20:AA20"/>
    <mergeCell ref="Z19:AA19"/>
    <mergeCell ref="AB23:AC23"/>
    <mergeCell ref="AD23:AE23"/>
    <mergeCell ref="AD19:AE19"/>
    <mergeCell ref="AB19:AC19"/>
    <mergeCell ref="X18:Y18"/>
    <mergeCell ref="V18:W18"/>
    <mergeCell ref="Q18:U18"/>
    <mergeCell ref="AB18:AC18"/>
    <mergeCell ref="AD18:AE18"/>
    <mergeCell ref="Z18:AA18"/>
    <mergeCell ref="A28:A30"/>
    <mergeCell ref="B31:F31"/>
    <mergeCell ref="G28:J28"/>
    <mergeCell ref="K46:L46"/>
    <mergeCell ref="Q47:R47"/>
    <mergeCell ref="G45:H45"/>
    <mergeCell ref="I47:J47"/>
    <mergeCell ref="K47:L47"/>
    <mergeCell ref="U45:Y45"/>
    <mergeCell ref="U46:Y46"/>
    <mergeCell ref="U47:Y47"/>
    <mergeCell ref="Q45:R45"/>
    <mergeCell ref="S47:T47"/>
    <mergeCell ref="G29:J29"/>
    <mergeCell ref="A36:F36"/>
    <mergeCell ref="I42:J44"/>
    <mergeCell ref="K43:L44"/>
    <mergeCell ref="G42:H44"/>
    <mergeCell ref="B32:F32"/>
    <mergeCell ref="B33:F33"/>
    <mergeCell ref="A37:F37"/>
    <mergeCell ref="B34:F34"/>
    <mergeCell ref="B35:F35"/>
    <mergeCell ref="B42:B44"/>
    <mergeCell ref="B57:F57"/>
    <mergeCell ref="L57:P57"/>
    <mergeCell ref="V57:Z57"/>
    <mergeCell ref="K29:N29"/>
    <mergeCell ref="A53:D53"/>
    <mergeCell ref="C52:D52"/>
    <mergeCell ref="E52:F52"/>
    <mergeCell ref="Z52:AE52"/>
    <mergeCell ref="O29:R29"/>
    <mergeCell ref="S52:T52"/>
    <mergeCell ref="E53:F53"/>
    <mergeCell ref="G53:H53"/>
    <mergeCell ref="I52:J52"/>
    <mergeCell ref="E51:F51"/>
    <mergeCell ref="O48:P48"/>
    <mergeCell ref="M53:N53"/>
    <mergeCell ref="K53:L53"/>
    <mergeCell ref="B28:F30"/>
    <mergeCell ref="O43:T43"/>
    <mergeCell ref="C47:D47"/>
    <mergeCell ref="A42:A44"/>
    <mergeCell ref="O28:R28"/>
    <mergeCell ref="S28:V28"/>
    <mergeCell ref="M47:N47"/>
    <mergeCell ref="V58:Z58"/>
    <mergeCell ref="U53:Y53"/>
    <mergeCell ref="S29:V29"/>
    <mergeCell ref="W28:Z28"/>
    <mergeCell ref="S53:T53"/>
    <mergeCell ref="U52:Y52"/>
    <mergeCell ref="Z42:AE44"/>
    <mergeCell ref="Z45:AE45"/>
    <mergeCell ref="Z46:AE46"/>
    <mergeCell ref="Z47:AE47"/>
    <mergeCell ref="Z53:AE53"/>
    <mergeCell ref="U42:Y44"/>
    <mergeCell ref="K42:T42"/>
    <mergeCell ref="M52:N52"/>
    <mergeCell ref="W29:Z29"/>
    <mergeCell ref="M45:N45"/>
    <mergeCell ref="O47:P47"/>
    <mergeCell ref="O45:P45"/>
    <mergeCell ref="S45:T45"/>
    <mergeCell ref="O44:P44"/>
    <mergeCell ref="K28:N28"/>
    <mergeCell ref="M46:N46"/>
    <mergeCell ref="M43:N44"/>
  </mergeCells>
  <phoneticPr fontId="3" type="noConversion"/>
  <pageMargins left="1.1811023622047245" right="0.39370078740157483" top="0.78740157480314965" bottom="0.78740157480314965" header="0.27559055118110237" footer="0.31496062992125984"/>
  <pageSetup paperSize="9" scale="3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13</vt:i4>
      </vt:variant>
    </vt:vector>
  </HeadingPairs>
  <TitlesOfParts>
    <vt:vector size="23" baseType="lpstr">
      <vt:lpstr>Лист1</vt:lpstr>
      <vt:lpstr>Осн. фін. пок.</vt:lpstr>
      <vt:lpstr>I. Фін результат</vt:lpstr>
      <vt:lpstr>ІІ. Розр. з бюджетом</vt:lpstr>
      <vt:lpstr>ІІІ. Рух грош. коштів</vt:lpstr>
      <vt:lpstr>IV. Кап. інвестиції</vt:lpstr>
      <vt:lpstr> V. Коефіцієнти</vt:lpstr>
      <vt:lpstr>6.1. Інша інфо_1</vt:lpstr>
      <vt:lpstr>штатка</vt:lpstr>
      <vt:lpstr>6.2. Інша інфо_2</vt:lpstr>
      <vt:lpstr>' V. Коефіцієнти'!Заголовки_для_печати</vt:lpstr>
      <vt:lpstr>'I. Фін результат'!Заголовки_для_печати</vt:lpstr>
      <vt:lpstr>'ІІ. Розр. з бюджетом'!Заголовки_для_печати</vt:lpstr>
      <vt:lpstr>'ІІІ. Рух грош. коштів'!Заголовки_для_печати</vt:lpstr>
      <vt:lpstr>'Осн. фін. пок.'!Заголовки_для_печати</vt:lpstr>
      <vt:lpstr>' V. Коефіцієнти'!Область_печати</vt:lpstr>
      <vt:lpstr>'6.1. Інша інфо_1'!Область_печати</vt:lpstr>
      <vt:lpstr>'6.2. Інша інфо_2'!Область_печати</vt:lpstr>
      <vt:lpstr>'I. Фін результат'!Область_печати</vt:lpstr>
      <vt:lpstr>'IV. Кап. інвестиції'!Область_печати</vt:lpstr>
      <vt:lpstr>'ІІ. Розр. з бюджетом'!Область_печати</vt:lpstr>
      <vt:lpstr>'ІІІ. Рух грош. коштів'!Область_печати</vt:lpstr>
      <vt:lpstr>'Осн. фін. пок.'!Область_печати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</dc:creator>
  <cp:lastModifiedBy>User</cp:lastModifiedBy>
  <cp:lastPrinted>2018-07-27T07:56:22Z</cp:lastPrinted>
  <dcterms:created xsi:type="dcterms:W3CDTF">2003-03-13T16:00:22Z</dcterms:created>
  <dcterms:modified xsi:type="dcterms:W3CDTF">2020-06-10T12:04:19Z</dcterms:modified>
</cp:coreProperties>
</file>