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19,12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19,12'!$A$1:$H$102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<sst xmlns="http://schemas.openxmlformats.org/spreadsheetml/2006/main" count="772" uniqueCount="263">
  <si>
    <t>Швидкозшивачі та супутнє приладдя (папки архівні, файли, папки для підпису, папка-куточок)</t>
  </si>
  <si>
    <t>Збільшено очікувану вартість закупівлі на 500,00 грн.</t>
  </si>
  <si>
    <t>Спеціалізована хімічна продукція (оліфа, суміш для посипання тротуару)</t>
  </si>
  <si>
    <t>Частини до світильників та освітлювального обладнання (світлодіодні лампи, прожектор світлодіодний)</t>
  </si>
  <si>
    <t>Збільшено очікувану вартість закупівлі на 2163,00 грн.</t>
  </si>
  <si>
    <t>Сидіння, стільці та супутні вироби і частини до них (крісло офісне)</t>
  </si>
  <si>
    <t>ДК 021:2015 – 39110000-6 "Сидіння, стільці та супутні вироби і частини до них"</t>
  </si>
  <si>
    <t xml:space="preserve"> Столи, серванти, письмові столи та книжкові шафи (стіл для комп'ютера)</t>
  </si>
  <si>
    <t>ДК 021:2015 – 39120000-9  "Столи, серванти, письмові столи та книжкові шафи"</t>
  </si>
  <si>
    <t>Секційні лотки та канцелярське приладдя (лотки)</t>
  </si>
  <si>
    <t>ДК 021:2015 – 39260000-2 "Секційні лотки та канцелярське приладдя"</t>
  </si>
  <si>
    <t>Фурнітура різна (рамки)</t>
  </si>
  <si>
    <t>ДК 021:2015 – 39290000-1 "Фурнітура різна"</t>
  </si>
  <si>
    <t>Електричні побутові прилади (Еелектрочайник)</t>
  </si>
  <si>
    <t>ДК 021:2015 – 39710000-2  "Електричні побутові прилади"</t>
  </si>
  <si>
    <t>Радіатори і котли для систем центрального опалення та їх деталі (радіатори)</t>
  </si>
  <si>
    <t>ДК 021:2015 – 44620000-2 "Радіатори і котли для систем центрального опалення та їх деталі"</t>
  </si>
  <si>
    <t>Столярні та теслярні роботи (поточний ремонт віконних рам)</t>
  </si>
  <si>
    <t>ДК 021:2015 – 45420000-7 "Столярні та теслярні роботи"</t>
  </si>
  <si>
    <t xml:space="preserve">ДК 021:2015 – 45340000-2 Зведення огорож, монтаж поручнів і захисних засобів </t>
  </si>
  <si>
    <t>Збільшено очікувану вартість закупівлі на 1 407,78 грн.</t>
  </si>
  <si>
    <t>Збільшено очікувану вартість закупівлі на 425,00 грн.</t>
  </si>
  <si>
    <t>Прокат вантажних транспортних засобів із водієм для перевезення товарів (транспортні послуги)</t>
  </si>
  <si>
    <t>ДК 021:2015 - 60180000-3  Прокат вантажних транспортних засобів із водієм для перевезення товарів (транспортні послуги)</t>
  </si>
  <si>
    <t>Перерозподілено кошти у сумі 7,78 грн.</t>
  </si>
  <si>
    <t>Збільшено очікувану вартість на 4075,00 грн.</t>
  </si>
  <si>
    <t>Послуги, пов’язані з програмним забезпеченням (послуги з представлення Замовника щодо питання реєстрації ЕЦП, подовження права на використання ПЗ МеДок з правом отримання оновлення на рік (ліцензія на підтримку)консультативні послуги з програмного забезпечення)</t>
  </si>
  <si>
    <t>Збільшено очікувану вартість на 10500,00 грн.</t>
  </si>
  <si>
    <t>Послуги, пов’язані з програмним забезпеченням (послуги з встановлення додаткового клієнтського місця системи електронного документообігу, ліцінзійне прграмне забезпечення, ліцензійні антивірусні програми)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</si>
  <si>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</si>
  <si>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</si>
  <si>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</si>
  <si>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</si>
  <si>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</si>
  <si>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</si>
  <si>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</si>
  <si>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</si>
  <si>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</si>
  <si>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</si>
  <si>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</si>
  <si>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</si>
  <si>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</si>
  <si>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</si>
  <si>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</si>
  <si>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</si>
  <si>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</si>
  <si>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</si>
  <si>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</si>
  <si>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</si>
  <si>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</si>
  <si>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</si>
  <si>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</si>
  <si>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</si>
  <si>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</si>
  <si>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</si>
  <si>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</si>
  <si>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</si>
  <si>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</si>
  <si>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</si>
  <si>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</si>
  <si>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</si>
  <si>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</si>
  <si>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</si>
  <si>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</si>
  <si>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</si>
  <si>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</si>
  <si>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</si>
  <si>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</si>
  <si>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</si>
  <si>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</si>
  <si>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</si>
  <si>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</si>
  <si>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</si>
  <si>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</si>
  <si>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</si>
  <si>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</si>
  <si>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</si>
  <si>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</si>
  <si>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</si>
  <si>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</si>
  <si>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</si>
  <si>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</si>
  <si>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</si>
  <si>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</si>
  <si>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</si>
  <si>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</si>
  <si>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</si>
  <si>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</si>
  <si>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</si>
  <si>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</si>
  <si>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</si>
  <si>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</si>
  <si>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</si>
  <si>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</si>
  <si>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</si>
  <si>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</si>
  <si>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</si>
  <si>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</si>
  <si>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на 2018 рік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</si>
  <si>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</si>
  <si>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</si>
  <si>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</si>
  <si>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</si>
  <si>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</si>
  <si>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</si>
  <si>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</si>
  <si>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</si>
  <si>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Січень 2018</t>
  </si>
  <si>
    <t>ДК 021:2015 – 24910000-6 Клеї</t>
  </si>
  <si>
    <t>код ДК 021:2015 – 33710000-0 Парфуми, засоби гігієни та презервативи</t>
  </si>
  <si>
    <t>ДК 021:2015 -  64110000-0 поштові послуги</t>
  </si>
  <si>
    <t>Послуги підтримки веб-сайту</t>
  </si>
  <si>
    <t>ДК 021:2015 - 72410000-7 Послуги провайдерів</t>
  </si>
  <si>
    <t>Поточний ремонт комп’ютерної техніки, заправка та регенерація картриджів</t>
  </si>
  <si>
    <t>ДК 021:2015 - 50310000-1 Технічне обслуговування і ремонт офісної техніки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</si>
  <si>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</si>
  <si>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Послуги вивезення та утилізації твердих побутових відходів</t>
  </si>
  <si>
    <t>ДК 021:2015 – 90510000-5 послуги з поводженням із безпечними сміттям і відходами та їх утилізація</t>
  </si>
  <si>
    <t>ДК 021:2015 - 50410000-2 Послуги з ремонту і технічного обслуговування вимірювальних, випробувальних і контрольних приладів</t>
  </si>
  <si>
    <t>Улаштування системи пожежного моніторингу приміщень архіву</t>
  </si>
  <si>
    <t>ДК 021:2015 – 72220000-3 послуги з програмування та консультативні послуги з питань програмного забезпечення</t>
  </si>
  <si>
    <t>Страхування унікальних документів</t>
  </si>
  <si>
    <t>ДК 021:2015 – 66510000-8 страхові послуги</t>
  </si>
  <si>
    <t>Гідровипробування системи опалення</t>
  </si>
  <si>
    <t>ДК 021:2015 – 50720000-8 Послуги з ремонту і технічного обслуговування систем центрального опалення</t>
  </si>
  <si>
    <t>Теплова енергія</t>
  </si>
  <si>
    <t xml:space="preserve">Послуги водопостачання </t>
  </si>
  <si>
    <t>ДК 021:2015 – 65110000-7 Розподіл води</t>
  </si>
  <si>
    <t>Послуги водовідведення</t>
  </si>
  <si>
    <t>ДК 021:2015 –90430000-0 Послуги з відведення стічних вод</t>
  </si>
  <si>
    <t>Енергія електрична</t>
  </si>
  <si>
    <t>ДК 021:2015 – 09310000-5 електрична енергія</t>
  </si>
  <si>
    <t>Підвищення кваліфікації членів тендерного комітету, навчання з ПТЄТУ і мереж</t>
  </si>
  <si>
    <t>ДК 021:2015 – 80520000-5 Навчальні засоби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</si>
  <si>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</si>
  <si>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</si>
  <si>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</si>
  <si>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</si>
  <si>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</si>
  <si>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</si>
  <si>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</si>
  <si>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20% суми, визначеної в договорі, укладеному в 2017 році, продовженому на час проведення процедури закупівлі на початку 2018 року</t>
  </si>
  <si>
    <t>Системний супровід програмного забезпечення FossDoс</t>
  </si>
  <si>
    <t>М.П.</t>
  </si>
  <si>
    <t>Додаток до річного плану закупівель (зі змінами)</t>
  </si>
  <si>
    <t xml:space="preserve"> ДК 021:2015 - 72260000-5 "Послуги, пов’язані з програмним забезпеченням"</t>
  </si>
  <si>
    <t>Лютий 2018</t>
  </si>
  <si>
    <t>ДК 021:2015 - 72310000-1 "Послуги з обробки даних"</t>
  </si>
  <si>
    <t>Послуги користування абонентською скринькою. Послуги спеціального зв’язку</t>
  </si>
  <si>
    <t>Збільшено очікувану вартість закупівлі на 200,00 грн.</t>
  </si>
  <si>
    <t>Коди та назви відповідних класифікаторів предмета закупівлі (за наявності)</t>
  </si>
  <si>
    <t>Зошити (зошити 48 арк.)</t>
  </si>
  <si>
    <t>ДК 021:2015 – 22830000-7 Зошити</t>
  </si>
  <si>
    <t>Березень 2018</t>
  </si>
  <si>
    <t>Папір санітарно-гігієнічного призначення (серветки для монітора)</t>
  </si>
  <si>
    <t>ДК 021:2015 – 33770000-8 Папір санітарно-гігієнічного призначення</t>
  </si>
  <si>
    <t>ДК 021:2015 – 30230000-0 - Комп’ютерне обладнання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</si>
  <si>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</si>
  <si>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</si>
  <si>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</si>
  <si>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Марки (марки, марковані конверти)</t>
  </si>
  <si>
    <t>Протипожежне, рятувальне та захисне обладнання (вогнегасники ВП-5)</t>
  </si>
  <si>
    <t>ДК 021:2015 – 35110000-5 Протипожежне, рятувальне та захисне обладнання</t>
  </si>
  <si>
    <t>Квітень 2018</t>
  </si>
  <si>
    <t>ДК 021:2015 – 32330000-5 Апаратура для запису та відтворення аудіо- та відеоматеріалу</t>
  </si>
  <si>
    <t>Охоронні послуги; послуги з моніторингу сигналів тривоги, що надходять з пристроїв охоронної сигналізації (охорона приміщень, послуги з цілодобового спостереження за установкою пожежної сигналізації)</t>
  </si>
  <si>
    <t>Апаратура для запису та відтворення аудіо- та відеоматеріалу (відеореєстратори)</t>
  </si>
  <si>
    <t>ДК 021:2015 –50530000-9 Послуги з ремонту та технічного обслуговування техніки</t>
  </si>
  <si>
    <t>Послуги з ремонту та технічного обслуговування техніки (Технічне обслуговування  та поточний ремонт електрообладнання)</t>
  </si>
  <si>
    <t>Послуги з технічного огляду та випробовувань (Електротехнічне лабараторне вимірювання електрообладнання)</t>
  </si>
  <si>
    <t xml:space="preserve"> ДК 021:2015 - 71630000-3 "Послуги з технічного огляду та випробовувань"</t>
  </si>
  <si>
    <t>Офісне устаткування та приладдя різне (архівні коробки для зберігання документів)</t>
  </si>
  <si>
    <t>допорогова процедура закупівлі</t>
  </si>
  <si>
    <t>Травень 2018</t>
  </si>
  <si>
    <t>Науково-технічні послуги в галузі інженерії (Повірка манометрів)</t>
  </si>
  <si>
    <t xml:space="preserve">ДК 021:2015 – 71350000-6 Науково-технічні послуги в галузі інженерії </t>
  </si>
  <si>
    <t>Червень 2018</t>
  </si>
  <si>
    <t>Голова тендерного комітету</t>
  </si>
  <si>
    <t>І.О.Назаренко</t>
  </si>
  <si>
    <t>Машини для обробки даних (апаратна частина)  (комп'ютери-моноблоки)</t>
  </si>
  <si>
    <t>Офісне устаткування та приладдя різне (ксероксний папір)</t>
  </si>
  <si>
    <t xml:space="preserve"> Аксесуари для одягу (рукавички ФБ гумові)</t>
  </si>
  <si>
    <t>ДК 021:2015 – 18420000-9 "Аксесуари для одягу"</t>
  </si>
  <si>
    <t>Ароматизатори та воски (освіжувач повітря)</t>
  </si>
  <si>
    <t>ДК 021:2015 – 39810000-3 Ароматизатори та воски</t>
  </si>
  <si>
    <t xml:space="preserve">ДК 021:2015 – 39220000-0 Кухонне приладдя, товари для дому та господарства і приладдя для закладів громадського харчування </t>
  </si>
  <si>
    <t>Мережеве обладнання 
(мережевий фільтр)</t>
  </si>
  <si>
    <t>ДК 021:2015 – 32420000-3 Мережеве обладнання</t>
  </si>
  <si>
    <t>Комп’ютерне обладнання (принтер лазерний Canon LBP 6030w, клавіатура, миша USB, мережева карта, комутатор 8-портовий, кабельСАТ-5е)</t>
  </si>
  <si>
    <t>ДК 021:2015 – 31220000-4 Елементи електричних схем</t>
  </si>
  <si>
    <t>Липень 2018</t>
  </si>
  <si>
    <t>Приладдя для образотворчого мистецтва (пензль для підфарбовування)</t>
  </si>
  <si>
    <t>ДК 021:2015 – 37820000-2 Приладдя для образотворчого мистецтва</t>
  </si>
  <si>
    <t>Послуги з ремонту і технічного обслуговування аудіовізуального та оптичного обладнання (ремонт камери системи відеоспостереження)</t>
  </si>
  <si>
    <t>ДК 021:2015 - 50340000-0 Послуги з ремонту і технічного обслуговування аудіовізуального та оптичного обладнання</t>
  </si>
  <si>
    <t>Продукція лісництва та лісозаготівлі (брус)</t>
  </si>
  <si>
    <t>ДК 021:2015 – 03410000-7 "Продукція лісництва та лісозаготівлі"</t>
  </si>
  <si>
    <t>Серпень 2018</t>
  </si>
  <si>
    <t>ДК 021:2015 – 22850000-3 "Швидкозшивачі та супутнє приладдя"</t>
  </si>
  <si>
    <t>ДК 021:2015 – 24950000-8 "Спеціалізована хімічна продукція"</t>
  </si>
  <si>
    <t>Клеї (клей ПВА, клей-олівець, клей КМЦ)</t>
  </si>
  <si>
    <t>Елементи електричних схем (вилка посилена, вилка кутова, вилка пряма, розетки)</t>
  </si>
  <si>
    <t>Кухонне приладдя, товари для дому та господарства і приладдя для закладів громадського харчування (набір щітка та совок, щітки)</t>
  </si>
  <si>
    <t>Арматура трубопровідна: крани, вентелі, клапани та супутні вироби (кран шаровий)</t>
  </si>
  <si>
    <t xml:space="preserve">ДК 021:2015 – 42130000-9 Арматура трубопровідна: крани, вентелі, клапани та супутні вироби </t>
  </si>
  <si>
    <t>Магістралі, трубопроводи, труби, обсадні труби, тюбінги та супутні вироби (штуцер)</t>
  </si>
  <si>
    <t>ДК 021:2015 – 44160000-9 Магістралі, трубопроводи, труби, обсадні труби, тюбінги та супутні вироби</t>
  </si>
  <si>
    <t>Вироби з дроту (провід)</t>
  </si>
  <si>
    <t>ДК 021:2015 – 44310000-6 Вироби з дроту</t>
  </si>
  <si>
    <t>Будівельні товари (фум лента)</t>
  </si>
  <si>
    <t>ДК 021:2015 – 44420000-0 Будівельні товари</t>
  </si>
  <si>
    <t>Замки, ключі та петлі (замок навісний, замки врізні)</t>
  </si>
  <si>
    <t>ДК 021:2015 – 44520000-1 Замки, ключі та петлі</t>
  </si>
  <si>
    <t>Кріпильні деталі (саморізи, болти з гайкою)</t>
  </si>
  <si>
    <t>ДК 021:2015 – 44530000-4 Кріпильні деталі</t>
  </si>
  <si>
    <t>Фарби (фарба)</t>
  </si>
  <si>
    <t>ДК 021:2015 – 44810000-1 Фарби</t>
  </si>
  <si>
    <t>Мастики, шпаклівки, замазки та розчинники (уайт-спіріт)</t>
  </si>
  <si>
    <t>ДК 021:2015 – 44830000-7 Мастики, шпаклівки, замазки та розчинники</t>
  </si>
  <si>
    <t>ДК 021:2015 – 45310000-3 Електромонтажні роботи</t>
  </si>
  <si>
    <t>Комп’ютерне обладнання (монітори)</t>
  </si>
  <si>
    <t xml:space="preserve"> Аксесуари до робочого одягу (рукавички в'язані з ПВХ крапкою чорні)</t>
  </si>
  <si>
    <t>Послуги зі встановлення систем наведення і контролю (Монтаж та налагодження відеореєстраторів)</t>
  </si>
  <si>
    <t>ДК 021:2015 - 51900000-1 Послуги зі встановлення систем наведення і контролю (Монтаж та налагодження відеореєстраторів)</t>
  </si>
  <si>
    <t>Вересень 2018</t>
  </si>
  <si>
    <t xml:space="preserve">ДК 021:2015 - 50730000-0 Послуги з ремонту і технічного обслуговування охолоджувальних установок </t>
  </si>
  <si>
    <t>ДК 021:2015 – 64210000-1 Послуги телефонного зв’язку та передачі даних.</t>
  </si>
  <si>
    <t>Послуги телефонного зв’язку та передачі даних (Послуги телефонного зв’язку. Послуги з доступу до мережі Інтернет)</t>
  </si>
  <si>
    <t>К.М.Сиротенко</t>
  </si>
  <si>
    <t>Поліетиленові мішки та пакети для сміття  (пакети для сміття)</t>
  </si>
  <si>
    <t>ДК 021:2015 – 19640000-4 "Поліетиленові мішки та пакети для сміття"</t>
  </si>
  <si>
    <t>Жовтень 2018</t>
  </si>
  <si>
    <t>Будівництво трубопроводів, ліній зв’язку та електропередач, шосе, доріг, аеродромів і залізничних доріг; вирівнювання поверхонь (поточний ремонт прибудинкової території (поточний ремонт (відновлення асфальтобетонного покриття))</t>
  </si>
  <si>
    <t>ДК 021:2015 – 45230000-8 Будівництво трубопроводів, ліній зв’язку та електропередач, шосе, доріг, аеродромів і залізничних доріг; вирівнювання поверхонь</t>
  </si>
  <si>
    <t>Листопад 2018</t>
  </si>
  <si>
    <t xml:space="preserve"> Послуги з ремонту і технічного обслуговування вимірювальних, випробувальних і контрольних приладів
(Технічне діагностування та перезарядка вогнегасників)</t>
  </si>
  <si>
    <t>ДК 021:2015 – 18140000-2 "Аксесуари до робочого одягу"</t>
  </si>
  <si>
    <t>Газети (передплата періодичних видань)</t>
  </si>
  <si>
    <t>ДК 021:2015 – 22210000-5 "Газети"</t>
  </si>
  <si>
    <t>Бланки (поліграфічна продукція (бланки))</t>
  </si>
  <si>
    <t>ДК 021:2015 – 22820000-4 "Бланки"</t>
  </si>
  <si>
    <t>ДК 021:2015 – 22410000-7 "Марки"</t>
  </si>
  <si>
    <t>Газетний папір, папір ручного виготовлення та інший некрейдований  папір або картон для графічних цілей (папір газетний)</t>
  </si>
  <si>
    <t>ДК 021:2015 – 22990000-6 "Газетний папір, папір ручного виготовлення та інший некрейдований  папір або картон для графічних цілей "</t>
  </si>
  <si>
    <t>Гальванічні елементи (елементи живлення)</t>
  </si>
  <si>
    <t>ДК 021:2015 – 31410000-3 "Гальванічні елементи"</t>
  </si>
  <si>
    <t>ДК 021:2015 – 31530000-0 "Частини до світильників та освітлювального обладнання"</t>
  </si>
  <si>
    <t>Готові текстильні вироби (ганчірки для швабри, ганчірки для прибирання)</t>
  </si>
  <si>
    <t>ДК 021:2015 – 39520000-3 "Готові текстильні вироби"</t>
  </si>
  <si>
    <t xml:space="preserve"> Послуги з ремонту і технічного обслуговування вимірювальних, випробувальних і контрольних приладів
(Повірка пожежного гідранту; технічне обслуговування установок пожежної сигналізації; повірка лічильників тепла, повірка лічильників води, опломбування лічильників холодної води)</t>
  </si>
  <si>
    <t>Лічильні прилади (термометр для котла)</t>
  </si>
  <si>
    <t>ДК 021:2015 – 38410000-2 "Лічильні прилади"</t>
  </si>
  <si>
    <t>Послуги з ремонту і технічного обслуговування охолоджувальних установок (технічне обслуговування кондиціонерів; технічне обслуговування системи кондиціонування та вентиляції повітря)</t>
  </si>
  <si>
    <t>Грудень 2018</t>
  </si>
  <si>
    <t>звіт про укладений договір</t>
  </si>
  <si>
    <t>ДК 021:2015 – 09320000-8 Пара, гаряча вода та пов’язана продукція</t>
  </si>
  <si>
    <t>Електромонтажні роботи (монтаж зовнішнього освітлення, монтаж електромережі, перемонтаж растрових свтильників)</t>
  </si>
  <si>
    <t>Послуги з обробки даних (Послуги з обробки даних, видачі сертифікатів таїх обслуговування; видача сертифікату відкритого електронно-цифрового підпису, послуги оцифрування документів)</t>
  </si>
  <si>
    <t>від «19» грудня 2018 року №50</t>
  </si>
  <si>
    <t>Збільшено очікувану вартість закупівлі на 9649,62 грн.</t>
  </si>
  <si>
    <t>Офісне устаткування та приладдя різне (ручки, стержні для ручок, маркери, папір для друку,  шило, скріпки, ластик, ксероксний папір, папір для заміток, олівці, скріпки, олівці з гумкою, гумки, скоби для степлера, маркер, ножиці, точилка, коректор, степлер, антистеплер, скотч, календарі, підставка для паперу, стакан для ручок, знищувач документів, диспенсер для скріпок)</t>
  </si>
  <si>
    <t>Мішки та пакети (мішки паперові)</t>
  </si>
  <si>
    <t>ДК 021:2015 – 18930000-7 "Мішки та пакети"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</si>
</sst>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187" fontId="2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87" fontId="32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42" applyFont="1" applyFill="1" applyBorder="1" applyAlignment="1">
      <alignment horizontal="center" vertical="center" wrapText="1"/>
    </xf>
    <xf numFmtId="9" fontId="33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5" fillId="0" borderId="0" xfId="0" applyFont="1" applyFill="1" applyAlignment="1">
      <alignment horizontal="right" vertical="top" wrapText="1"/>
    </xf>
    <xf numFmtId="0" fontId="3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vertical="top" wrapText="1"/>
    </xf>
    <xf numFmtId="0" fontId="32" fillId="0" borderId="16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" fontId="19" fillId="0" borderId="16" xfId="0" applyNumberFormat="1" applyFont="1" applyBorder="1" applyAlignment="1">
      <alignment/>
    </xf>
    <xf numFmtId="187" fontId="23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180" fontId="21" fillId="0" borderId="16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4" fontId="2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0" fillId="0" borderId="16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8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 t="s">
        <v>81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70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52.5" customHeight="1">
      <c r="A16" s="85" t="s">
        <v>71</v>
      </c>
      <c r="B16" s="86"/>
      <c r="C16" s="87"/>
      <c r="D16" s="88" t="s">
        <v>57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85" t="s">
        <v>55</v>
      </c>
      <c r="P16" s="86"/>
      <c r="Q16" s="87"/>
      <c r="R16" s="100">
        <v>1</v>
      </c>
      <c r="S16" s="100"/>
      <c r="T16" s="100"/>
      <c r="U16" s="102">
        <v>5813.86</v>
      </c>
      <c r="V16" s="102"/>
      <c r="W16" s="102"/>
      <c r="X16" s="102"/>
      <c r="Y16" s="34">
        <f aca="true" t="shared" si="0" ref="Y16:Y26">R16*U16</f>
        <v>5813.86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5813.86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5813.86</v>
      </c>
    </row>
    <row r="31" spans="1:25" ht="16.5">
      <c r="A31" s="1" t="s">
        <v>43</v>
      </c>
      <c r="J31" s="115" t="str">
        <f>SUMINWORDS(Y29,"грн.","коп.")</f>
        <v>П'ять тисяч вісімсот тринадцять грн. 86 коп.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23"/>
      <c r="W32" s="112"/>
      <c r="X32" s="112"/>
      <c r="Y32" s="112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20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 t="s">
        <v>83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70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52.5" customHeight="1">
      <c r="A16" s="85" t="s">
        <v>71</v>
      </c>
      <c r="B16" s="86"/>
      <c r="C16" s="87"/>
      <c r="D16" s="88" t="s">
        <v>69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95" t="s">
        <v>55</v>
      </c>
      <c r="P16" s="95"/>
      <c r="Q16" s="95"/>
      <c r="R16" s="100">
        <v>3</v>
      </c>
      <c r="S16" s="100"/>
      <c r="T16" s="100"/>
      <c r="U16" s="102">
        <v>29.46</v>
      </c>
      <c r="V16" s="102"/>
      <c r="W16" s="102"/>
      <c r="X16" s="102"/>
      <c r="Y16" s="34">
        <f aca="true" t="shared" si="0" ref="Y16:Y26">R16*U16</f>
        <v>88.38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88.38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88.38</v>
      </c>
    </row>
    <row r="31" spans="1:25" ht="16.5">
      <c r="A31" s="1" t="s">
        <v>43</v>
      </c>
      <c r="J31" s="115" t="str">
        <f>SUMINWORDS(Y29,"грн.","коп.")</f>
        <v>Вісімдесят вісім грн. 38 коп.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23"/>
      <c r="W32" s="112"/>
      <c r="X32" s="112"/>
      <c r="Y32" s="112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1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87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70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41.25" customHeight="1">
      <c r="A16" s="85" t="s">
        <v>71</v>
      </c>
      <c r="B16" s="86"/>
      <c r="C16" s="87"/>
      <c r="D16" s="88" t="s">
        <v>88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95" t="s">
        <v>85</v>
      </c>
      <c r="P16" s="95"/>
      <c r="Q16" s="95"/>
      <c r="R16" s="100"/>
      <c r="S16" s="100"/>
      <c r="T16" s="100"/>
      <c r="U16" s="102">
        <v>5</v>
      </c>
      <c r="V16" s="102"/>
      <c r="W16" s="102"/>
      <c r="X16" s="102"/>
      <c r="Y16" s="34">
        <f aca="true" t="shared" si="0" ref="Y16:Y26">R16*U16</f>
        <v>0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86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0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0</v>
      </c>
    </row>
    <row r="31" spans="1:25" ht="16.5">
      <c r="A31" s="1" t="s">
        <v>43</v>
      </c>
      <c r="J31" s="115" t="str">
        <f>SUMINWORDS(Y29,"грн.","коп.")</f>
        <v>Нуль грн. 0 коп.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23"/>
      <c r="W32" s="112"/>
      <c r="X32" s="112"/>
      <c r="Y32" s="112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2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126" t="s">
        <v>93</v>
      </c>
      <c r="P3" s="126"/>
      <c r="Q3" s="19"/>
      <c r="R3" s="19" t="s">
        <v>46</v>
      </c>
      <c r="S3" s="126" t="s">
        <v>89</v>
      </c>
      <c r="T3" s="126"/>
      <c r="U3" s="126"/>
      <c r="V3" s="126"/>
      <c r="W3" s="126"/>
      <c r="X3" s="126"/>
      <c r="Y3" s="126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87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 t="s">
        <v>91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70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41.25" customHeight="1">
      <c r="A16" s="85" t="s">
        <v>71</v>
      </c>
      <c r="B16" s="86"/>
      <c r="C16" s="87"/>
      <c r="D16" s="88" t="s">
        <v>90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95" t="s">
        <v>92</v>
      </c>
      <c r="P16" s="95"/>
      <c r="Q16" s="95"/>
      <c r="R16" s="94">
        <v>1.1</v>
      </c>
      <c r="S16" s="94"/>
      <c r="T16" s="94"/>
      <c r="U16" s="102">
        <v>6000</v>
      </c>
      <c r="V16" s="102"/>
      <c r="W16" s="102"/>
      <c r="X16" s="102"/>
      <c r="Y16" s="34">
        <f aca="true" t="shared" si="0" ref="Y16:Y26">R16*U16</f>
        <v>6600.000000000001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86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6600.000000000001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6600.000000000001</v>
      </c>
    </row>
    <row r="31" spans="1:25" ht="16.5">
      <c r="A31" s="1" t="s">
        <v>43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" customHeight="1">
      <c r="A32" s="123" t="str">
        <f>SUMINWORDS(Y29,"грн.","коп.")</f>
        <v>Шість тисяч шістсот грн. 0 коп.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1">
    <mergeCell ref="S3:Y3"/>
    <mergeCell ref="O3:P3"/>
    <mergeCell ref="E5:P5"/>
    <mergeCell ref="C6:P6"/>
    <mergeCell ref="G3:I3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O19:Q19"/>
    <mergeCell ref="O20:Q20"/>
    <mergeCell ref="O15:Q15"/>
    <mergeCell ref="O18:Q18"/>
    <mergeCell ref="O16:Q16"/>
    <mergeCell ref="O17:Q17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03"/>
  <sheetViews>
    <sheetView tabSelected="1" view="pageBreakPreview" zoomScaleSheetLayoutView="100" workbookViewId="0" topLeftCell="A27">
      <selection activeCell="H33" sqref="H33"/>
    </sheetView>
  </sheetViews>
  <sheetFormatPr defaultColWidth="9.33203125" defaultRowHeight="12.75"/>
  <cols>
    <col min="1" max="1" width="38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72" customFormat="1" ht="12.75">
      <c r="F1" s="72" t="s">
        <v>94</v>
      </c>
    </row>
    <row r="2" s="72" customFormat="1" ht="12.75">
      <c r="F2" s="72" t="s">
        <v>95</v>
      </c>
    </row>
    <row r="3" s="72" customFormat="1" ht="12.75">
      <c r="F3" s="72" t="s">
        <v>96</v>
      </c>
    </row>
    <row r="4" s="72" customFormat="1" ht="12.75">
      <c r="F4" s="72" t="s">
        <v>258</v>
      </c>
    </row>
    <row r="5" s="72" customFormat="1" ht="6.75" customHeight="1"/>
    <row r="6" spans="2:6" s="72" customFormat="1" ht="12.75">
      <c r="B6" s="130" t="s">
        <v>144</v>
      </c>
      <c r="C6" s="130"/>
      <c r="D6" s="130"/>
      <c r="E6" s="130"/>
      <c r="F6" s="130"/>
    </row>
    <row r="7" spans="2:6" s="72" customFormat="1" ht="12.75">
      <c r="B7" s="130" t="s">
        <v>97</v>
      </c>
      <c r="C7" s="130"/>
      <c r="D7" s="130"/>
      <c r="E7" s="130"/>
      <c r="F7" s="130"/>
    </row>
    <row r="8" spans="2:6" s="72" customFormat="1" ht="10.5" customHeight="1">
      <c r="B8" s="130" t="s">
        <v>98</v>
      </c>
      <c r="C8" s="130"/>
      <c r="D8" s="130"/>
      <c r="E8" s="130"/>
      <c r="F8" s="130"/>
    </row>
    <row r="9" s="72" customFormat="1" ht="7.5" customHeight="1" hidden="1"/>
    <row r="10" spans="1:8" s="72" customFormat="1" ht="48.75" customHeight="1">
      <c r="A10" s="73" t="s">
        <v>99</v>
      </c>
      <c r="B10" s="73" t="s">
        <v>150</v>
      </c>
      <c r="C10" s="73" t="s">
        <v>100</v>
      </c>
      <c r="D10" s="131" t="s">
        <v>101</v>
      </c>
      <c r="E10" s="131"/>
      <c r="F10" s="73" t="s">
        <v>102</v>
      </c>
      <c r="G10" s="73" t="s">
        <v>103</v>
      </c>
      <c r="H10" s="74" t="s">
        <v>104</v>
      </c>
    </row>
    <row r="11" spans="1:8" s="76" customFormat="1" ht="12.75">
      <c r="A11" s="75">
        <v>1</v>
      </c>
      <c r="B11" s="75">
        <v>2</v>
      </c>
      <c r="C11" s="75">
        <v>3</v>
      </c>
      <c r="D11" s="129">
        <v>4</v>
      </c>
      <c r="E11" s="129"/>
      <c r="F11" s="75">
        <v>5</v>
      </c>
      <c r="G11" s="75">
        <v>6</v>
      </c>
      <c r="H11" s="75">
        <v>7</v>
      </c>
    </row>
    <row r="12" spans="1:8" s="50" customFormat="1" ht="38.25">
      <c r="A12" s="52" t="s">
        <v>195</v>
      </c>
      <c r="B12" s="52" t="s">
        <v>196</v>
      </c>
      <c r="C12" s="52">
        <v>2210</v>
      </c>
      <c r="D12" s="53">
        <f>870.96-64.56</f>
        <v>806.4000000000001</v>
      </c>
      <c r="E12" s="54" t="str">
        <f aca="true" t="shared" si="0" ref="E12:E49">SUMINWORDS(D12,"грн.","коп.")</f>
        <v>Вісімсот шість грн. 40 коп.</v>
      </c>
      <c r="F12" s="55" t="s">
        <v>106</v>
      </c>
      <c r="G12" s="56" t="s">
        <v>197</v>
      </c>
      <c r="H12" s="52"/>
    </row>
    <row r="13" spans="1:8" s="71" customFormat="1" ht="24">
      <c r="A13" s="68" t="s">
        <v>221</v>
      </c>
      <c r="B13" s="68" t="s">
        <v>236</v>
      </c>
      <c r="C13" s="68">
        <v>2210</v>
      </c>
      <c r="D13" s="69">
        <f>67.85+180-69.93</f>
        <v>177.92</v>
      </c>
      <c r="E13" s="54" t="str">
        <f t="shared" si="0"/>
        <v>Сто сімдесят сім грн. 92 коп.</v>
      </c>
      <c r="F13" s="68" t="s">
        <v>106</v>
      </c>
      <c r="G13" s="70" t="s">
        <v>197</v>
      </c>
      <c r="H13" s="68"/>
    </row>
    <row r="14" spans="1:8" s="50" customFormat="1" ht="25.5">
      <c r="A14" s="52" t="s">
        <v>181</v>
      </c>
      <c r="B14" s="52" t="s">
        <v>182</v>
      </c>
      <c r="C14" s="52">
        <v>2210</v>
      </c>
      <c r="D14" s="53">
        <f>144-54.76+144+32.76</f>
        <v>266</v>
      </c>
      <c r="E14" s="54" t="str">
        <f t="shared" si="0"/>
        <v>Двісті шістдесят шість грн. 0 коп.</v>
      </c>
      <c r="F14" s="55" t="s">
        <v>106</v>
      </c>
      <c r="G14" s="56" t="s">
        <v>176</v>
      </c>
      <c r="H14" s="68"/>
    </row>
    <row r="15" spans="1:8" s="50" customFormat="1" ht="25.5">
      <c r="A15" s="52" t="s">
        <v>261</v>
      </c>
      <c r="B15" s="52" t="s">
        <v>262</v>
      </c>
      <c r="C15" s="52">
        <v>2210</v>
      </c>
      <c r="D15" s="53">
        <v>220</v>
      </c>
      <c r="E15" s="54" t="str">
        <f t="shared" si="0"/>
        <v>Двісті двадцять грн. 0 коп.</v>
      </c>
      <c r="F15" s="55" t="s">
        <v>106</v>
      </c>
      <c r="G15" s="56" t="s">
        <v>253</v>
      </c>
      <c r="H15" s="68"/>
    </row>
    <row r="16" spans="1:8" s="50" customFormat="1" ht="38.25">
      <c r="A16" s="52" t="s">
        <v>229</v>
      </c>
      <c r="B16" s="52" t="s">
        <v>230</v>
      </c>
      <c r="C16" s="52">
        <v>2210</v>
      </c>
      <c r="D16" s="53">
        <f>40.8+54+8.64</f>
        <v>103.44</v>
      </c>
      <c r="E16" s="54" t="str">
        <f t="shared" si="0"/>
        <v>Сто три грн. 44 коп.</v>
      </c>
      <c r="F16" s="55" t="s">
        <v>106</v>
      </c>
      <c r="G16" s="56" t="s">
        <v>231</v>
      </c>
      <c r="H16" s="68"/>
    </row>
    <row r="17" spans="1:8" s="50" customFormat="1" ht="25.5">
      <c r="A17" s="52" t="s">
        <v>237</v>
      </c>
      <c r="B17" s="52" t="s">
        <v>238</v>
      </c>
      <c r="C17" s="52">
        <v>2210</v>
      </c>
      <c r="D17" s="53">
        <v>6412.08</v>
      </c>
      <c r="E17" s="54" t="str">
        <f t="shared" si="0"/>
        <v>Шість тисяч чотириста дванадцять грн. 8 коп.</v>
      </c>
      <c r="F17" s="55" t="s">
        <v>106</v>
      </c>
      <c r="G17" s="56" t="s">
        <v>234</v>
      </c>
      <c r="H17" s="68"/>
    </row>
    <row r="18" spans="1:8" s="50" customFormat="1" ht="36">
      <c r="A18" s="52" t="s">
        <v>160</v>
      </c>
      <c r="B18" s="52" t="s">
        <v>241</v>
      </c>
      <c r="C18" s="52">
        <v>2210</v>
      </c>
      <c r="D18" s="53">
        <f>3230-630-50.59+5750-600+992.5+2844+3237.5+4650</f>
        <v>19423.41</v>
      </c>
      <c r="E18" s="54" t="str">
        <f t="shared" si="0"/>
        <v>Дев'ятнадцять тисяч чотириста двадцять три грн. 41 коп.</v>
      </c>
      <c r="F18" s="55" t="s">
        <v>106</v>
      </c>
      <c r="G18" s="52" t="s">
        <v>107</v>
      </c>
      <c r="H18" s="52"/>
    </row>
    <row r="19" spans="1:8" s="50" customFormat="1" ht="36">
      <c r="A19" s="52" t="s">
        <v>239</v>
      </c>
      <c r="B19" s="52" t="s">
        <v>240</v>
      </c>
      <c r="C19" s="52">
        <v>2210</v>
      </c>
      <c r="D19" s="53">
        <v>2394.72</v>
      </c>
      <c r="E19" s="54" t="str">
        <f t="shared" si="0"/>
        <v>Дві тисячі триста дев'яносто чотири грн. 72 коп.</v>
      </c>
      <c r="F19" s="55" t="s">
        <v>106</v>
      </c>
      <c r="G19" s="56" t="str">
        <f>G17</f>
        <v>Листопад 2018</v>
      </c>
      <c r="H19" s="52"/>
    </row>
    <row r="20" spans="1:8" s="50" customFormat="1" ht="22.5">
      <c r="A20" s="52" t="s">
        <v>151</v>
      </c>
      <c r="B20" s="52" t="s">
        <v>152</v>
      </c>
      <c r="C20" s="52">
        <v>2210</v>
      </c>
      <c r="D20" s="53">
        <v>60</v>
      </c>
      <c r="E20" s="54" t="str">
        <f t="shared" si="0"/>
        <v>Шістдесят грн. 0 коп.</v>
      </c>
      <c r="F20" s="55" t="s">
        <v>106</v>
      </c>
      <c r="G20" s="56" t="s">
        <v>153</v>
      </c>
      <c r="H20" s="52"/>
    </row>
    <row r="21" spans="1:8" s="50" customFormat="1" ht="63.75">
      <c r="A21" s="52" t="s">
        <v>0</v>
      </c>
      <c r="B21" s="52" t="s">
        <v>198</v>
      </c>
      <c r="C21" s="52">
        <v>2210</v>
      </c>
      <c r="D21" s="53">
        <f>3350-243.6+2184-874.4+200</f>
        <v>4616</v>
      </c>
      <c r="E21" s="54" t="str">
        <f t="shared" si="0"/>
        <v>Чотири тисячі шістсот шістнадцять грн. 0 коп.</v>
      </c>
      <c r="F21" s="55" t="s">
        <v>106</v>
      </c>
      <c r="G21" s="56" t="s">
        <v>197</v>
      </c>
      <c r="H21" s="52" t="s">
        <v>149</v>
      </c>
    </row>
    <row r="22" spans="1:8" s="50" customFormat="1" ht="36">
      <c r="A22" s="52" t="s">
        <v>200</v>
      </c>
      <c r="B22" s="52" t="s">
        <v>108</v>
      </c>
      <c r="C22" s="52">
        <v>2210</v>
      </c>
      <c r="D22" s="53">
        <f>60+543-24+801-190.18+204+35.06</f>
        <v>1428.8799999999999</v>
      </c>
      <c r="E22" s="54" t="str">
        <f t="shared" si="0"/>
        <v>Одна тисячa чотириста двадцять вісім грн. 88 коп.</v>
      </c>
      <c r="F22" s="55" t="s">
        <v>106</v>
      </c>
      <c r="G22" s="56" t="s">
        <v>173</v>
      </c>
      <c r="H22" s="52"/>
    </row>
    <row r="23" spans="1:8" s="50" customFormat="1" ht="51">
      <c r="A23" s="52" t="s">
        <v>242</v>
      </c>
      <c r="B23" s="52" t="s">
        <v>243</v>
      </c>
      <c r="C23" s="52">
        <v>2210</v>
      </c>
      <c r="D23" s="53">
        <f>240-20</f>
        <v>220</v>
      </c>
      <c r="E23" s="54" t="str">
        <f t="shared" si="0"/>
        <v>Двісті двадцять грн. 0 коп.</v>
      </c>
      <c r="F23" s="55" t="s">
        <v>106</v>
      </c>
      <c r="G23" s="56" t="s">
        <v>234</v>
      </c>
      <c r="H23" s="52"/>
    </row>
    <row r="24" spans="1:8" s="50" customFormat="1" ht="63.75">
      <c r="A24" s="52" t="s">
        <v>2</v>
      </c>
      <c r="B24" s="52" t="s">
        <v>199</v>
      </c>
      <c r="C24" s="52">
        <v>2210</v>
      </c>
      <c r="D24" s="53">
        <f>57.4+4.34+500</f>
        <v>561.74</v>
      </c>
      <c r="E24" s="54" t="str">
        <f t="shared" si="0"/>
        <v>П'ятсот шістдесят одна грн. 74 коп.</v>
      </c>
      <c r="F24" s="55" t="s">
        <v>106</v>
      </c>
      <c r="G24" s="56" t="s">
        <v>197</v>
      </c>
      <c r="H24" s="52" t="s">
        <v>1</v>
      </c>
    </row>
    <row r="25" spans="1:8" s="50" customFormat="1" ht="140.25">
      <c r="A25" s="52" t="s">
        <v>260</v>
      </c>
      <c r="B25" s="52" t="s">
        <v>105</v>
      </c>
      <c r="C25" s="52">
        <v>2210</v>
      </c>
      <c r="D25" s="53">
        <f>4086-152.5-2586+540+972+24+452.72+959.24-195.88+710.73+15.15+9649.62</f>
        <v>14475.08</v>
      </c>
      <c r="E25" s="54" t="str">
        <f t="shared" si="0"/>
        <v>Чотирнадцять тисяч чотириста сімдесят п'ять грн. 8 коп.</v>
      </c>
      <c r="F25" s="55" t="s">
        <v>106</v>
      </c>
      <c r="G25" s="52" t="s">
        <v>107</v>
      </c>
      <c r="H25" s="52" t="s">
        <v>259</v>
      </c>
    </row>
    <row r="26" spans="1:8" s="50" customFormat="1" ht="25.5">
      <c r="A26" s="52" t="s">
        <v>180</v>
      </c>
      <c r="B26" s="52" t="s">
        <v>105</v>
      </c>
      <c r="C26" s="52">
        <v>2210</v>
      </c>
      <c r="D26" s="53">
        <v>3780</v>
      </c>
      <c r="E26" s="54" t="str">
        <f t="shared" si="0"/>
        <v>Три тисячі сімсот вісімдесят грн. 0 коп.</v>
      </c>
      <c r="F26" s="55" t="s">
        <v>172</v>
      </c>
      <c r="G26" s="56" t="s">
        <v>176</v>
      </c>
      <c r="H26" s="52"/>
    </row>
    <row r="27" spans="1:8" s="50" customFormat="1" ht="25.5">
      <c r="A27" s="52" t="s">
        <v>180</v>
      </c>
      <c r="B27" s="52" t="s">
        <v>105</v>
      </c>
      <c r="C27" s="52">
        <v>2210</v>
      </c>
      <c r="D27" s="53">
        <v>4750</v>
      </c>
      <c r="E27" s="54" t="str">
        <f t="shared" si="0"/>
        <v>Чотири тисячі сімсот п'ятдесят грн. 0 коп.</v>
      </c>
      <c r="F27" s="55" t="s">
        <v>172</v>
      </c>
      <c r="G27" s="56" t="s">
        <v>234</v>
      </c>
      <c r="H27" s="52"/>
    </row>
    <row r="28" spans="1:8" s="50" customFormat="1" ht="38.25">
      <c r="A28" s="52" t="s">
        <v>171</v>
      </c>
      <c r="B28" s="52" t="s">
        <v>105</v>
      </c>
      <c r="C28" s="52">
        <v>2210</v>
      </c>
      <c r="D28" s="53">
        <f>17550-1750</f>
        <v>15800</v>
      </c>
      <c r="E28" s="54" t="str">
        <f t="shared" si="0"/>
        <v>П'ятнадцять тисяч вісімсот грн. 0 коп.</v>
      </c>
      <c r="F28" s="55" t="s">
        <v>172</v>
      </c>
      <c r="G28" s="56" t="s">
        <v>163</v>
      </c>
      <c r="H28" s="52"/>
    </row>
    <row r="29" spans="1:29" s="50" customFormat="1" ht="54" customHeight="1">
      <c r="A29" s="52" t="s">
        <v>188</v>
      </c>
      <c r="B29" s="52" t="s">
        <v>156</v>
      </c>
      <c r="C29" s="52">
        <v>2210</v>
      </c>
      <c r="D29" s="53">
        <f>4350+2950-178.6</f>
        <v>7121.4</v>
      </c>
      <c r="E29" s="54" t="str">
        <f t="shared" si="0"/>
        <v>Сім тисяч сто двадцять одна грн. 40 коп.</v>
      </c>
      <c r="F29" s="55" t="s">
        <v>106</v>
      </c>
      <c r="G29" s="56" t="s">
        <v>153</v>
      </c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s="50" customFormat="1" ht="36">
      <c r="A30" s="52" t="s">
        <v>220</v>
      </c>
      <c r="B30" s="52" t="s">
        <v>156</v>
      </c>
      <c r="C30" s="52">
        <v>2210</v>
      </c>
      <c r="D30" s="53">
        <f>8000-701</f>
        <v>7299</v>
      </c>
      <c r="E30" s="54" t="str">
        <f t="shared" si="0"/>
        <v>Сім тисяч двісті дев'яносто дев'ять грн. 0 коп.</v>
      </c>
      <c r="F30" s="55" t="s">
        <v>172</v>
      </c>
      <c r="G30" s="56" t="s">
        <v>197</v>
      </c>
      <c r="H30" s="5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8" s="50" customFormat="1" ht="38.25">
      <c r="A31" s="52" t="s">
        <v>201</v>
      </c>
      <c r="B31" s="52" t="s">
        <v>189</v>
      </c>
      <c r="C31" s="52">
        <v>2210</v>
      </c>
      <c r="D31" s="53">
        <f>58.04+105.35+9.3</f>
        <v>172.69</v>
      </c>
      <c r="E31" s="54" t="str">
        <f t="shared" si="0"/>
        <v>Сто сімдесят дві грн. 69 коп.</v>
      </c>
      <c r="F31" s="55" t="s">
        <v>106</v>
      </c>
      <c r="G31" s="56" t="s">
        <v>190</v>
      </c>
      <c r="H31" s="52"/>
    </row>
    <row r="32" spans="1:8" s="50" customFormat="1" ht="25.5">
      <c r="A32" s="52" t="s">
        <v>244</v>
      </c>
      <c r="B32" s="52" t="s">
        <v>245</v>
      </c>
      <c r="C32" s="52">
        <v>2210</v>
      </c>
      <c r="D32" s="53">
        <f>150+3</f>
        <v>153</v>
      </c>
      <c r="E32" s="54" t="str">
        <f t="shared" si="0"/>
        <v>Сто п'ятдесят три грн. 0 коп.</v>
      </c>
      <c r="F32" s="55" t="s">
        <v>106</v>
      </c>
      <c r="G32" s="56" t="s">
        <v>234</v>
      </c>
      <c r="H32" s="52"/>
    </row>
    <row r="33" spans="1:8" s="50" customFormat="1" ht="63.75">
      <c r="A33" s="52" t="s">
        <v>3</v>
      </c>
      <c r="B33" s="52" t="s">
        <v>246</v>
      </c>
      <c r="C33" s="52">
        <v>2210</v>
      </c>
      <c r="D33" s="53">
        <f>4310+2163</f>
        <v>6473</v>
      </c>
      <c r="E33" s="54" t="str">
        <f t="shared" si="0"/>
        <v>Шість тисяч чотириста сімдесят три грн. 0 коп.</v>
      </c>
      <c r="F33" s="55" t="s">
        <v>106</v>
      </c>
      <c r="G33" s="56" t="s">
        <v>234</v>
      </c>
      <c r="H33" s="52" t="s">
        <v>4</v>
      </c>
    </row>
    <row r="34" spans="1:7" s="50" customFormat="1" ht="38.25">
      <c r="A34" s="52" t="s">
        <v>166</v>
      </c>
      <c r="B34" s="52" t="s">
        <v>164</v>
      </c>
      <c r="C34" s="52">
        <v>2210</v>
      </c>
      <c r="D34" s="53">
        <f>10000-590</f>
        <v>9410</v>
      </c>
      <c r="E34" s="54" t="str">
        <f t="shared" si="0"/>
        <v>Дев'ять тисяч чотириста десять грн. 0 коп.</v>
      </c>
      <c r="F34" s="55" t="s">
        <v>172</v>
      </c>
      <c r="G34" s="56" t="s">
        <v>163</v>
      </c>
    </row>
    <row r="35" spans="1:8" s="50" customFormat="1" ht="25.5">
      <c r="A35" s="52" t="s">
        <v>186</v>
      </c>
      <c r="B35" s="52" t="s">
        <v>187</v>
      </c>
      <c r="C35" s="52">
        <v>2210</v>
      </c>
      <c r="D35" s="53">
        <f>200-20</f>
        <v>180</v>
      </c>
      <c r="E35" s="54" t="str">
        <f t="shared" si="0"/>
        <v>Сто вісімдесят грн. 0 коп.</v>
      </c>
      <c r="F35" s="55" t="s">
        <v>106</v>
      </c>
      <c r="G35" s="56" t="s">
        <v>176</v>
      </c>
      <c r="H35" s="52"/>
    </row>
    <row r="36" spans="1:8" s="50" customFormat="1" ht="38.25">
      <c r="A36" s="52" t="s">
        <v>158</v>
      </c>
      <c r="B36" s="52" t="s">
        <v>109</v>
      </c>
      <c r="C36" s="52">
        <v>2210</v>
      </c>
      <c r="D36" s="53">
        <f>75.6+10.44+110+25.37+110-9.2+276-11.3</f>
        <v>586.9100000000001</v>
      </c>
      <c r="E36" s="54" t="str">
        <f t="shared" si="0"/>
        <v>П'ятсот вісімдесят шість грн. 91 коп.</v>
      </c>
      <c r="F36" s="55" t="s">
        <v>106</v>
      </c>
      <c r="G36" s="52" t="s">
        <v>107</v>
      </c>
      <c r="H36" s="52"/>
    </row>
    <row r="37" spans="1:8" s="50" customFormat="1" ht="25.5">
      <c r="A37" s="52" t="s">
        <v>154</v>
      </c>
      <c r="B37" s="52" t="s">
        <v>155</v>
      </c>
      <c r="C37" s="52">
        <v>2210</v>
      </c>
      <c r="D37" s="53">
        <v>92.5</v>
      </c>
      <c r="E37" s="54" t="str">
        <f t="shared" si="0"/>
        <v>Дев'яносто дві грн. 50 коп.</v>
      </c>
      <c r="F37" s="55" t="s">
        <v>106</v>
      </c>
      <c r="G37" s="56" t="s">
        <v>153</v>
      </c>
      <c r="H37" s="52"/>
    </row>
    <row r="38" spans="1:8" s="50" customFormat="1" ht="38.25">
      <c r="A38" s="52" t="s">
        <v>161</v>
      </c>
      <c r="B38" s="52" t="s">
        <v>162</v>
      </c>
      <c r="C38" s="52">
        <v>2210</v>
      </c>
      <c r="D38" s="53">
        <f>6660-504</f>
        <v>6156</v>
      </c>
      <c r="E38" s="54" t="str">
        <f t="shared" si="0"/>
        <v>Шість тисяч сто п'ятдесят шість грн. 0 коп.</v>
      </c>
      <c r="F38" s="55" t="s">
        <v>172</v>
      </c>
      <c r="G38" s="56" t="s">
        <v>163</v>
      </c>
      <c r="H38" s="52"/>
    </row>
    <row r="39" spans="1:8" s="50" customFormat="1" ht="38.25">
      <c r="A39" s="52" t="s">
        <v>191</v>
      </c>
      <c r="B39" s="52" t="s">
        <v>192</v>
      </c>
      <c r="C39" s="52">
        <v>2210</v>
      </c>
      <c r="D39" s="53">
        <f>7.73+38.65</f>
        <v>46.379999999999995</v>
      </c>
      <c r="E39" s="54" t="str">
        <f t="shared" si="0"/>
        <v>Сорок шість грн. 38 коп.</v>
      </c>
      <c r="F39" s="55" t="s">
        <v>106</v>
      </c>
      <c r="G39" s="56" t="s">
        <v>190</v>
      </c>
      <c r="H39" s="52"/>
    </row>
    <row r="40" spans="1:8" s="50" customFormat="1" ht="25.5">
      <c r="A40" s="52" t="s">
        <v>250</v>
      </c>
      <c r="B40" s="52" t="s">
        <v>251</v>
      </c>
      <c r="C40" s="52">
        <v>2210</v>
      </c>
      <c r="D40" s="53">
        <v>37</v>
      </c>
      <c r="E40" s="54" t="str">
        <f t="shared" si="0"/>
        <v>Тридцять сім грн. 0 коп.</v>
      </c>
      <c r="F40" s="55" t="s">
        <v>106</v>
      </c>
      <c r="G40" s="56" t="s">
        <v>234</v>
      </c>
      <c r="H40" s="52"/>
    </row>
    <row r="41" spans="1:8" s="50" customFormat="1" ht="38.25">
      <c r="A41" s="52" t="s">
        <v>5</v>
      </c>
      <c r="B41" s="52" t="s">
        <v>6</v>
      </c>
      <c r="C41" s="52">
        <v>2210</v>
      </c>
      <c r="D41" s="53">
        <v>1500</v>
      </c>
      <c r="E41" s="54" t="str">
        <f t="shared" si="0"/>
        <v>Одна тисячa п'ятсот грн. 0 коп.</v>
      </c>
      <c r="F41" s="55" t="s">
        <v>106</v>
      </c>
      <c r="G41" s="56" t="s">
        <v>253</v>
      </c>
      <c r="H41" s="52"/>
    </row>
    <row r="42" spans="1:8" s="50" customFormat="1" ht="38.25">
      <c r="A42" s="52" t="s">
        <v>7</v>
      </c>
      <c r="B42" s="52" t="s">
        <v>8</v>
      </c>
      <c r="C42" s="52">
        <v>2210</v>
      </c>
      <c r="D42" s="53">
        <v>2500</v>
      </c>
      <c r="E42" s="54" t="str">
        <f t="shared" si="0"/>
        <v>Дві тисячі п'ятсот грн. 0 коп.</v>
      </c>
      <c r="F42" s="55" t="s">
        <v>106</v>
      </c>
      <c r="G42" s="56" t="s">
        <v>253</v>
      </c>
      <c r="H42" s="52"/>
    </row>
    <row r="43" spans="1:8" s="50" customFormat="1" ht="51">
      <c r="A43" s="52" t="s">
        <v>202</v>
      </c>
      <c r="B43" s="52" t="s">
        <v>185</v>
      </c>
      <c r="C43" s="52">
        <v>2210</v>
      </c>
      <c r="D43" s="53">
        <f>120+95.36+408.96-219.84+440</f>
        <v>844.4799999999999</v>
      </c>
      <c r="E43" s="54" t="str">
        <f t="shared" si="0"/>
        <v>Вісімсот сорок чотири грн. 48 коп.</v>
      </c>
      <c r="F43" s="55" t="s">
        <v>106</v>
      </c>
      <c r="G43" s="56" t="s">
        <v>176</v>
      </c>
      <c r="H43" s="52"/>
    </row>
    <row r="44" spans="1:8" s="50" customFormat="1" ht="25.5">
      <c r="A44" s="52" t="s">
        <v>9</v>
      </c>
      <c r="B44" s="52" t="s">
        <v>10</v>
      </c>
      <c r="C44" s="52">
        <v>2210</v>
      </c>
      <c r="D44" s="53">
        <v>800</v>
      </c>
      <c r="E44" s="54" t="str">
        <f t="shared" si="0"/>
        <v>Вісімсот грн. 0 коп.</v>
      </c>
      <c r="F44" s="55" t="s">
        <v>106</v>
      </c>
      <c r="G44" s="56" t="s">
        <v>253</v>
      </c>
      <c r="H44" s="52"/>
    </row>
    <row r="45" spans="1:8" s="50" customFormat="1" ht="25.5">
      <c r="A45" s="52" t="s">
        <v>11</v>
      </c>
      <c r="B45" s="52" t="s">
        <v>12</v>
      </c>
      <c r="C45" s="52">
        <v>2210</v>
      </c>
      <c r="D45" s="53">
        <v>500</v>
      </c>
      <c r="E45" s="54" t="str">
        <f t="shared" si="0"/>
        <v>П'ятсот грн. 0 коп.</v>
      </c>
      <c r="F45" s="55" t="s">
        <v>106</v>
      </c>
      <c r="G45" s="56" t="s">
        <v>253</v>
      </c>
      <c r="H45" s="52"/>
    </row>
    <row r="46" spans="1:8" s="50" customFormat="1" ht="25.5">
      <c r="A46" s="52" t="s">
        <v>247</v>
      </c>
      <c r="B46" s="52" t="s">
        <v>248</v>
      </c>
      <c r="C46" s="52">
        <v>2210</v>
      </c>
      <c r="D46" s="53">
        <f>480-30.38</f>
        <v>449.62</v>
      </c>
      <c r="E46" s="54" t="str">
        <f t="shared" si="0"/>
        <v>Чотириста сорок дев'ять грн. 62 коп.</v>
      </c>
      <c r="F46" s="55" t="s">
        <v>106</v>
      </c>
      <c r="G46" s="56" t="s">
        <v>234</v>
      </c>
      <c r="H46" s="52"/>
    </row>
    <row r="47" spans="1:8" s="50" customFormat="1" ht="25.5">
      <c r="A47" s="52" t="s">
        <v>13</v>
      </c>
      <c r="B47" s="52" t="s">
        <v>14</v>
      </c>
      <c r="C47" s="52">
        <v>2210</v>
      </c>
      <c r="D47" s="53">
        <v>2400</v>
      </c>
      <c r="E47" s="54" t="str">
        <f t="shared" si="0"/>
        <v>Дві тисячі чотириста грн. 0 коп.</v>
      </c>
      <c r="F47" s="55" t="s">
        <v>106</v>
      </c>
      <c r="G47" s="56" t="s">
        <v>253</v>
      </c>
      <c r="H47" s="52"/>
    </row>
    <row r="48" spans="1:8" s="50" customFormat="1" ht="25.5">
      <c r="A48" s="52" t="s">
        <v>183</v>
      </c>
      <c r="B48" s="52" t="s">
        <v>184</v>
      </c>
      <c r="C48" s="52">
        <v>2210</v>
      </c>
      <c r="D48" s="53">
        <f>180-86.59</f>
        <v>93.41</v>
      </c>
      <c r="E48" s="54" t="str">
        <f t="shared" si="0"/>
        <v>Дев'яносто три грн. 41 коп.</v>
      </c>
      <c r="F48" s="55" t="s">
        <v>106</v>
      </c>
      <c r="G48" s="56" t="s">
        <v>176</v>
      </c>
      <c r="H48" s="52"/>
    </row>
    <row r="49" spans="1:8" s="50" customFormat="1" ht="25.5">
      <c r="A49" s="52" t="s">
        <v>159</v>
      </c>
      <c r="B49" s="52" t="s">
        <v>157</v>
      </c>
      <c r="C49" s="52">
        <v>2210</v>
      </c>
      <c r="D49" s="53">
        <f>298.4-124+40.15+479.16-45.15+388-37.12-31.6+902.8</f>
        <v>1870.6399999999999</v>
      </c>
      <c r="E49" s="54" t="str">
        <f t="shared" si="0"/>
        <v>Одна тисячa вісімсот сімдесят грн. 64 коп.</v>
      </c>
      <c r="F49" s="55" t="s">
        <v>106</v>
      </c>
      <c r="G49" s="52" t="s">
        <v>107</v>
      </c>
      <c r="H49" s="52"/>
    </row>
    <row r="50" spans="1:8" s="71" customFormat="1" ht="36">
      <c r="A50" s="68" t="s">
        <v>203</v>
      </c>
      <c r="B50" s="68" t="s">
        <v>204</v>
      </c>
      <c r="C50" s="68">
        <v>2210</v>
      </c>
      <c r="D50" s="69">
        <f>193.3+43.78-164.94</f>
        <v>72.14000000000001</v>
      </c>
      <c r="E50" s="54" t="str">
        <f aca="true" t="shared" si="1" ref="E50:E84">SUMINWORDS(D50,"грн.","коп.")</f>
        <v>Сімдесят дві грн. 14 коп.</v>
      </c>
      <c r="F50" s="68" t="s">
        <v>106</v>
      </c>
      <c r="G50" s="70" t="s">
        <v>197</v>
      </c>
      <c r="H50" s="52"/>
    </row>
    <row r="51" spans="1:8" s="71" customFormat="1" ht="36">
      <c r="A51" s="68" t="s">
        <v>205</v>
      </c>
      <c r="B51" s="68" t="s">
        <v>206</v>
      </c>
      <c r="C51" s="68">
        <v>2210</v>
      </c>
      <c r="D51" s="69">
        <f>91.96-67.96</f>
        <v>24</v>
      </c>
      <c r="E51" s="54" t="str">
        <f t="shared" si="1"/>
        <v>Двадцять чотири грн. 0 коп.</v>
      </c>
      <c r="F51" s="68" t="s">
        <v>106</v>
      </c>
      <c r="G51" s="70" t="s">
        <v>197</v>
      </c>
      <c r="H51" s="52"/>
    </row>
    <row r="52" spans="1:8" s="50" customFormat="1" ht="24" customHeight="1">
      <c r="A52" s="52" t="s">
        <v>207</v>
      </c>
      <c r="B52" s="52" t="s">
        <v>208</v>
      </c>
      <c r="C52" s="52">
        <v>2210</v>
      </c>
      <c r="D52" s="53">
        <v>1420</v>
      </c>
      <c r="E52" s="54" t="str">
        <f t="shared" si="1"/>
        <v>Одна тисячa чотириста двадцять грн. 0 коп.</v>
      </c>
      <c r="F52" s="55" t="s">
        <v>106</v>
      </c>
      <c r="G52" s="56" t="s">
        <v>197</v>
      </c>
      <c r="H52" s="52"/>
    </row>
    <row r="53" spans="1:8" s="50" customFormat="1" ht="27.75" customHeight="1">
      <c r="A53" s="52" t="s">
        <v>209</v>
      </c>
      <c r="B53" s="52" t="s">
        <v>210</v>
      </c>
      <c r="C53" s="52">
        <v>2210</v>
      </c>
      <c r="D53" s="53">
        <f>5+15.67</f>
        <v>20.67</v>
      </c>
      <c r="E53" s="54" t="str">
        <f t="shared" si="1"/>
        <v>Двадцять грн. 67 коп.</v>
      </c>
      <c r="F53" s="55" t="s">
        <v>106</v>
      </c>
      <c r="G53" s="56" t="s">
        <v>197</v>
      </c>
      <c r="H53" s="52"/>
    </row>
    <row r="54" spans="1:8" s="50" customFormat="1" ht="25.5">
      <c r="A54" s="52" t="s">
        <v>211</v>
      </c>
      <c r="B54" s="52" t="s">
        <v>212</v>
      </c>
      <c r="C54" s="52">
        <v>2210</v>
      </c>
      <c r="D54" s="53">
        <f>2039.1-393.08</f>
        <v>1646.02</v>
      </c>
      <c r="E54" s="54" t="str">
        <f t="shared" si="1"/>
        <v>Одна тисячa шістсот сорок шість грн. 2 коп.</v>
      </c>
      <c r="F54" s="55" t="s">
        <v>106</v>
      </c>
      <c r="G54" s="56" t="s">
        <v>197</v>
      </c>
      <c r="H54" s="52"/>
    </row>
    <row r="55" spans="1:8" s="50" customFormat="1" ht="25.5">
      <c r="A55" s="52" t="s">
        <v>213</v>
      </c>
      <c r="B55" s="52" t="s">
        <v>214</v>
      </c>
      <c r="C55" s="52">
        <v>2210</v>
      </c>
      <c r="D55" s="53">
        <f>60.06-11.8</f>
        <v>48.260000000000005</v>
      </c>
      <c r="E55" s="54" t="str">
        <f t="shared" si="1"/>
        <v>Сорок вісім грн. 26 коп.</v>
      </c>
      <c r="F55" s="55" t="s">
        <v>106</v>
      </c>
      <c r="G55" s="56" t="s">
        <v>197</v>
      </c>
      <c r="H55" s="52"/>
    </row>
    <row r="56" spans="1:8" s="50" customFormat="1" ht="42" customHeight="1">
      <c r="A56" s="52" t="s">
        <v>15</v>
      </c>
      <c r="B56" s="52" t="s">
        <v>16</v>
      </c>
      <c r="C56" s="52">
        <v>2210</v>
      </c>
      <c r="D56" s="53">
        <v>3843</v>
      </c>
      <c r="E56" s="54" t="str">
        <f t="shared" si="1"/>
        <v>Три тисячі вісімсот сорок три грн. 0 коп.</v>
      </c>
      <c r="F56" s="55" t="s">
        <v>106</v>
      </c>
      <c r="G56" s="56" t="s">
        <v>253</v>
      </c>
      <c r="H56" s="52"/>
    </row>
    <row r="57" spans="1:8" s="50" customFormat="1" ht="24">
      <c r="A57" s="52" t="s">
        <v>215</v>
      </c>
      <c r="B57" s="52" t="s">
        <v>216</v>
      </c>
      <c r="C57" s="52">
        <v>2210</v>
      </c>
      <c r="D57" s="53">
        <f>689.79-118.14</f>
        <v>571.65</v>
      </c>
      <c r="E57" s="54" t="str">
        <f t="shared" si="1"/>
        <v>П'ятсот сімдесят одна грн. 65 коп.</v>
      </c>
      <c r="F57" s="55" t="s">
        <v>106</v>
      </c>
      <c r="G57" s="56" t="s">
        <v>197</v>
      </c>
      <c r="H57" s="52"/>
    </row>
    <row r="58" spans="1:8" s="50" customFormat="1" ht="25.5">
      <c r="A58" s="52" t="s">
        <v>217</v>
      </c>
      <c r="B58" s="52" t="s">
        <v>218</v>
      </c>
      <c r="C58" s="52">
        <v>2210</v>
      </c>
      <c r="D58" s="53">
        <f>40.51+64.01</f>
        <v>104.52000000000001</v>
      </c>
      <c r="E58" s="54" t="str">
        <f t="shared" si="1"/>
        <v>Сто чотири грн. 52 коп.</v>
      </c>
      <c r="F58" s="55" t="s">
        <v>106</v>
      </c>
      <c r="G58" s="56" t="s">
        <v>197</v>
      </c>
      <c r="H58" s="52"/>
    </row>
    <row r="59" spans="1:8" s="50" customFormat="1" ht="86.25" customHeight="1">
      <c r="A59" s="68" t="s">
        <v>232</v>
      </c>
      <c r="B59" s="52" t="s">
        <v>233</v>
      </c>
      <c r="C59" s="52">
        <v>2240</v>
      </c>
      <c r="D59" s="53">
        <v>1668</v>
      </c>
      <c r="E59" s="54" t="str">
        <f t="shared" si="1"/>
        <v>Одна тисячa шістсот шістдесят вісім грн. 0 коп.</v>
      </c>
      <c r="F59" s="55" t="s">
        <v>106</v>
      </c>
      <c r="G59" s="56" t="s">
        <v>234</v>
      </c>
      <c r="H59" s="52"/>
    </row>
    <row r="60" spans="1:8" s="50" customFormat="1" ht="51">
      <c r="A60" s="52" t="s">
        <v>256</v>
      </c>
      <c r="B60" s="52" t="s">
        <v>219</v>
      </c>
      <c r="C60" s="52">
        <v>2240</v>
      </c>
      <c r="D60" s="53">
        <f>8500+47.77+1404</f>
        <v>9951.77</v>
      </c>
      <c r="E60" s="54" t="str">
        <f t="shared" si="1"/>
        <v>Дев'ять тисяч дев'ятсот п'ятдесят одна грн. 77 коп.</v>
      </c>
      <c r="F60" s="55" t="s">
        <v>106</v>
      </c>
      <c r="G60" s="56" t="s">
        <v>197</v>
      </c>
      <c r="H60" s="52"/>
    </row>
    <row r="61" spans="1:8" s="50" customFormat="1" ht="38.25">
      <c r="A61" s="52" t="s">
        <v>119</v>
      </c>
      <c r="B61" s="52" t="s">
        <v>19</v>
      </c>
      <c r="C61" s="52">
        <v>2240</v>
      </c>
      <c r="D61" s="53">
        <v>8000</v>
      </c>
      <c r="E61" s="54" t="str">
        <f t="shared" si="1"/>
        <v>Вісім тисяч грн. 0 коп.</v>
      </c>
      <c r="F61" s="55" t="s">
        <v>106</v>
      </c>
      <c r="G61" s="52" t="s">
        <v>107</v>
      </c>
      <c r="H61" s="52"/>
    </row>
    <row r="62" spans="1:8" s="50" customFormat="1" ht="25.5">
      <c r="A62" s="52" t="s">
        <v>17</v>
      </c>
      <c r="B62" s="52" t="s">
        <v>18</v>
      </c>
      <c r="C62" s="52">
        <v>2240</v>
      </c>
      <c r="D62" s="53">
        <v>900</v>
      </c>
      <c r="E62" s="54" t="str">
        <f t="shared" si="1"/>
        <v>Дев'ятсот грн. 0 коп.</v>
      </c>
      <c r="F62" s="55" t="s">
        <v>106</v>
      </c>
      <c r="G62" s="56" t="s">
        <v>253</v>
      </c>
      <c r="H62" s="52"/>
    </row>
    <row r="63" spans="1:8" s="50" customFormat="1" ht="63.75">
      <c r="A63" s="52" t="s">
        <v>113</v>
      </c>
      <c r="B63" s="57" t="s">
        <v>114</v>
      </c>
      <c r="C63" s="52">
        <v>2240</v>
      </c>
      <c r="D63" s="53">
        <f>3000+900+2700+900-90+1407.78</f>
        <v>8817.78</v>
      </c>
      <c r="E63" s="54" t="str">
        <f t="shared" si="1"/>
        <v>Вісім тисяч вісімсот сімнадцять грн. 78 коп.</v>
      </c>
      <c r="F63" s="55" t="s">
        <v>106</v>
      </c>
      <c r="G63" s="52" t="s">
        <v>107</v>
      </c>
      <c r="H63" s="52" t="s">
        <v>20</v>
      </c>
    </row>
    <row r="64" spans="1:8" s="50" customFormat="1" ht="51">
      <c r="A64" s="52" t="s">
        <v>193</v>
      </c>
      <c r="B64" s="57" t="s">
        <v>194</v>
      </c>
      <c r="C64" s="52">
        <v>2240</v>
      </c>
      <c r="D64" s="53">
        <v>320</v>
      </c>
      <c r="E64" s="54" t="str">
        <f t="shared" si="1"/>
        <v>Триста двадцять грн. 0 коп.</v>
      </c>
      <c r="F64" s="55" t="s">
        <v>106</v>
      </c>
      <c r="G64" s="56" t="s">
        <v>190</v>
      </c>
      <c r="H64" s="52"/>
    </row>
    <row r="65" spans="1:8" s="50" customFormat="1" ht="95.25" customHeight="1">
      <c r="A65" s="68" t="s">
        <v>249</v>
      </c>
      <c r="B65" s="52" t="s">
        <v>118</v>
      </c>
      <c r="C65" s="52">
        <v>2240</v>
      </c>
      <c r="D65" s="53">
        <f>5528.52-1000+18000+5000-147.84+4000+600-30.95-5000+50.61+1116+425</f>
        <v>28541.34</v>
      </c>
      <c r="E65" s="54" t="str">
        <f t="shared" si="1"/>
        <v>Двадцять вісім тисяч п'ятсот сорок одна грн. 34 коп.</v>
      </c>
      <c r="F65" s="55" t="s">
        <v>106</v>
      </c>
      <c r="G65" s="52" t="s">
        <v>107</v>
      </c>
      <c r="H65" s="52" t="s">
        <v>21</v>
      </c>
    </row>
    <row r="66" spans="1:8" s="50" customFormat="1" ht="66.75" customHeight="1">
      <c r="A66" s="52" t="s">
        <v>235</v>
      </c>
      <c r="B66" s="52" t="s">
        <v>118</v>
      </c>
      <c r="C66" s="52">
        <v>2240</v>
      </c>
      <c r="D66" s="53">
        <f>5000+1741</f>
        <v>6741</v>
      </c>
      <c r="E66" s="54" t="str">
        <f t="shared" si="1"/>
        <v>Шість тисяч сімсот сорок одна грн. 0 коп.</v>
      </c>
      <c r="F66" s="55" t="s">
        <v>172</v>
      </c>
      <c r="G66" s="56" t="s">
        <v>234</v>
      </c>
      <c r="H66" s="52"/>
    </row>
    <row r="67" spans="1:8" s="50" customFormat="1" ht="89.25">
      <c r="A67" s="52" t="s">
        <v>252</v>
      </c>
      <c r="B67" s="52" t="s">
        <v>225</v>
      </c>
      <c r="C67" s="52">
        <v>2240</v>
      </c>
      <c r="D67" s="53">
        <f>1800+8000</f>
        <v>9800</v>
      </c>
      <c r="E67" s="54" t="str">
        <f t="shared" si="1"/>
        <v>Дев'ять тисяч вісімсот грн. 0 коп.</v>
      </c>
      <c r="F67" s="55" t="s">
        <v>106</v>
      </c>
      <c r="G67" s="56" t="s">
        <v>224</v>
      </c>
      <c r="H67" s="52"/>
    </row>
    <row r="68" spans="1:8" s="50" customFormat="1" ht="51">
      <c r="A68" s="52" t="s">
        <v>222</v>
      </c>
      <c r="B68" s="52" t="s">
        <v>223</v>
      </c>
      <c r="C68" s="52">
        <v>2240</v>
      </c>
      <c r="D68" s="53">
        <f>2500-1000</f>
        <v>1500</v>
      </c>
      <c r="E68" s="54" t="str">
        <f t="shared" si="1"/>
        <v>Одна тисячa п'ятсот грн. 0 коп.</v>
      </c>
      <c r="F68" s="55" t="s">
        <v>106</v>
      </c>
      <c r="G68" s="56" t="s">
        <v>224</v>
      </c>
      <c r="H68" s="52"/>
    </row>
    <row r="69" spans="1:8" s="50" customFormat="1" ht="51">
      <c r="A69" s="52" t="s">
        <v>22</v>
      </c>
      <c r="B69" s="52" t="s">
        <v>23</v>
      </c>
      <c r="C69" s="52">
        <v>2240</v>
      </c>
      <c r="D69" s="53">
        <v>2000</v>
      </c>
      <c r="E69" s="54" t="str">
        <f t="shared" si="1"/>
        <v>Дві тисячі грн. 0 коп.</v>
      </c>
      <c r="F69" s="55" t="s">
        <v>106</v>
      </c>
      <c r="G69" s="52" t="s">
        <v>107</v>
      </c>
      <c r="H69" s="52"/>
    </row>
    <row r="70" spans="1:8" s="72" customFormat="1" ht="38.25">
      <c r="A70" s="52" t="s">
        <v>148</v>
      </c>
      <c r="B70" s="52" t="s">
        <v>110</v>
      </c>
      <c r="C70" s="52">
        <v>2240</v>
      </c>
      <c r="D70" s="53">
        <f>460.8+200</f>
        <v>660.8</v>
      </c>
      <c r="E70" s="54" t="str">
        <f t="shared" si="1"/>
        <v>Шістсот шістдесят грн. 80 коп.</v>
      </c>
      <c r="F70" s="55" t="s">
        <v>106</v>
      </c>
      <c r="G70" s="52" t="s">
        <v>107</v>
      </c>
      <c r="H70" s="52"/>
    </row>
    <row r="71" spans="1:8" s="72" customFormat="1" ht="51">
      <c r="A71" s="52" t="s">
        <v>227</v>
      </c>
      <c r="B71" s="52" t="s">
        <v>226</v>
      </c>
      <c r="C71" s="52">
        <v>2240</v>
      </c>
      <c r="D71" s="53">
        <f>10893.52+1300</f>
        <v>12193.52</v>
      </c>
      <c r="E71" s="54" t="str">
        <f t="shared" si="1"/>
        <v>Дванадцять тисяч сто дев'яносто три грн. 52 коп.</v>
      </c>
      <c r="F71" s="55" t="s">
        <v>106</v>
      </c>
      <c r="G71" s="52" t="s">
        <v>107</v>
      </c>
      <c r="H71" s="52"/>
    </row>
    <row r="72" spans="1:8" s="72" customFormat="1" ht="51">
      <c r="A72" s="52" t="s">
        <v>169</v>
      </c>
      <c r="B72" s="52" t="s">
        <v>170</v>
      </c>
      <c r="C72" s="52">
        <v>2240</v>
      </c>
      <c r="D72" s="53">
        <f>3000+4996-7.78</f>
        <v>7988.22</v>
      </c>
      <c r="E72" s="54" t="str">
        <f t="shared" si="1"/>
        <v>Сім тисяч дев'ятсот вісімдесят вісім грн. 22 коп.</v>
      </c>
      <c r="F72" s="55" t="s">
        <v>106</v>
      </c>
      <c r="G72" s="56" t="s">
        <v>163</v>
      </c>
      <c r="H72" s="52" t="s">
        <v>24</v>
      </c>
    </row>
    <row r="73" spans="1:8" s="72" customFormat="1" ht="102">
      <c r="A73" s="52" t="s">
        <v>26</v>
      </c>
      <c r="B73" s="52" t="s">
        <v>145</v>
      </c>
      <c r="C73" s="52">
        <v>2240</v>
      </c>
      <c r="D73" s="53">
        <f>250+150+250+1500+4075</f>
        <v>6225</v>
      </c>
      <c r="E73" s="54" t="str">
        <f t="shared" si="1"/>
        <v>Шість тисяч двісті двадцять п'ять грн. 0 коп.</v>
      </c>
      <c r="F73" s="55" t="s">
        <v>106</v>
      </c>
      <c r="G73" s="56" t="s">
        <v>146</v>
      </c>
      <c r="H73" s="52" t="s">
        <v>25</v>
      </c>
    </row>
    <row r="74" spans="1:8" s="72" customFormat="1" ht="89.25">
      <c r="A74" s="52" t="s">
        <v>28</v>
      </c>
      <c r="B74" s="52" t="s">
        <v>145</v>
      </c>
      <c r="C74" s="52">
        <v>2240</v>
      </c>
      <c r="D74" s="53">
        <f>5000+10500</f>
        <v>15500</v>
      </c>
      <c r="E74" s="54" t="str">
        <f t="shared" si="1"/>
        <v>П'ятнадцять тисяч п'ятсот грн. 0 коп.</v>
      </c>
      <c r="F74" s="55" t="s">
        <v>106</v>
      </c>
      <c r="G74" s="56" t="s">
        <v>197</v>
      </c>
      <c r="H74" s="52" t="s">
        <v>27</v>
      </c>
    </row>
    <row r="75" spans="1:8" s="72" customFormat="1" ht="76.5">
      <c r="A75" s="52" t="s">
        <v>257</v>
      </c>
      <c r="B75" s="52" t="s">
        <v>147</v>
      </c>
      <c r="C75" s="52">
        <v>2240</v>
      </c>
      <c r="D75" s="53">
        <f>146+146+348+90+30000</f>
        <v>30730</v>
      </c>
      <c r="E75" s="54" t="str">
        <f t="shared" si="1"/>
        <v>Тридцять тисяч сімсот тридцять грн. 0 коп.</v>
      </c>
      <c r="F75" s="55" t="s">
        <v>106</v>
      </c>
      <c r="G75" s="56" t="s">
        <v>146</v>
      </c>
      <c r="H75" s="52"/>
    </row>
    <row r="76" spans="1:8" s="50" customFormat="1" ht="29.25" customHeight="1">
      <c r="A76" s="52" t="s">
        <v>111</v>
      </c>
      <c r="B76" s="57" t="s">
        <v>112</v>
      </c>
      <c r="C76" s="52">
        <v>2240</v>
      </c>
      <c r="D76" s="53">
        <v>3600</v>
      </c>
      <c r="E76" s="54" t="str">
        <f t="shared" si="1"/>
        <v>Три тисячі шістсот грн. 0 коп.</v>
      </c>
      <c r="F76" s="55" t="s">
        <v>106</v>
      </c>
      <c r="G76" s="52" t="s">
        <v>107</v>
      </c>
      <c r="H76" s="52"/>
    </row>
    <row r="77" spans="1:8" s="50" customFormat="1" ht="74.25" customHeight="1">
      <c r="A77" s="52" t="s">
        <v>165</v>
      </c>
      <c r="B77" s="57" t="s">
        <v>115</v>
      </c>
      <c r="C77" s="52">
        <v>2240</v>
      </c>
      <c r="D77" s="53">
        <f>6000+1000+18000+4500</f>
        <v>29500</v>
      </c>
      <c r="E77" s="54" t="str">
        <f t="shared" si="1"/>
        <v>Двадцять дев'ять тисяч п'ятсот грн. 0 коп.</v>
      </c>
      <c r="F77" s="55" t="s">
        <v>106</v>
      </c>
      <c r="G77" s="52" t="s">
        <v>107</v>
      </c>
      <c r="H77" s="52"/>
    </row>
    <row r="78" spans="1:8" s="72" customFormat="1" ht="39.75" customHeight="1">
      <c r="A78" s="52" t="s">
        <v>116</v>
      </c>
      <c r="B78" s="52" t="s">
        <v>117</v>
      </c>
      <c r="C78" s="52">
        <v>2240</v>
      </c>
      <c r="D78" s="53">
        <f>774.64+140.7</f>
        <v>915.3399999999999</v>
      </c>
      <c r="E78" s="54" t="str">
        <f t="shared" si="1"/>
        <v>Дев'ятсот п'ятнадцять грн. 34 коп.</v>
      </c>
      <c r="F78" s="55" t="s">
        <v>106</v>
      </c>
      <c r="G78" s="52" t="s">
        <v>107</v>
      </c>
      <c r="H78" s="52"/>
    </row>
    <row r="79" spans="1:8" s="72" customFormat="1" ht="45" customHeight="1">
      <c r="A79" s="68" t="s">
        <v>168</v>
      </c>
      <c r="B79" s="52" t="s">
        <v>167</v>
      </c>
      <c r="C79" s="52">
        <v>2240</v>
      </c>
      <c r="D79" s="53">
        <f>5400+16200</f>
        <v>21600</v>
      </c>
      <c r="E79" s="54" t="str">
        <f t="shared" si="1"/>
        <v>Двадцять одна тисячa шістсот грн. 0 коп.</v>
      </c>
      <c r="F79" s="55" t="s">
        <v>106</v>
      </c>
      <c r="G79" s="52" t="s">
        <v>107</v>
      </c>
      <c r="H79" s="52"/>
    </row>
    <row r="80" spans="1:8" s="72" customFormat="1" ht="49.5" customHeight="1">
      <c r="A80" s="52" t="s">
        <v>142</v>
      </c>
      <c r="B80" s="52" t="s">
        <v>120</v>
      </c>
      <c r="C80" s="52">
        <v>2240</v>
      </c>
      <c r="D80" s="53">
        <v>2400</v>
      </c>
      <c r="E80" s="54" t="str">
        <f t="shared" si="1"/>
        <v>Дві тисячі чотириста грн. 0 коп.</v>
      </c>
      <c r="F80" s="55" t="s">
        <v>106</v>
      </c>
      <c r="G80" s="52" t="s">
        <v>107</v>
      </c>
      <c r="H80" s="52"/>
    </row>
    <row r="81" spans="1:8" s="72" customFormat="1" ht="26.25" customHeight="1">
      <c r="A81" s="52" t="s">
        <v>121</v>
      </c>
      <c r="B81" s="52" t="s">
        <v>122</v>
      </c>
      <c r="C81" s="52">
        <v>2240</v>
      </c>
      <c r="D81" s="53">
        <v>25</v>
      </c>
      <c r="E81" s="54" t="str">
        <f t="shared" si="1"/>
        <v>Двадцять п'ять грн. 0 коп.</v>
      </c>
      <c r="F81" s="55" t="s">
        <v>106</v>
      </c>
      <c r="G81" s="52" t="s">
        <v>107</v>
      </c>
      <c r="H81" s="52"/>
    </row>
    <row r="82" spans="1:8" s="72" customFormat="1" ht="31.5" customHeight="1">
      <c r="A82" s="52" t="s">
        <v>174</v>
      </c>
      <c r="B82" s="52" t="s">
        <v>175</v>
      </c>
      <c r="C82" s="52">
        <v>2240</v>
      </c>
      <c r="D82" s="53">
        <v>147.84</v>
      </c>
      <c r="E82" s="54" t="str">
        <f t="shared" si="1"/>
        <v>Сто сорок сім грн. 84 коп.</v>
      </c>
      <c r="F82" s="55" t="s">
        <v>106</v>
      </c>
      <c r="G82" s="56" t="s">
        <v>176</v>
      </c>
      <c r="H82" s="52"/>
    </row>
    <row r="83" spans="1:8" s="72" customFormat="1" ht="51">
      <c r="A83" s="52" t="s">
        <v>123</v>
      </c>
      <c r="B83" s="52" t="s">
        <v>124</v>
      </c>
      <c r="C83" s="52">
        <v>2240</v>
      </c>
      <c r="D83" s="53">
        <f>2900-320-50.61</f>
        <v>2529.39</v>
      </c>
      <c r="E83" s="54" t="str">
        <f t="shared" si="1"/>
        <v>Дві тисячі п'ятсот двадцять дев'ять грн. 39 коп.</v>
      </c>
      <c r="F83" s="55" t="s">
        <v>106</v>
      </c>
      <c r="G83" s="52" t="s">
        <v>107</v>
      </c>
      <c r="H83" s="52"/>
    </row>
    <row r="84" spans="1:8" s="72" customFormat="1" ht="68.25">
      <c r="A84" s="52" t="s">
        <v>125</v>
      </c>
      <c r="B84" s="52" t="s">
        <v>255</v>
      </c>
      <c r="C84" s="52">
        <v>2271</v>
      </c>
      <c r="D84" s="53">
        <v>29900</v>
      </c>
      <c r="E84" s="54" t="str">
        <f t="shared" si="1"/>
        <v>Двадцять дев'ять тисяч дев'ятсот грн. 0 коп.</v>
      </c>
      <c r="F84" s="55" t="s">
        <v>106</v>
      </c>
      <c r="G84" s="52" t="s">
        <v>107</v>
      </c>
      <c r="H84" s="58" t="s">
        <v>141</v>
      </c>
    </row>
    <row r="85" spans="1:8" s="72" customFormat="1" ht="51.75" customHeight="1">
      <c r="A85" s="52" t="s">
        <v>125</v>
      </c>
      <c r="B85" s="52" t="s">
        <v>255</v>
      </c>
      <c r="C85" s="52">
        <v>2271</v>
      </c>
      <c r="D85" s="53">
        <f>85600-36400</f>
        <v>49200</v>
      </c>
      <c r="E85" s="54" t="str">
        <f aca="true" t="shared" si="2" ref="E85:E90">SUMINWORDS(D85,"грн.","коп.")</f>
        <v>Сорок дев'ять тисяч двісті грн. 0 коп.</v>
      </c>
      <c r="F85" s="55" t="s">
        <v>254</v>
      </c>
      <c r="G85" s="56" t="s">
        <v>253</v>
      </c>
      <c r="H85" s="58"/>
    </row>
    <row r="86" spans="1:8" s="72" customFormat="1" ht="25.5">
      <c r="A86" s="52" t="s">
        <v>126</v>
      </c>
      <c r="B86" s="52" t="s">
        <v>127</v>
      </c>
      <c r="C86" s="52">
        <v>2272</v>
      </c>
      <c r="D86" s="53">
        <v>2400</v>
      </c>
      <c r="E86" s="54" t="str">
        <f t="shared" si="2"/>
        <v>Дві тисячі чотириста грн. 0 коп.</v>
      </c>
      <c r="F86" s="55" t="s">
        <v>106</v>
      </c>
      <c r="G86" s="52" t="s">
        <v>107</v>
      </c>
      <c r="H86" s="52"/>
    </row>
    <row r="87" spans="1:8" s="72" customFormat="1" ht="29.25" customHeight="1">
      <c r="A87" s="52" t="s">
        <v>128</v>
      </c>
      <c r="B87" s="52" t="s">
        <v>129</v>
      </c>
      <c r="C87" s="52">
        <v>2272</v>
      </c>
      <c r="D87" s="53">
        <v>2400</v>
      </c>
      <c r="E87" s="54" t="str">
        <f t="shared" si="2"/>
        <v>Дві тисячі чотириста грн. 0 коп.</v>
      </c>
      <c r="F87" s="55" t="s">
        <v>106</v>
      </c>
      <c r="G87" s="52" t="s">
        <v>107</v>
      </c>
      <c r="H87" s="52"/>
    </row>
    <row r="88" spans="1:8" s="50" customFormat="1" ht="25.5">
      <c r="A88" s="52" t="s">
        <v>130</v>
      </c>
      <c r="B88" s="52" t="s">
        <v>131</v>
      </c>
      <c r="C88" s="52">
        <v>2273</v>
      </c>
      <c r="D88" s="53">
        <f>99300+30000+29400</f>
        <v>158700</v>
      </c>
      <c r="E88" s="54" t="str">
        <f t="shared" si="2"/>
        <v>Сто п'ятдесят вісім тисяч сімсот грн. 0 коп.</v>
      </c>
      <c r="F88" s="55" t="s">
        <v>106</v>
      </c>
      <c r="G88" s="52" t="s">
        <v>107</v>
      </c>
      <c r="H88" s="55"/>
    </row>
    <row r="89" spans="1:8" s="50" customFormat="1" ht="38.25">
      <c r="A89" s="52" t="s">
        <v>132</v>
      </c>
      <c r="B89" s="52" t="s">
        <v>133</v>
      </c>
      <c r="C89" s="52">
        <v>2282</v>
      </c>
      <c r="D89" s="53">
        <v>2600</v>
      </c>
      <c r="E89" s="54" t="str">
        <f t="shared" si="2"/>
        <v>Дві тисячі шістсот грн. 0 коп.</v>
      </c>
      <c r="F89" s="55" t="s">
        <v>106</v>
      </c>
      <c r="G89" s="52" t="s">
        <v>107</v>
      </c>
      <c r="H89" s="52"/>
    </row>
    <row r="90" spans="1:8" s="50" customFormat="1" ht="38.25">
      <c r="A90" s="52" t="s">
        <v>179</v>
      </c>
      <c r="B90" s="52" t="s">
        <v>134</v>
      </c>
      <c r="C90" s="52">
        <v>3110</v>
      </c>
      <c r="D90" s="53">
        <f>26000+36000+3000</f>
        <v>65000</v>
      </c>
      <c r="E90" s="54" t="str">
        <f t="shared" si="2"/>
        <v>Шістдесят п'ять тисяч грн. 0 коп.</v>
      </c>
      <c r="F90" s="55" t="s">
        <v>172</v>
      </c>
      <c r="G90" s="56" t="s">
        <v>176</v>
      </c>
      <c r="H90" s="52"/>
    </row>
    <row r="91" spans="1:4" s="51" customFormat="1" ht="20.25" customHeight="1">
      <c r="A91" s="77"/>
      <c r="D91" s="78"/>
    </row>
    <row r="92" spans="1:8" s="62" customFormat="1" ht="26.25" customHeight="1">
      <c r="A92" s="128" t="s">
        <v>177</v>
      </c>
      <c r="B92" s="128"/>
      <c r="C92" s="59"/>
      <c r="D92" s="60"/>
      <c r="E92" s="60"/>
      <c r="F92" s="127" t="s">
        <v>178</v>
      </c>
      <c r="G92" s="127"/>
      <c r="H92" s="127"/>
    </row>
    <row r="93" spans="1:8" s="62" customFormat="1" ht="10.5" customHeight="1">
      <c r="A93" s="60"/>
      <c r="B93" s="60"/>
      <c r="C93" s="59"/>
      <c r="D93" s="60"/>
      <c r="E93" s="59"/>
      <c r="F93" s="63"/>
      <c r="G93" s="63"/>
      <c r="H93" s="63"/>
    </row>
    <row r="94" spans="1:8" s="62" customFormat="1" ht="14.25" customHeight="1" hidden="1">
      <c r="A94" s="128" t="s">
        <v>135</v>
      </c>
      <c r="B94" s="128"/>
      <c r="C94" s="59"/>
      <c r="D94" s="60"/>
      <c r="E94" s="60"/>
      <c r="F94" s="127" t="s">
        <v>136</v>
      </c>
      <c r="G94" s="127"/>
      <c r="H94" s="127"/>
    </row>
    <row r="95" spans="1:8" s="62" customFormat="1" ht="5.25" customHeight="1" hidden="1">
      <c r="A95" s="60"/>
      <c r="B95" s="60"/>
      <c r="C95" s="59"/>
      <c r="D95" s="60"/>
      <c r="E95" s="60"/>
      <c r="F95" s="61"/>
      <c r="G95" s="63"/>
      <c r="H95" s="63"/>
    </row>
    <row r="96" spans="1:8" s="62" customFormat="1" ht="15.75" customHeight="1" hidden="1">
      <c r="A96" s="64"/>
      <c r="B96" s="64"/>
      <c r="C96" s="65"/>
      <c r="D96" s="60"/>
      <c r="E96" s="60"/>
      <c r="F96" s="127" t="s">
        <v>137</v>
      </c>
      <c r="G96" s="127"/>
      <c r="H96" s="127"/>
    </row>
    <row r="97" spans="1:8" s="62" customFormat="1" ht="5.25" customHeight="1" hidden="1">
      <c r="A97" s="60"/>
      <c r="B97" s="60"/>
      <c r="C97" s="59"/>
      <c r="D97" s="60"/>
      <c r="E97" s="60"/>
      <c r="F97" s="61"/>
      <c r="G97" s="63"/>
      <c r="H97" s="63"/>
    </row>
    <row r="98" spans="1:8" s="62" customFormat="1" ht="13.5" customHeight="1" hidden="1">
      <c r="A98" s="64"/>
      <c r="B98" s="64"/>
      <c r="C98" s="65"/>
      <c r="D98" s="60"/>
      <c r="E98" s="60"/>
      <c r="F98" s="127" t="s">
        <v>138</v>
      </c>
      <c r="G98" s="127"/>
      <c r="H98" s="127"/>
    </row>
    <row r="99" spans="1:8" s="62" customFormat="1" ht="4.5" customHeight="1" hidden="1">
      <c r="A99" s="64"/>
      <c r="B99" s="64"/>
      <c r="C99" s="65"/>
      <c r="D99" s="66"/>
      <c r="E99" s="66"/>
      <c r="F99" s="61"/>
      <c r="G99" s="63"/>
      <c r="H99" s="63"/>
    </row>
    <row r="100" spans="1:8" s="62" customFormat="1" ht="12.75" customHeight="1" hidden="1">
      <c r="A100" s="67"/>
      <c r="B100" s="64"/>
      <c r="C100" s="65"/>
      <c r="D100" s="60"/>
      <c r="E100" s="60"/>
      <c r="F100" s="127" t="s">
        <v>139</v>
      </c>
      <c r="G100" s="127"/>
      <c r="H100" s="127"/>
    </row>
    <row r="101" spans="1:8" s="62" customFormat="1" ht="15.75" customHeight="1">
      <c r="A101" s="60"/>
      <c r="B101" s="60"/>
      <c r="C101" s="60"/>
      <c r="D101" s="60"/>
      <c r="E101" s="60"/>
      <c r="F101" s="61"/>
      <c r="G101" s="63"/>
      <c r="H101" s="63"/>
    </row>
    <row r="102" spans="1:8" s="62" customFormat="1" ht="21.75" customHeight="1">
      <c r="A102" s="128" t="s">
        <v>140</v>
      </c>
      <c r="B102" s="128"/>
      <c r="C102" s="60" t="s">
        <v>143</v>
      </c>
      <c r="D102" s="60"/>
      <c r="E102" s="60"/>
      <c r="F102" s="127" t="s">
        <v>228</v>
      </c>
      <c r="G102" s="127"/>
      <c r="H102" s="127"/>
    </row>
    <row r="103" spans="1:5" s="62" customFormat="1" ht="15.75">
      <c r="A103" s="64"/>
      <c r="B103" s="64"/>
      <c r="C103" s="65"/>
      <c r="D103" s="64"/>
      <c r="E103" s="64"/>
    </row>
    <row r="104" s="62" customFormat="1" ht="15"/>
    <row r="105" s="62" customFormat="1" ht="1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</sheetData>
  <mergeCells count="14">
    <mergeCell ref="B6:F6"/>
    <mergeCell ref="B7:F7"/>
    <mergeCell ref="B8:F8"/>
    <mergeCell ref="D10:E10"/>
    <mergeCell ref="D11:E11"/>
    <mergeCell ref="A92:B92"/>
    <mergeCell ref="F92:H92"/>
    <mergeCell ref="A94:B94"/>
    <mergeCell ref="F94:H94"/>
    <mergeCell ref="F96:H96"/>
    <mergeCell ref="F98:H98"/>
    <mergeCell ref="F100:H100"/>
    <mergeCell ref="A102:B102"/>
    <mergeCell ref="F102:H102"/>
  </mergeCells>
  <hyperlinks>
    <hyperlink ref="B76" r:id="rId1" display="http://dk21.dovidnyk.info/index.php?rozd=7241"/>
    <hyperlink ref="B63" r:id="rId2" display="http://dk21.dovidnyk.info/index.php?rozd=5031"/>
    <hyperlink ref="B77" r:id="rId3" display="http://dk21.dovidnyk.info/index.php?rozd=79711"/>
    <hyperlink ref="B64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4" r:id="rId5"/>
  <rowBreaks count="5" manualBreakCount="5">
    <brk id="24" max="7" man="1"/>
    <brk id="39" max="7" man="1"/>
    <brk id="59" max="7" man="1"/>
    <brk id="70" max="7" man="1"/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6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105" t="s">
        <v>36</v>
      </c>
      <c r="B13" s="106"/>
      <c r="C13" s="106"/>
      <c r="D13" s="98" t="s">
        <v>79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70.5" customHeight="1">
      <c r="A16" s="119" t="s">
        <v>80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17" t="s">
        <v>58</v>
      </c>
      <c r="P16" s="117"/>
      <c r="Q16" s="117"/>
      <c r="R16" s="116">
        <v>1</v>
      </c>
      <c r="S16" s="116"/>
      <c r="T16" s="116"/>
      <c r="U16" s="81">
        <v>2913.16</v>
      </c>
      <c r="V16" s="81"/>
      <c r="W16" s="81"/>
      <c r="X16" s="81"/>
      <c r="Y16" s="17">
        <f aca="true" t="shared" si="0" ref="Y16:Y29">R16*U16</f>
        <v>2913.16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4" t="s">
        <v>42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7">
        <f>SUM(Y16:Y29)</f>
        <v>2913.16</v>
      </c>
    </row>
    <row r="31" spans="1:25" ht="15.75">
      <c r="A31" s="114" t="s">
        <v>47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7" t="s">
        <v>48</v>
      </c>
    </row>
    <row r="32" spans="1:25" ht="15.75">
      <c r="A32" s="114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Y30</f>
        <v>2913.16</v>
      </c>
    </row>
    <row r="34" spans="1:25" ht="15.75">
      <c r="A34" s="1" t="s">
        <v>43</v>
      </c>
      <c r="J34" s="82" t="str">
        <f>SUMINWORDS(Y32,"грн.","коп.")</f>
        <v>Дві тисячі дев'ятсот тринадцять грн. 16 коп.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23"/>
      <c r="W35" s="112"/>
      <c r="X35" s="112"/>
      <c r="Y35" s="112"/>
    </row>
    <row r="36" ht="18.75" customHeight="1"/>
    <row r="37" spans="1:25" ht="15.75">
      <c r="A37" s="90" t="s">
        <v>44</v>
      </c>
      <c r="B37" s="90"/>
      <c r="C37" s="90"/>
      <c r="D37" s="90"/>
      <c r="E37" s="90"/>
      <c r="F37" s="90"/>
      <c r="G37" s="24"/>
      <c r="H37" s="24"/>
      <c r="I37" s="24"/>
      <c r="J37" s="24"/>
      <c r="K37" s="24"/>
      <c r="L37" s="90" t="s">
        <v>53</v>
      </c>
      <c r="M37" s="90"/>
      <c r="N37" s="90"/>
      <c r="O37" s="90"/>
      <c r="P37" s="90"/>
      <c r="Q37" s="90"/>
      <c r="R37" s="90"/>
      <c r="S37" s="90"/>
      <c r="T37" s="90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5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5" t="s">
        <v>36</v>
      </c>
      <c r="B13" s="106"/>
      <c r="C13" s="106"/>
      <c r="D13" s="98" t="s">
        <v>77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54.75" customHeight="1">
      <c r="A16" s="119" t="s">
        <v>78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17" t="s">
        <v>58</v>
      </c>
      <c r="P16" s="117"/>
      <c r="Q16" s="117"/>
      <c r="R16" s="116">
        <v>1</v>
      </c>
      <c r="S16" s="116"/>
      <c r="T16" s="116"/>
      <c r="U16" s="81">
        <v>1069.81</v>
      </c>
      <c r="V16" s="81"/>
      <c r="W16" s="81"/>
      <c r="X16" s="81"/>
      <c r="Y16" s="17">
        <f aca="true" t="shared" si="0" ref="Y16:Y29">R16*U16</f>
        <v>1069.81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4" t="s">
        <v>42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7">
        <f>SUM(Y16:Y29)</f>
        <v>1069.81</v>
      </c>
    </row>
    <row r="31" spans="1:25" ht="15.75">
      <c r="A31" s="114" t="s">
        <v>47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7" t="s">
        <v>48</v>
      </c>
    </row>
    <row r="32" spans="1:25" ht="15.75">
      <c r="A32" s="114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Y30</f>
        <v>1069.81</v>
      </c>
    </row>
    <row r="34" spans="1:25" ht="15.75">
      <c r="A34" s="1" t="s">
        <v>43</v>
      </c>
      <c r="J34" s="82" t="str">
        <f>SUMINWORDS(Y32,"грн.","коп.")</f>
        <v>Одна тисячa шістдесят дев'ять грн. 81 коп.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23"/>
      <c r="W35" s="112"/>
      <c r="X35" s="112"/>
      <c r="Y35" s="112"/>
    </row>
    <row r="36" ht="18.75" customHeight="1"/>
    <row r="37" spans="1:25" ht="15.75">
      <c r="A37" s="90" t="s">
        <v>44</v>
      </c>
      <c r="B37" s="90"/>
      <c r="C37" s="90"/>
      <c r="D37" s="90"/>
      <c r="E37" s="90"/>
      <c r="F37" s="90"/>
      <c r="G37" s="24"/>
      <c r="H37" s="24"/>
      <c r="I37" s="24"/>
      <c r="J37" s="24"/>
      <c r="K37" s="24"/>
      <c r="L37" s="90" t="s">
        <v>53</v>
      </c>
      <c r="M37" s="90"/>
      <c r="N37" s="90"/>
      <c r="O37" s="90"/>
      <c r="P37" s="90"/>
      <c r="Q37" s="90"/>
      <c r="R37" s="90"/>
      <c r="S37" s="90"/>
      <c r="T37" s="90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3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 t="s">
        <v>76</v>
      </c>
      <c r="P3" s="20"/>
      <c r="Q3" s="19"/>
      <c r="R3" s="19" t="s">
        <v>46</v>
      </c>
      <c r="S3" s="20"/>
      <c r="T3" s="122" t="s">
        <v>75</v>
      </c>
      <c r="U3" s="122"/>
      <c r="V3" s="122"/>
      <c r="W3" s="122"/>
      <c r="X3" s="122"/>
      <c r="Y3" s="122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5" t="s">
        <v>36</v>
      </c>
      <c r="B13" s="106"/>
      <c r="C13" s="106"/>
      <c r="D13" s="98" t="s">
        <v>73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32.25" customHeight="1">
      <c r="A16" s="119" t="s">
        <v>74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17" t="s">
        <v>58</v>
      </c>
      <c r="P16" s="117"/>
      <c r="Q16" s="117"/>
      <c r="R16" s="116">
        <v>24</v>
      </c>
      <c r="S16" s="116"/>
      <c r="T16" s="116"/>
      <c r="U16" s="81">
        <v>0.72</v>
      </c>
      <c r="V16" s="81"/>
      <c r="W16" s="81"/>
      <c r="X16" s="81"/>
      <c r="Y16" s="17">
        <f aca="true" t="shared" si="0" ref="Y16:Y31">R16*U16</f>
        <v>17.28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7"/>
      <c r="P30" s="117"/>
      <c r="Q30" s="117"/>
      <c r="R30" s="116"/>
      <c r="S30" s="116"/>
      <c r="T30" s="116"/>
      <c r="U30" s="81"/>
      <c r="V30" s="81"/>
      <c r="W30" s="81"/>
      <c r="X30" s="81"/>
      <c r="Y30" s="17">
        <f t="shared" si="0"/>
        <v>0</v>
      </c>
    </row>
    <row r="31" spans="1:25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17"/>
      <c r="Q31" s="117"/>
      <c r="R31" s="116"/>
      <c r="S31" s="116"/>
      <c r="T31" s="116"/>
      <c r="U31" s="81"/>
      <c r="V31" s="81"/>
      <c r="W31" s="81"/>
      <c r="X31" s="81"/>
      <c r="Y31" s="17">
        <f t="shared" si="0"/>
        <v>0</v>
      </c>
    </row>
    <row r="32" spans="1:25" ht="15.75">
      <c r="A32" s="114" t="s">
        <v>42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SUM(Y16:Y31)</f>
        <v>17.28</v>
      </c>
    </row>
    <row r="33" spans="1:25" ht="15.75">
      <c r="A33" s="114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7" t="s">
        <v>48</v>
      </c>
    </row>
    <row r="34" spans="1:25" ht="15.75">
      <c r="A34" s="114" t="s">
        <v>45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7">
        <f>Y32</f>
        <v>17.28</v>
      </c>
    </row>
    <row r="36" spans="1:25" ht="15.75">
      <c r="A36" s="1" t="s">
        <v>43</v>
      </c>
      <c r="J36" s="82" t="str">
        <f>SUMINWORDS(Y34,"грн.","коп.")</f>
        <v>Сімнадцять грн. 28 коп.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3"/>
      <c r="W37" s="112"/>
      <c r="X37" s="112"/>
      <c r="Y37" s="112"/>
    </row>
    <row r="38" ht="18.75" customHeight="1"/>
    <row r="39" spans="1:25" ht="15.75">
      <c r="A39" s="90" t="s">
        <v>44</v>
      </c>
      <c r="B39" s="90"/>
      <c r="C39" s="90"/>
      <c r="D39" s="90"/>
      <c r="E39" s="90"/>
      <c r="F39" s="90"/>
      <c r="G39" s="24"/>
      <c r="H39" s="24"/>
      <c r="I39" s="24"/>
      <c r="J39" s="24"/>
      <c r="K39" s="24"/>
      <c r="L39" s="90" t="s">
        <v>53</v>
      </c>
      <c r="M39" s="90"/>
      <c r="N39" s="90"/>
      <c r="O39" s="90"/>
      <c r="P39" s="90"/>
      <c r="Q39" s="90"/>
      <c r="R39" s="90"/>
      <c r="S39" s="90"/>
      <c r="T39" s="90"/>
      <c r="U39" s="24"/>
      <c r="V39" s="24"/>
      <c r="W39" s="24"/>
      <c r="X39" s="24"/>
      <c r="Y39" s="24"/>
    </row>
  </sheetData>
  <sheetProtection/>
  <mergeCells count="87"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T3:Y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8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5" t="s">
        <v>36</v>
      </c>
      <c r="B13" s="106"/>
      <c r="C13" s="106"/>
      <c r="D13" s="98" t="s">
        <v>81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15.75">
      <c r="A16" s="118" t="s">
        <v>57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7" t="s">
        <v>58</v>
      </c>
      <c r="P16" s="117"/>
      <c r="Q16" s="117"/>
      <c r="R16" s="116">
        <v>1</v>
      </c>
      <c r="S16" s="116"/>
      <c r="T16" s="116"/>
      <c r="U16" s="81">
        <v>5869</v>
      </c>
      <c r="V16" s="81"/>
      <c r="W16" s="81"/>
      <c r="X16" s="81"/>
      <c r="Y16" s="17">
        <f aca="true" t="shared" si="0" ref="Y16:Y31">R16*U16</f>
        <v>5869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7"/>
      <c r="P30" s="117"/>
      <c r="Q30" s="117"/>
      <c r="R30" s="116"/>
      <c r="S30" s="116"/>
      <c r="T30" s="116"/>
      <c r="U30" s="81"/>
      <c r="V30" s="81"/>
      <c r="W30" s="81"/>
      <c r="X30" s="81"/>
      <c r="Y30" s="17">
        <f t="shared" si="0"/>
        <v>0</v>
      </c>
    </row>
    <row r="31" spans="1:25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17"/>
      <c r="Q31" s="117"/>
      <c r="R31" s="116"/>
      <c r="S31" s="116"/>
      <c r="T31" s="116"/>
      <c r="U31" s="81"/>
      <c r="V31" s="81"/>
      <c r="W31" s="81"/>
      <c r="X31" s="81"/>
      <c r="Y31" s="17">
        <f t="shared" si="0"/>
        <v>0</v>
      </c>
    </row>
    <row r="32" spans="1:25" ht="15.75">
      <c r="A32" s="114" t="s">
        <v>42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SUM(Y16:Y31)</f>
        <v>5869</v>
      </c>
    </row>
    <row r="33" spans="1:25" ht="15.75">
      <c r="A33" s="114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7" t="s">
        <v>48</v>
      </c>
    </row>
    <row r="34" spans="1:25" ht="15.75">
      <c r="A34" s="114" t="s">
        <v>45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7">
        <f>Y32</f>
        <v>5869</v>
      </c>
    </row>
    <row r="36" spans="1:25" ht="15.75">
      <c r="A36" s="1" t="s">
        <v>43</v>
      </c>
      <c r="J36" s="82" t="str">
        <f>SUMINWORDS(Y34,"грн.","коп.")</f>
        <v>П'ять тисяч вісімсот шістдесят дев'ять грн. 0 коп.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3"/>
      <c r="W37" s="112"/>
      <c r="X37" s="112"/>
      <c r="Y37" s="112"/>
    </row>
    <row r="38" ht="18.75" customHeight="1"/>
    <row r="39" spans="1:25" ht="15.75">
      <c r="A39" s="1" t="s">
        <v>44</v>
      </c>
      <c r="D39" s="24"/>
      <c r="E39" s="24"/>
      <c r="F39" s="24"/>
      <c r="G39" s="24"/>
      <c r="H39" s="24"/>
      <c r="I39" s="24"/>
      <c r="J39" s="24"/>
      <c r="K39" s="24"/>
      <c r="L39" s="90" t="s">
        <v>53</v>
      </c>
      <c r="M39" s="90"/>
      <c r="N39" s="90"/>
      <c r="O39" s="90"/>
      <c r="P39" s="90"/>
      <c r="Q39" s="90"/>
      <c r="R39" s="90"/>
      <c r="S39" s="90"/>
      <c r="T39" s="90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13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 t="s">
        <v>68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65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52.5" customHeight="1">
      <c r="A16" s="85" t="s">
        <v>66</v>
      </c>
      <c r="B16" s="86"/>
      <c r="C16" s="87"/>
      <c r="D16" s="88" t="s">
        <v>67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95" t="s">
        <v>55</v>
      </c>
      <c r="P16" s="95"/>
      <c r="Q16" s="95"/>
      <c r="R16" s="94">
        <v>31</v>
      </c>
      <c r="S16" s="94"/>
      <c r="T16" s="94"/>
      <c r="U16" s="102">
        <v>29.46</v>
      </c>
      <c r="V16" s="102"/>
      <c r="W16" s="102"/>
      <c r="X16" s="102"/>
      <c r="Y16" s="34">
        <f aca="true" t="shared" si="0" ref="Y16:Y26">R16*U16</f>
        <v>913.26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913.26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913.26</v>
      </c>
    </row>
    <row r="31" spans="1:25" ht="16.5">
      <c r="A31" s="1" t="s">
        <v>43</v>
      </c>
      <c r="J31" s="115" t="str">
        <f>SUMINWORDS(Y29,"грн.","коп.")</f>
        <v>Дев'ятсот тринадцять грн. 26 коп.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23"/>
      <c r="W32" s="112"/>
      <c r="X32" s="112"/>
      <c r="Y32" s="112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3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5" t="s">
        <v>36</v>
      </c>
      <c r="B13" s="106"/>
      <c r="C13" s="106"/>
      <c r="D13" s="98" t="s">
        <v>64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15.75">
      <c r="A16" s="118" t="s">
        <v>57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7" t="s">
        <v>58</v>
      </c>
      <c r="P16" s="117"/>
      <c r="Q16" s="117"/>
      <c r="R16" s="116">
        <v>1</v>
      </c>
      <c r="S16" s="116"/>
      <c r="T16" s="116"/>
      <c r="U16" s="81">
        <v>1981.51</v>
      </c>
      <c r="V16" s="81"/>
      <c r="W16" s="81"/>
      <c r="X16" s="81"/>
      <c r="Y16" s="17">
        <f aca="true" t="shared" si="0" ref="Y16:Y31">R16*U16</f>
        <v>1981.51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7"/>
      <c r="P30" s="117"/>
      <c r="Q30" s="117"/>
      <c r="R30" s="116"/>
      <c r="S30" s="116"/>
      <c r="T30" s="116"/>
      <c r="U30" s="81"/>
      <c r="V30" s="81"/>
      <c r="W30" s="81"/>
      <c r="X30" s="81"/>
      <c r="Y30" s="17">
        <f t="shared" si="0"/>
        <v>0</v>
      </c>
    </row>
    <row r="31" spans="1:25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17"/>
      <c r="Q31" s="117"/>
      <c r="R31" s="116"/>
      <c r="S31" s="116"/>
      <c r="T31" s="116"/>
      <c r="U31" s="81"/>
      <c r="V31" s="81"/>
      <c r="W31" s="81"/>
      <c r="X31" s="81"/>
      <c r="Y31" s="17">
        <f t="shared" si="0"/>
        <v>0</v>
      </c>
    </row>
    <row r="32" spans="1:25" ht="15.75">
      <c r="A32" s="114" t="s">
        <v>42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SUM(Y16:Y31)</f>
        <v>1981.51</v>
      </c>
    </row>
    <row r="33" spans="1:25" ht="15.75">
      <c r="A33" s="114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7" t="s">
        <v>48</v>
      </c>
    </row>
    <row r="34" spans="1:25" ht="15.75">
      <c r="A34" s="114" t="s">
        <v>45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7">
        <f>Y32</f>
        <v>1981.51</v>
      </c>
    </row>
    <row r="36" spans="1:25" ht="15.75">
      <c r="A36" s="1" t="s">
        <v>43</v>
      </c>
      <c r="J36" s="82" t="str">
        <f>SUMINWORDS(Y34,"грн.","коп.")</f>
        <v>Одна тисячa дев'ятсот вісімдесят одна грн. 51 коп.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5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3"/>
      <c r="W37" s="112"/>
      <c r="X37" s="112"/>
      <c r="Y37" s="112"/>
    </row>
    <row r="38" ht="18.75" customHeight="1"/>
    <row r="39" spans="1:25" ht="15.75">
      <c r="A39" s="1" t="s">
        <v>44</v>
      </c>
      <c r="D39" s="24"/>
      <c r="E39" s="24"/>
      <c r="F39" s="24"/>
      <c r="G39" s="24"/>
      <c r="H39" s="24"/>
      <c r="I39" s="24"/>
      <c r="J39" s="24"/>
      <c r="K39" s="24"/>
      <c r="L39" s="90" t="s">
        <v>53</v>
      </c>
      <c r="M39" s="90"/>
      <c r="N39" s="90"/>
      <c r="O39" s="90"/>
      <c r="P39" s="90"/>
      <c r="Q39" s="90"/>
      <c r="R39" s="90"/>
      <c r="S39" s="90"/>
      <c r="T39" s="90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28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36" t="s">
        <v>62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105" t="s">
        <v>36</v>
      </c>
      <c r="B13" s="106"/>
      <c r="C13" s="106"/>
      <c r="D13" s="124" t="s">
        <v>84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5"/>
    </row>
    <row r="14" ht="12.75" customHeight="1"/>
    <row r="15" spans="1:25" ht="15.75">
      <c r="A15" s="104" t="s">
        <v>37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15.75">
      <c r="A16" s="118" t="s">
        <v>57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7" t="s">
        <v>58</v>
      </c>
      <c r="P16" s="117"/>
      <c r="Q16" s="117"/>
      <c r="R16" s="116">
        <v>1</v>
      </c>
      <c r="S16" s="116"/>
      <c r="T16" s="116"/>
      <c r="U16" s="81">
        <v>841.14</v>
      </c>
      <c r="V16" s="81"/>
      <c r="W16" s="81"/>
      <c r="X16" s="81"/>
      <c r="Y16" s="17">
        <f aca="true" t="shared" si="0" ref="Y16:Y31">R16*U16</f>
        <v>841.14</v>
      </c>
    </row>
    <row r="17" spans="1:25" ht="15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6"/>
      <c r="S17" s="116"/>
      <c r="T17" s="116"/>
      <c r="U17" s="81"/>
      <c r="V17" s="81"/>
      <c r="W17" s="81"/>
      <c r="X17" s="81"/>
      <c r="Y17" s="17">
        <f t="shared" si="0"/>
        <v>0</v>
      </c>
    </row>
    <row r="18" spans="1:25" ht="15.75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6"/>
      <c r="S18" s="116"/>
      <c r="T18" s="116"/>
      <c r="U18" s="81"/>
      <c r="V18" s="81"/>
      <c r="W18" s="81"/>
      <c r="X18" s="81"/>
      <c r="Y18" s="17">
        <f t="shared" si="0"/>
        <v>0</v>
      </c>
    </row>
    <row r="19" spans="1:25" ht="15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7"/>
      <c r="P19" s="117"/>
      <c r="Q19" s="117"/>
      <c r="R19" s="116"/>
      <c r="S19" s="116"/>
      <c r="T19" s="116"/>
      <c r="U19" s="81"/>
      <c r="V19" s="81"/>
      <c r="W19" s="81"/>
      <c r="X19" s="81"/>
      <c r="Y19" s="17">
        <f t="shared" si="0"/>
        <v>0</v>
      </c>
    </row>
    <row r="20" spans="1:25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7"/>
      <c r="P20" s="117"/>
      <c r="Q20" s="117"/>
      <c r="R20" s="116"/>
      <c r="S20" s="116"/>
      <c r="T20" s="116"/>
      <c r="U20" s="81"/>
      <c r="V20" s="81"/>
      <c r="W20" s="81"/>
      <c r="X20" s="81"/>
      <c r="Y20" s="17">
        <f t="shared" si="0"/>
        <v>0</v>
      </c>
    </row>
    <row r="21" spans="1:25" ht="15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7"/>
      <c r="P21" s="117"/>
      <c r="Q21" s="117"/>
      <c r="R21" s="116"/>
      <c r="S21" s="116"/>
      <c r="T21" s="116"/>
      <c r="U21" s="81"/>
      <c r="V21" s="81"/>
      <c r="W21" s="81"/>
      <c r="X21" s="81"/>
      <c r="Y21" s="17">
        <f t="shared" si="0"/>
        <v>0</v>
      </c>
    </row>
    <row r="22" spans="1:25" ht="15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7"/>
      <c r="P22" s="117"/>
      <c r="Q22" s="117"/>
      <c r="R22" s="116"/>
      <c r="S22" s="116"/>
      <c r="T22" s="116"/>
      <c r="U22" s="81"/>
      <c r="V22" s="81"/>
      <c r="W22" s="81"/>
      <c r="X22" s="81"/>
      <c r="Y22" s="17">
        <f t="shared" si="0"/>
        <v>0</v>
      </c>
    </row>
    <row r="23" spans="1:25" ht="15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7"/>
      <c r="P23" s="117"/>
      <c r="Q23" s="117"/>
      <c r="R23" s="116"/>
      <c r="S23" s="116"/>
      <c r="T23" s="116"/>
      <c r="U23" s="81"/>
      <c r="V23" s="81"/>
      <c r="W23" s="81"/>
      <c r="X23" s="81"/>
      <c r="Y23" s="17">
        <f t="shared" si="0"/>
        <v>0</v>
      </c>
    </row>
    <row r="24" spans="1:25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7"/>
      <c r="P24" s="117"/>
      <c r="Q24" s="117"/>
      <c r="R24" s="116"/>
      <c r="S24" s="116"/>
      <c r="T24" s="116"/>
      <c r="U24" s="81"/>
      <c r="V24" s="81"/>
      <c r="W24" s="81"/>
      <c r="X24" s="81"/>
      <c r="Y24" s="17">
        <f t="shared" si="0"/>
        <v>0</v>
      </c>
    </row>
    <row r="25" spans="1:25" ht="15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7"/>
      <c r="P25" s="117"/>
      <c r="Q25" s="117"/>
      <c r="R25" s="116"/>
      <c r="S25" s="116"/>
      <c r="T25" s="116"/>
      <c r="U25" s="81"/>
      <c r="V25" s="81"/>
      <c r="W25" s="81"/>
      <c r="X25" s="81"/>
      <c r="Y25" s="17">
        <f t="shared" si="0"/>
        <v>0</v>
      </c>
    </row>
    <row r="26" spans="1:25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7"/>
      <c r="P26" s="117"/>
      <c r="Q26" s="117"/>
      <c r="R26" s="116"/>
      <c r="S26" s="116"/>
      <c r="T26" s="116"/>
      <c r="U26" s="81"/>
      <c r="V26" s="81"/>
      <c r="W26" s="81"/>
      <c r="X26" s="81"/>
      <c r="Y26" s="17">
        <f t="shared" si="0"/>
        <v>0</v>
      </c>
    </row>
    <row r="27" spans="1:25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7"/>
      <c r="P27" s="117"/>
      <c r="Q27" s="117"/>
      <c r="R27" s="116"/>
      <c r="S27" s="116"/>
      <c r="T27" s="116"/>
      <c r="U27" s="81"/>
      <c r="V27" s="81"/>
      <c r="W27" s="81"/>
      <c r="X27" s="81"/>
      <c r="Y27" s="17">
        <f t="shared" si="0"/>
        <v>0</v>
      </c>
    </row>
    <row r="28" spans="1:25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7"/>
      <c r="P28" s="117"/>
      <c r="Q28" s="117"/>
      <c r="R28" s="116"/>
      <c r="S28" s="116"/>
      <c r="T28" s="116"/>
      <c r="U28" s="81"/>
      <c r="V28" s="81"/>
      <c r="W28" s="81"/>
      <c r="X28" s="81"/>
      <c r="Y28" s="17">
        <f t="shared" si="0"/>
        <v>0</v>
      </c>
    </row>
    <row r="29" spans="1:25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7"/>
      <c r="P29" s="117"/>
      <c r="Q29" s="117"/>
      <c r="R29" s="116"/>
      <c r="S29" s="116"/>
      <c r="T29" s="116"/>
      <c r="U29" s="81"/>
      <c r="V29" s="81"/>
      <c r="W29" s="81"/>
      <c r="X29" s="81"/>
      <c r="Y29" s="17">
        <f t="shared" si="0"/>
        <v>0</v>
      </c>
    </row>
    <row r="30" spans="1:25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7"/>
      <c r="P30" s="117"/>
      <c r="Q30" s="117"/>
      <c r="R30" s="116"/>
      <c r="S30" s="116"/>
      <c r="T30" s="116"/>
      <c r="U30" s="81"/>
      <c r="V30" s="81"/>
      <c r="W30" s="81"/>
      <c r="X30" s="81"/>
      <c r="Y30" s="17">
        <f t="shared" si="0"/>
        <v>0</v>
      </c>
    </row>
    <row r="31" spans="1:25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17"/>
      <c r="Q31" s="117"/>
      <c r="R31" s="116"/>
      <c r="S31" s="116"/>
      <c r="T31" s="116"/>
      <c r="U31" s="81"/>
      <c r="V31" s="81"/>
      <c r="W31" s="81"/>
      <c r="X31" s="81"/>
      <c r="Y31" s="17">
        <f t="shared" si="0"/>
        <v>0</v>
      </c>
    </row>
    <row r="32" spans="1:25" ht="15.75">
      <c r="A32" s="114" t="s">
        <v>42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>
        <f>SUM(Y16:Y31)</f>
        <v>841.14</v>
      </c>
    </row>
    <row r="33" spans="1:25" ht="15.75">
      <c r="A33" s="114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7" t="s">
        <v>48</v>
      </c>
    </row>
    <row r="34" spans="1:25" ht="15.75">
      <c r="A34" s="114" t="s">
        <v>45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7">
        <f>Y32</f>
        <v>841.14</v>
      </c>
    </row>
    <row r="35" ht="18" customHeight="1">
      <c r="A35" s="1" t="s">
        <v>82</v>
      </c>
    </row>
    <row r="36" spans="1:25" ht="15" customHeight="1">
      <c r="A36" s="123" t="str">
        <f>SUMINWORDS(Y34,"грн.","коп.")</f>
        <v>Вісімсот сорок одна грн. 14 коп.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3"/>
      <c r="W37" s="113"/>
      <c r="X37" s="113"/>
      <c r="Y37" s="113"/>
    </row>
    <row r="38" ht="14.25" customHeight="1"/>
    <row r="39" spans="1:25" ht="15.75">
      <c r="A39" s="1" t="s">
        <v>44</v>
      </c>
      <c r="D39" s="24"/>
      <c r="E39" s="24"/>
      <c r="F39" s="24"/>
      <c r="G39" s="24"/>
      <c r="H39" s="24"/>
      <c r="I39" s="24"/>
      <c r="J39" s="24"/>
      <c r="K39" s="24"/>
      <c r="L39" s="90" t="s">
        <v>53</v>
      </c>
      <c r="M39" s="90"/>
      <c r="N39" s="90"/>
      <c r="O39" s="90"/>
      <c r="P39" s="90"/>
      <c r="Q39" s="90"/>
      <c r="R39" s="90"/>
      <c r="S39" s="90"/>
      <c r="T39" s="90"/>
      <c r="U39" s="90"/>
      <c r="V39" s="24"/>
      <c r="W39" s="24"/>
      <c r="X39" s="24"/>
      <c r="Y39" s="24"/>
    </row>
  </sheetData>
  <sheetProtection/>
  <mergeCells count="85"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56</v>
      </c>
      <c r="B3" s="18"/>
      <c r="C3" s="18"/>
      <c r="D3" s="18"/>
      <c r="E3" s="22" t="s">
        <v>49</v>
      </c>
      <c r="F3" s="22"/>
      <c r="G3" s="101">
        <v>23</v>
      </c>
      <c r="H3" s="101"/>
      <c r="I3" s="101"/>
      <c r="J3" s="18"/>
      <c r="K3" s="22" t="s">
        <v>35</v>
      </c>
      <c r="L3" s="22"/>
      <c r="M3" s="19" t="s">
        <v>46</v>
      </c>
      <c r="N3" s="19"/>
      <c r="O3" s="20"/>
      <c r="P3" s="20"/>
      <c r="Q3" s="19"/>
      <c r="R3" s="19" t="s">
        <v>46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29</v>
      </c>
      <c r="B5" s="8"/>
      <c r="C5" s="8"/>
      <c r="D5" s="8"/>
      <c r="E5" s="83" t="s">
        <v>51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30</v>
      </c>
      <c r="B6" s="11"/>
      <c r="C6" s="84" t="s">
        <v>50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31</v>
      </c>
      <c r="B7" s="11"/>
      <c r="C7" s="11"/>
      <c r="D7" s="96" t="s">
        <v>59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32</v>
      </c>
      <c r="B8" s="80" t="s">
        <v>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103" t="s">
        <v>33</v>
      </c>
      <c r="S8" s="103"/>
      <c r="T8" s="103"/>
      <c r="U8" s="96" t="s">
        <v>61</v>
      </c>
      <c r="V8" s="96"/>
      <c r="W8" s="96"/>
      <c r="X8" s="96"/>
      <c r="Y8" s="97"/>
    </row>
    <row r="9" spans="1:25" ht="15.75" customHeight="1">
      <c r="A9" s="10" t="s">
        <v>34</v>
      </c>
      <c r="B9" s="11"/>
      <c r="C9" s="11"/>
      <c r="D9" s="96" t="s">
        <v>52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5" t="s">
        <v>36</v>
      </c>
      <c r="B13" s="106"/>
      <c r="C13" s="106"/>
      <c r="D13" s="98" t="s">
        <v>72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ht="12.75" customHeight="1"/>
    <row r="15" spans="1:25" ht="49.5" customHeight="1">
      <c r="A15" s="109" t="s">
        <v>70</v>
      </c>
      <c r="B15" s="110"/>
      <c r="C15" s="111"/>
      <c r="D15" s="107" t="s">
        <v>37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42"/>
      <c r="O15" s="104" t="s">
        <v>41</v>
      </c>
      <c r="P15" s="104"/>
      <c r="Q15" s="104"/>
      <c r="R15" s="104" t="s">
        <v>40</v>
      </c>
      <c r="S15" s="104"/>
      <c r="T15" s="104"/>
      <c r="U15" s="104" t="s">
        <v>39</v>
      </c>
      <c r="V15" s="104"/>
      <c r="W15" s="104"/>
      <c r="X15" s="104"/>
      <c r="Y15" s="16" t="s">
        <v>38</v>
      </c>
    </row>
    <row r="16" spans="1:25" ht="52.5" customHeight="1">
      <c r="A16" s="85" t="s">
        <v>71</v>
      </c>
      <c r="B16" s="86"/>
      <c r="C16" s="87"/>
      <c r="D16" s="88" t="s">
        <v>69</v>
      </c>
      <c r="E16" s="89"/>
      <c r="F16" s="89"/>
      <c r="G16" s="89"/>
      <c r="H16" s="89"/>
      <c r="I16" s="89"/>
      <c r="J16" s="89"/>
      <c r="K16" s="89"/>
      <c r="L16" s="89"/>
      <c r="M16" s="89"/>
      <c r="N16" s="41"/>
      <c r="O16" s="95" t="s">
        <v>55</v>
      </c>
      <c r="P16" s="95"/>
      <c r="Q16" s="95"/>
      <c r="R16" s="100">
        <v>4</v>
      </c>
      <c r="S16" s="100"/>
      <c r="T16" s="100"/>
      <c r="U16" s="102">
        <v>29.46</v>
      </c>
      <c r="V16" s="102"/>
      <c r="W16" s="102"/>
      <c r="X16" s="102"/>
      <c r="Y16" s="34">
        <f aca="true" t="shared" si="0" ref="Y16:Y26">R16*U16</f>
        <v>117.84</v>
      </c>
    </row>
    <row r="17" spans="1:37" ht="16.5">
      <c r="A17" s="91"/>
      <c r="B17" s="92"/>
      <c r="C17" s="9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5"/>
      <c r="P17" s="95"/>
      <c r="Q17" s="95"/>
      <c r="R17" s="94"/>
      <c r="S17" s="94"/>
      <c r="T17" s="94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5"/>
      <c r="P18" s="95"/>
      <c r="Q18" s="95"/>
      <c r="R18" s="94"/>
      <c r="S18" s="94"/>
      <c r="T18" s="94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5"/>
      <c r="P19" s="95"/>
      <c r="Q19" s="95"/>
      <c r="R19" s="94"/>
      <c r="S19" s="94"/>
      <c r="T19" s="94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5"/>
      <c r="P20" s="95"/>
      <c r="Q20" s="95"/>
      <c r="R20" s="94"/>
      <c r="S20" s="94"/>
      <c r="T20" s="94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5"/>
      <c r="P21" s="95"/>
      <c r="Q21" s="95"/>
      <c r="R21" s="94"/>
      <c r="S21" s="94"/>
      <c r="T21" s="94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5"/>
      <c r="P22" s="95"/>
      <c r="Q22" s="95"/>
      <c r="R22" s="94"/>
      <c r="S22" s="94"/>
      <c r="T22" s="94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5"/>
      <c r="P23" s="95"/>
      <c r="Q23" s="95"/>
      <c r="R23" s="94"/>
      <c r="S23" s="94"/>
      <c r="T23" s="94"/>
      <c r="U23" s="102"/>
      <c r="V23" s="102"/>
      <c r="W23" s="102"/>
      <c r="X23" s="102"/>
      <c r="Y23" s="34">
        <f t="shared" si="0"/>
        <v>0</v>
      </c>
    </row>
    <row r="24" spans="1:25" ht="16.5">
      <c r="A24" s="85"/>
      <c r="B24" s="86"/>
      <c r="C24" s="8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5"/>
      <c r="P24" s="95"/>
      <c r="Q24" s="95"/>
      <c r="R24" s="94"/>
      <c r="S24" s="94"/>
      <c r="T24" s="94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5"/>
      <c r="P25" s="95"/>
      <c r="Q25" s="95"/>
      <c r="R25" s="94"/>
      <c r="S25" s="94"/>
      <c r="T25" s="94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5"/>
      <c r="P26" s="95"/>
      <c r="Q26" s="95"/>
      <c r="R26" s="94"/>
      <c r="S26" s="94"/>
      <c r="T26" s="94"/>
      <c r="U26" s="102"/>
      <c r="V26" s="102"/>
      <c r="W26" s="102"/>
      <c r="X26" s="102"/>
      <c r="Y26" s="34">
        <f t="shared" si="0"/>
        <v>0</v>
      </c>
    </row>
    <row r="27" spans="1:25" ht="15.75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7">
        <f>SUM(Y16:Y26)</f>
        <v>117.84</v>
      </c>
    </row>
    <row r="28" spans="1:25" ht="15.75">
      <c r="A28" s="114" t="s">
        <v>47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7" t="s">
        <v>48</v>
      </c>
    </row>
    <row r="29" spans="1:25" ht="15.75">
      <c r="A29" s="114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>
        <f>Y27</f>
        <v>117.84</v>
      </c>
    </row>
    <row r="31" spans="1:25" ht="16.5">
      <c r="A31" s="1" t="s">
        <v>43</v>
      </c>
      <c r="J31" s="115" t="str">
        <f>SUMINWORDS(Y29,"грн.","коп.")</f>
        <v>Сто сімнадцять грн. 84 коп.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23"/>
      <c r="W32" s="112"/>
      <c r="X32" s="112"/>
      <c r="Y32" s="112"/>
    </row>
    <row r="33" ht="18.75" customHeight="1"/>
    <row r="34" spans="1:25" ht="15.75">
      <c r="A34" s="1" t="s">
        <v>44</v>
      </c>
      <c r="D34" s="24"/>
      <c r="E34" s="24"/>
      <c r="F34" s="24"/>
      <c r="G34" s="24"/>
      <c r="H34" s="24"/>
      <c r="I34" s="24"/>
      <c r="J34" s="90" t="s">
        <v>53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2018-12-21T16:33:38Z</cp:lastPrinted>
  <dcterms:created xsi:type="dcterms:W3CDTF">2006-10-31T08:29:53Z</dcterms:created>
  <dcterms:modified xsi:type="dcterms:W3CDTF">2018-12-22T07:19:27Z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