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3995"/>
  </bookViews>
  <sheets>
    <sheet name="BDS1" sheetId="1" r:id="rId1"/>
    <sheet name="Лист4" sheetId="2" r:id="rId2"/>
    <sheet name="Лист1" sheetId="3" state="hidden" r:id="rId3"/>
    <sheet name="Лист2" sheetId="4" state="hidden" r:id="rId4"/>
    <sheet name="Лист3" sheetId="5" state="hidden" r:id="rId5"/>
  </sheets>
  <definedNames>
    <definedName name="OLE_LINK3" localSheetId="2">Лист1!$B$3</definedName>
    <definedName name="Z_DC55A741_C279_4DF2_8CD2_9A7A21E49031_.wvu.FilterData" localSheetId="0" hidden="1">'BDS1'!$A$1:$X$209</definedName>
  </definedNames>
  <calcPr calcId="145621"/>
  <customWorkbookViews>
    <customWorkbookView name="Фильтр 1" guid="{DC55A741-C279-4DF2-8CD2-9A7A21E49031}" maximized="1" windowWidth="0" windowHeight="0" activeSheetId="0"/>
  </customWorkbookViews>
</workbook>
</file>

<file path=xl/calcChain.xml><?xml version="1.0" encoding="utf-8"?>
<calcChain xmlns="http://schemas.openxmlformats.org/spreadsheetml/2006/main">
  <c r="L1240" i="1" l="1"/>
  <c r="K1240" i="1"/>
  <c r="L1239" i="1"/>
  <c r="K1239" i="1"/>
  <c r="L1238" i="1"/>
  <c r="K1238" i="1"/>
  <c r="L1237" i="1"/>
  <c r="K1237" i="1"/>
  <c r="L1236" i="1"/>
  <c r="K1236" i="1"/>
  <c r="L1235" i="1"/>
  <c r="L1234" i="1"/>
  <c r="K1234" i="1"/>
  <c r="L1233" i="1"/>
  <c r="K1233" i="1"/>
  <c r="L1232" i="1"/>
  <c r="K1232" i="1"/>
  <c r="L1231" i="1"/>
  <c r="K1231" i="1"/>
  <c r="L1230" i="1"/>
  <c r="K1230" i="1"/>
  <c r="L1229" i="1"/>
  <c r="K1229" i="1"/>
  <c r="L1228" i="1"/>
  <c r="K1228" i="1"/>
  <c r="L1227" i="1"/>
  <c r="K1227" i="1"/>
  <c r="L1226" i="1"/>
  <c r="K1226" i="1"/>
  <c r="L1225" i="1"/>
  <c r="K1225" i="1"/>
  <c r="L1224" i="1"/>
  <c r="K1224" i="1"/>
  <c r="L1223" i="1"/>
  <c r="K1223" i="1"/>
  <c r="L1222" i="1"/>
  <c r="K1222" i="1"/>
  <c r="L1221" i="1"/>
  <c r="K1221" i="1"/>
  <c r="L1220" i="1"/>
  <c r="K1220" i="1"/>
  <c r="L1219" i="1"/>
  <c r="K1219" i="1"/>
  <c r="L1218" i="1"/>
  <c r="K1218" i="1"/>
  <c r="L1217" i="1"/>
  <c r="K1217" i="1"/>
  <c r="L1216" i="1"/>
  <c r="K1216" i="1"/>
  <c r="L1215" i="1"/>
  <c r="K1215" i="1"/>
  <c r="L1214" i="1"/>
  <c r="L1213" i="1"/>
  <c r="L1212" i="1"/>
  <c r="L1211" i="1"/>
  <c r="K1211" i="1"/>
  <c r="L1210" i="1"/>
  <c r="K1210" i="1"/>
  <c r="L1209" i="1"/>
  <c r="K1209" i="1"/>
  <c r="L1208" i="1"/>
  <c r="K1208" i="1"/>
  <c r="L1207" i="1"/>
  <c r="K1207" i="1"/>
  <c r="L1206" i="1"/>
  <c r="K1206" i="1"/>
  <c r="L1205" i="1"/>
  <c r="K1205" i="1"/>
  <c r="L1204" i="1"/>
  <c r="K1204" i="1"/>
  <c r="L1203" i="1"/>
  <c r="K1203" i="1"/>
  <c r="L1202" i="1"/>
  <c r="L1201" i="1"/>
  <c r="K1201" i="1"/>
  <c r="L1200" i="1"/>
  <c r="K1200" i="1"/>
  <c r="L1199" i="1"/>
  <c r="K1199" i="1"/>
  <c r="L1198" i="1"/>
  <c r="K1198" i="1"/>
  <c r="L1197" i="1"/>
  <c r="K1197" i="1"/>
  <c r="L1196" i="1"/>
  <c r="K1196" i="1"/>
  <c r="L1195" i="1"/>
  <c r="K1195" i="1"/>
  <c r="L1194" i="1"/>
  <c r="K1194" i="1"/>
  <c r="L1193" i="1"/>
  <c r="K1193" i="1"/>
  <c r="L1192" i="1"/>
  <c r="K1192" i="1"/>
  <c r="L1191" i="1"/>
  <c r="K1191" i="1"/>
  <c r="L1190" i="1"/>
  <c r="K1190" i="1"/>
  <c r="L1189" i="1"/>
  <c r="K1189" i="1"/>
  <c r="L1188" i="1"/>
  <c r="K1188" i="1"/>
  <c r="L1187" i="1"/>
  <c r="K1187" i="1"/>
  <c r="L1186" i="1"/>
  <c r="K1186" i="1"/>
  <c r="L1185" i="1"/>
  <c r="K1185" i="1"/>
  <c r="L1184" i="1"/>
  <c r="L1183" i="1"/>
  <c r="L1182" i="1"/>
  <c r="K1182" i="1"/>
  <c r="L1181" i="1"/>
  <c r="K1181" i="1"/>
  <c r="L1180" i="1"/>
  <c r="K1180" i="1"/>
  <c r="L1179" i="1"/>
  <c r="K1179" i="1"/>
  <c r="L1178" i="1"/>
  <c r="K1178" i="1"/>
  <c r="L1177" i="1"/>
  <c r="K1177" i="1"/>
  <c r="L1176" i="1"/>
  <c r="K1176" i="1"/>
  <c r="L1175" i="1"/>
  <c r="K1175" i="1"/>
  <c r="L1174" i="1"/>
  <c r="K1174" i="1"/>
  <c r="L1173" i="1"/>
  <c r="K1173" i="1"/>
  <c r="L1172" i="1"/>
  <c r="K1172" i="1"/>
  <c r="L1171" i="1"/>
  <c r="L1170" i="1"/>
  <c r="L1169" i="1"/>
  <c r="K1169" i="1"/>
  <c r="L1168" i="1"/>
  <c r="K1168" i="1"/>
  <c r="L1167" i="1"/>
  <c r="K1167" i="1"/>
  <c r="L1166" i="1"/>
  <c r="K1166" i="1"/>
  <c r="L1165" i="1"/>
  <c r="K1165" i="1"/>
  <c r="L1164" i="1"/>
  <c r="K1164" i="1"/>
  <c r="L1163" i="1"/>
  <c r="L1162" i="1"/>
  <c r="L1161" i="1"/>
  <c r="K1161" i="1"/>
  <c r="L1160" i="1"/>
  <c r="K1160" i="1"/>
  <c r="L1159" i="1"/>
  <c r="K1159" i="1"/>
  <c r="L1158" i="1"/>
  <c r="K1158" i="1"/>
  <c r="L1157" i="1"/>
  <c r="K1157" i="1"/>
  <c r="L1156" i="1"/>
  <c r="K1156" i="1"/>
  <c r="L1155" i="1"/>
  <c r="K1155" i="1"/>
  <c r="L1154" i="1"/>
  <c r="L1153" i="1"/>
  <c r="K1153" i="1"/>
  <c r="L1152" i="1"/>
  <c r="K1152" i="1"/>
  <c r="L1151" i="1"/>
  <c r="K1151" i="1"/>
  <c r="L1150" i="1"/>
  <c r="K1150" i="1"/>
  <c r="L1149" i="1"/>
  <c r="K1149" i="1"/>
  <c r="L1148" i="1"/>
  <c r="K1148" i="1"/>
  <c r="L1147" i="1"/>
  <c r="K1147" i="1"/>
  <c r="L1146" i="1"/>
  <c r="K1146" i="1"/>
  <c r="L1145" i="1"/>
  <c r="K1145" i="1"/>
  <c r="L1144" i="1"/>
  <c r="K1144" i="1"/>
  <c r="L1143" i="1"/>
  <c r="K1143" i="1"/>
  <c r="L1142" i="1"/>
  <c r="L1141" i="1"/>
  <c r="K1141" i="1"/>
  <c r="L1140" i="1"/>
  <c r="K1140" i="1"/>
  <c r="L1139" i="1"/>
  <c r="K1139" i="1"/>
  <c r="L1138" i="1"/>
  <c r="L1137" i="1"/>
  <c r="L1136" i="1"/>
  <c r="K1136" i="1"/>
  <c r="L1135" i="1"/>
  <c r="K1135" i="1"/>
  <c r="L1134" i="1"/>
  <c r="K1134" i="1"/>
  <c r="L1133" i="1"/>
  <c r="K1133" i="1"/>
  <c r="L1132" i="1"/>
  <c r="K1132" i="1"/>
  <c r="L1131" i="1"/>
  <c r="L1130" i="1"/>
  <c r="K1130" i="1"/>
  <c r="L1129" i="1"/>
  <c r="K1129" i="1"/>
  <c r="L1128" i="1"/>
  <c r="K1128" i="1"/>
  <c r="L1127" i="1"/>
  <c r="K1127" i="1"/>
  <c r="L1126" i="1"/>
  <c r="K1126" i="1"/>
  <c r="L1125" i="1"/>
  <c r="K1125" i="1"/>
  <c r="L1124" i="1"/>
  <c r="K1124" i="1"/>
  <c r="L1123" i="1"/>
  <c r="K1123" i="1"/>
  <c r="L1122" i="1"/>
  <c r="K1122" i="1"/>
  <c r="L1121" i="1"/>
  <c r="K1121" i="1"/>
  <c r="L1120" i="1"/>
  <c r="K1120" i="1"/>
  <c r="L1119" i="1"/>
  <c r="K1119" i="1"/>
  <c r="L1118" i="1"/>
  <c r="K1118" i="1"/>
  <c r="L1117" i="1"/>
  <c r="K1117" i="1"/>
  <c r="L1116" i="1"/>
  <c r="K1116" i="1"/>
  <c r="L1115" i="1"/>
  <c r="K1115" i="1"/>
  <c r="L1114" i="1"/>
  <c r="K1114" i="1"/>
  <c r="L1113" i="1"/>
  <c r="K1113" i="1"/>
  <c r="L1112" i="1"/>
  <c r="K1112" i="1"/>
  <c r="L1111" i="1"/>
  <c r="L1110" i="1"/>
  <c r="K1110" i="1"/>
  <c r="L1109" i="1"/>
  <c r="K1109" i="1"/>
  <c r="L1108" i="1"/>
  <c r="K1108" i="1"/>
  <c r="L1107" i="1"/>
  <c r="K1107" i="1"/>
  <c r="L1106" i="1"/>
  <c r="K1106" i="1"/>
  <c r="L1105" i="1"/>
  <c r="K1105" i="1"/>
  <c r="L1104" i="1"/>
  <c r="K1104" i="1"/>
  <c r="L1103" i="1"/>
  <c r="K1103" i="1"/>
  <c r="L1102" i="1"/>
  <c r="K1102" i="1"/>
  <c r="L1101" i="1"/>
  <c r="K1101" i="1"/>
  <c r="L1100" i="1"/>
  <c r="K1100" i="1"/>
  <c r="L1099" i="1"/>
  <c r="K1099" i="1"/>
  <c r="L1098" i="1"/>
  <c r="K1098" i="1"/>
  <c r="L1097" i="1"/>
  <c r="K1097" i="1"/>
  <c r="L1096" i="1"/>
  <c r="K1096" i="1"/>
  <c r="L1095" i="1"/>
  <c r="K1095" i="1"/>
  <c r="L1094" i="1"/>
  <c r="K1094" i="1"/>
  <c r="L1093" i="1"/>
  <c r="K1093" i="1"/>
  <c r="L1092" i="1"/>
  <c r="K1092" i="1"/>
  <c r="L1091" i="1"/>
  <c r="K1091" i="1"/>
  <c r="L1090" i="1"/>
  <c r="K1090" i="1"/>
  <c r="L1089" i="1"/>
  <c r="K1089" i="1"/>
  <c r="L1088" i="1"/>
  <c r="K1088" i="1"/>
  <c r="L1087" i="1"/>
  <c r="K1087" i="1"/>
  <c r="L1086" i="1"/>
  <c r="K1086" i="1"/>
  <c r="L1085" i="1"/>
  <c r="K1085" i="1"/>
  <c r="L1084" i="1"/>
  <c r="K1084" i="1"/>
  <c r="L1083" i="1"/>
  <c r="K1083" i="1"/>
  <c r="L1082" i="1"/>
  <c r="K1082" i="1"/>
  <c r="L1081" i="1"/>
  <c r="K1081" i="1"/>
  <c r="L1080" i="1"/>
  <c r="K1080" i="1"/>
  <c r="L1079" i="1"/>
  <c r="K1079" i="1"/>
  <c r="L1078" i="1"/>
  <c r="K1078" i="1"/>
  <c r="L1077" i="1"/>
  <c r="K1077" i="1"/>
  <c r="L1076" i="1"/>
  <c r="K1076" i="1"/>
  <c r="L1075" i="1"/>
  <c r="K1075" i="1"/>
  <c r="L1074" i="1"/>
  <c r="K1074" i="1"/>
  <c r="L1073" i="1"/>
  <c r="K1073" i="1"/>
  <c r="L1072" i="1"/>
  <c r="K1072" i="1"/>
  <c r="L1071" i="1"/>
  <c r="K1071" i="1"/>
  <c r="L1070" i="1"/>
  <c r="K1070" i="1"/>
  <c r="L1069" i="1"/>
  <c r="K1069" i="1"/>
  <c r="L1068" i="1"/>
  <c r="K1068" i="1"/>
  <c r="L1067" i="1"/>
  <c r="K1067" i="1"/>
  <c r="L1066" i="1"/>
  <c r="K1066" i="1"/>
  <c r="L1065" i="1"/>
  <c r="K1065" i="1"/>
  <c r="L1064" i="1"/>
  <c r="K1064" i="1"/>
  <c r="L1063" i="1"/>
  <c r="K1063" i="1"/>
  <c r="L1062" i="1"/>
  <c r="K1062" i="1"/>
  <c r="L1061" i="1"/>
  <c r="K1061" i="1"/>
  <c r="L1060" i="1"/>
  <c r="K1060" i="1"/>
  <c r="L1059" i="1"/>
  <c r="K1059" i="1"/>
  <c r="L1058" i="1"/>
  <c r="K1058" i="1"/>
  <c r="L1057" i="1"/>
  <c r="K1057" i="1"/>
  <c r="L1056" i="1"/>
  <c r="K1056" i="1"/>
  <c r="L1055" i="1"/>
  <c r="K1055" i="1"/>
  <c r="L1054" i="1"/>
  <c r="K1054" i="1"/>
  <c r="L1053" i="1"/>
  <c r="K1053" i="1"/>
  <c r="L1052" i="1"/>
  <c r="K1052" i="1"/>
  <c r="L1051" i="1"/>
  <c r="K1051" i="1"/>
  <c r="L1050" i="1"/>
  <c r="K1050" i="1"/>
  <c r="L1049" i="1"/>
  <c r="K1049" i="1"/>
  <c r="L1048" i="1"/>
  <c r="K1048" i="1"/>
  <c r="L1047" i="1"/>
  <c r="K1047" i="1"/>
  <c r="L1046" i="1"/>
  <c r="K1046" i="1"/>
  <c r="L1045" i="1"/>
  <c r="K1045" i="1"/>
  <c r="L1044" i="1"/>
  <c r="K1044" i="1"/>
  <c r="L1043" i="1"/>
  <c r="K1043" i="1"/>
  <c r="L1042" i="1"/>
  <c r="K1042" i="1"/>
  <c r="L1041" i="1"/>
  <c r="K1041" i="1"/>
  <c r="L1040" i="1"/>
  <c r="K1040" i="1"/>
  <c r="L1039" i="1"/>
  <c r="K1039" i="1"/>
  <c r="L1038" i="1"/>
  <c r="K1038" i="1"/>
  <c r="L1037" i="1"/>
  <c r="K1037" i="1"/>
  <c r="L1036" i="1"/>
  <c r="K1036" i="1"/>
  <c r="L1035" i="1"/>
  <c r="K1035" i="1"/>
  <c r="L1034" i="1"/>
  <c r="K1034" i="1"/>
  <c r="L1033" i="1"/>
  <c r="K1033" i="1"/>
  <c r="L1032" i="1"/>
  <c r="K1032" i="1"/>
  <c r="L1031" i="1"/>
  <c r="K1031" i="1"/>
  <c r="L1030" i="1"/>
  <c r="K1030" i="1"/>
  <c r="L1029" i="1"/>
  <c r="K1029" i="1"/>
  <c r="L1028" i="1"/>
  <c r="K1028" i="1"/>
  <c r="L1027" i="1"/>
  <c r="K1027" i="1"/>
  <c r="L1026" i="1"/>
  <c r="K1026" i="1"/>
  <c r="L1025" i="1"/>
  <c r="K1025" i="1"/>
  <c r="L1024" i="1"/>
  <c r="K1024" i="1"/>
  <c r="L1023" i="1"/>
  <c r="K1023" i="1"/>
  <c r="L1022" i="1"/>
  <c r="K1022" i="1"/>
  <c r="L1021" i="1"/>
  <c r="K1021" i="1"/>
  <c r="L1020" i="1"/>
  <c r="K1020" i="1"/>
  <c r="L1019" i="1"/>
  <c r="K1019" i="1"/>
  <c r="L1018" i="1"/>
  <c r="K1018" i="1"/>
  <c r="L1017" i="1"/>
  <c r="K1017" i="1"/>
  <c r="L1016" i="1"/>
  <c r="K1016" i="1"/>
  <c r="L1015" i="1"/>
  <c r="K1015" i="1"/>
  <c r="L1014" i="1"/>
  <c r="L1013" i="1"/>
  <c r="L1012" i="1"/>
  <c r="K1012" i="1"/>
  <c r="L1011" i="1"/>
  <c r="K1011" i="1"/>
  <c r="L1010" i="1"/>
  <c r="K1010" i="1"/>
  <c r="L1009" i="1"/>
  <c r="K1009" i="1"/>
  <c r="L1008" i="1"/>
  <c r="K1008" i="1"/>
  <c r="L1007" i="1"/>
  <c r="K1007" i="1"/>
  <c r="L1006" i="1"/>
  <c r="K1006" i="1"/>
  <c r="L1005" i="1"/>
  <c r="K1005" i="1"/>
  <c r="L1004" i="1"/>
  <c r="K1004" i="1"/>
  <c r="L1003" i="1"/>
  <c r="K1003" i="1"/>
  <c r="L1002" i="1"/>
  <c r="K1002" i="1"/>
  <c r="A1002" i="1"/>
  <c r="A1003" i="1" s="1"/>
  <c r="A1004" i="1" s="1"/>
  <c r="A1005" i="1" s="1"/>
  <c r="A1006" i="1" s="1"/>
  <c r="A1007" i="1" s="1"/>
  <c r="A1008" i="1" s="1"/>
  <c r="A1009" i="1" s="1"/>
  <c r="A1010" i="1" s="1"/>
  <c r="A1011" i="1" s="1"/>
  <c r="A1012" i="1" s="1"/>
  <c r="A1013" i="1" s="1"/>
  <c r="A1014" i="1" s="1"/>
  <c r="A1015" i="1" s="1"/>
  <c r="A1016" i="1" s="1"/>
  <c r="A1017" i="1" s="1"/>
  <c r="A1018" i="1" s="1"/>
  <c r="A1019" i="1" s="1"/>
  <c r="A1020" i="1" s="1"/>
  <c r="A1021" i="1" s="1"/>
  <c r="A1022" i="1" s="1"/>
  <c r="A1023" i="1" s="1"/>
  <c r="A1024" i="1" s="1"/>
  <c r="A1025" i="1" s="1"/>
  <c r="A1026" i="1" s="1"/>
  <c r="A1027" i="1" s="1"/>
  <c r="A1028" i="1" s="1"/>
  <c r="A1029" i="1" s="1"/>
  <c r="A1030" i="1" s="1"/>
  <c r="A1031" i="1" s="1"/>
  <c r="A1032" i="1" s="1"/>
  <c r="A1033" i="1" s="1"/>
  <c r="A1034" i="1" s="1"/>
  <c r="A1035" i="1" s="1"/>
  <c r="A1036" i="1" s="1"/>
  <c r="A1037" i="1" s="1"/>
  <c r="A1038" i="1" s="1"/>
  <c r="A1039" i="1" s="1"/>
  <c r="A1040" i="1" s="1"/>
  <c r="A1041" i="1" s="1"/>
  <c r="A1042" i="1" s="1"/>
  <c r="A1043" i="1" s="1"/>
  <c r="A1044" i="1" s="1"/>
  <c r="A1045" i="1" s="1"/>
  <c r="A1046" i="1" s="1"/>
  <c r="A1047" i="1" s="1"/>
  <c r="A1048" i="1" s="1"/>
  <c r="A1049" i="1" s="1"/>
  <c r="A1050" i="1" s="1"/>
  <c r="A1051" i="1" s="1"/>
  <c r="A1052" i="1" s="1"/>
  <c r="A1053" i="1" s="1"/>
  <c r="A1054" i="1" s="1"/>
  <c r="A1055" i="1" s="1"/>
  <c r="A1056" i="1" s="1"/>
  <c r="A1057" i="1" s="1"/>
  <c r="A1058" i="1" s="1"/>
  <c r="A1059" i="1" s="1"/>
  <c r="A1060" i="1" s="1"/>
  <c r="A1061" i="1" s="1"/>
  <c r="A1062" i="1" s="1"/>
  <c r="A1063" i="1" s="1"/>
  <c r="A1064" i="1" s="1"/>
  <c r="A1065" i="1" s="1"/>
  <c r="A1066" i="1" s="1"/>
  <c r="A1067" i="1" s="1"/>
  <c r="A1068" i="1" s="1"/>
  <c r="A1069" i="1" s="1"/>
  <c r="A1070" i="1" s="1"/>
  <c r="A1071" i="1" s="1"/>
  <c r="A1072" i="1" s="1"/>
  <c r="A1073" i="1" s="1"/>
  <c r="A1074" i="1" s="1"/>
  <c r="A1075" i="1" s="1"/>
  <c r="A1076" i="1" s="1"/>
  <c r="A1077" i="1" s="1"/>
  <c r="A1078" i="1" s="1"/>
  <c r="A1079" i="1" s="1"/>
  <c r="A1080" i="1" s="1"/>
  <c r="A1081" i="1" s="1"/>
  <c r="A1082" i="1" s="1"/>
  <c r="A1083" i="1" s="1"/>
  <c r="A1084" i="1" s="1"/>
  <c r="A1085" i="1" s="1"/>
  <c r="A1086" i="1" s="1"/>
  <c r="A1087" i="1" s="1"/>
  <c r="A1088" i="1" s="1"/>
  <c r="A1089" i="1" s="1"/>
  <c r="A1090" i="1" s="1"/>
  <c r="A1091" i="1" s="1"/>
  <c r="A1092" i="1" s="1"/>
  <c r="A1093" i="1" s="1"/>
  <c r="A1094" i="1" s="1"/>
  <c r="A1095" i="1" s="1"/>
  <c r="A1096" i="1" s="1"/>
  <c r="A1097" i="1" s="1"/>
  <c r="A1098" i="1" s="1"/>
  <c r="A1099" i="1" s="1"/>
  <c r="A1100" i="1" s="1"/>
  <c r="A1101" i="1" s="1"/>
  <c r="A1102" i="1" s="1"/>
  <c r="A1103" i="1" s="1"/>
  <c r="A1104" i="1" s="1"/>
  <c r="A1105" i="1" s="1"/>
  <c r="A1106" i="1" s="1"/>
  <c r="A1107" i="1" s="1"/>
  <c r="A1108" i="1" s="1"/>
  <c r="A1109" i="1" s="1"/>
  <c r="A1110" i="1" s="1"/>
  <c r="A1111" i="1" s="1"/>
  <c r="A1112" i="1" s="1"/>
  <c r="A1113" i="1" s="1"/>
  <c r="A1114" i="1" s="1"/>
  <c r="A1115" i="1" s="1"/>
  <c r="A1116" i="1" s="1"/>
  <c r="A1117" i="1" s="1"/>
  <c r="A1118" i="1" s="1"/>
  <c r="A1119" i="1" s="1"/>
  <c r="A1120" i="1" s="1"/>
  <c r="A1121" i="1" s="1"/>
  <c r="A1122" i="1" s="1"/>
  <c r="A1123" i="1" s="1"/>
  <c r="A1124" i="1" s="1"/>
  <c r="A1125" i="1" s="1"/>
  <c r="A1126" i="1" s="1"/>
  <c r="A1127" i="1" s="1"/>
  <c r="A1128" i="1" s="1"/>
  <c r="A1129" i="1" s="1"/>
  <c r="A1130" i="1" s="1"/>
  <c r="A1131" i="1" s="1"/>
  <c r="A1132" i="1" s="1"/>
  <c r="A1133" i="1" s="1"/>
  <c r="A1134" i="1" s="1"/>
  <c r="A1135" i="1" s="1"/>
  <c r="A1136" i="1" s="1"/>
  <c r="A1137" i="1" s="1"/>
  <c r="A1138" i="1" s="1"/>
  <c r="A1139" i="1" s="1"/>
  <c r="A1140" i="1" s="1"/>
  <c r="A1141" i="1" s="1"/>
  <c r="A1142" i="1" s="1"/>
  <c r="A1143" i="1" s="1"/>
  <c r="A1144" i="1" s="1"/>
  <c r="A1145" i="1" s="1"/>
  <c r="A1146" i="1" s="1"/>
  <c r="A1147" i="1" s="1"/>
  <c r="A1148" i="1" s="1"/>
  <c r="A1149" i="1" s="1"/>
  <c r="A1150" i="1" s="1"/>
  <c r="A1151" i="1" s="1"/>
  <c r="A1152" i="1" s="1"/>
  <c r="A1153" i="1" s="1"/>
  <c r="A1154" i="1" s="1"/>
  <c r="A1155" i="1" s="1"/>
  <c r="A1156" i="1" s="1"/>
  <c r="A1157" i="1" s="1"/>
  <c r="A1158" i="1" s="1"/>
  <c r="A1159" i="1" s="1"/>
  <c r="A1160" i="1" s="1"/>
  <c r="A1161" i="1" s="1"/>
  <c r="A1162" i="1" s="1"/>
  <c r="A1163" i="1" s="1"/>
  <c r="A1164" i="1" s="1"/>
  <c r="A1165" i="1" s="1"/>
  <c r="A1166" i="1" s="1"/>
  <c r="A1167" i="1" s="1"/>
  <c r="A1168" i="1" s="1"/>
  <c r="A1169" i="1" s="1"/>
  <c r="A1170" i="1" s="1"/>
  <c r="A1171" i="1" s="1"/>
  <c r="A1172" i="1" s="1"/>
  <c r="A1173" i="1" s="1"/>
  <c r="A1174" i="1" s="1"/>
  <c r="A1175" i="1" s="1"/>
  <c r="A1176" i="1" s="1"/>
  <c r="A1177" i="1" s="1"/>
  <c r="A1178" i="1" s="1"/>
  <c r="A1179" i="1" s="1"/>
  <c r="A1180" i="1" s="1"/>
  <c r="A1181" i="1" s="1"/>
  <c r="A1182" i="1" s="1"/>
  <c r="A1183" i="1" s="1"/>
  <c r="A1184" i="1" s="1"/>
  <c r="A1185" i="1" s="1"/>
  <c r="A1186" i="1" s="1"/>
  <c r="A1187" i="1" s="1"/>
  <c r="A1188" i="1" s="1"/>
  <c r="A1189" i="1" s="1"/>
  <c r="A1190" i="1" s="1"/>
  <c r="A1191" i="1" s="1"/>
  <c r="A1192" i="1" s="1"/>
  <c r="A1193" i="1" s="1"/>
  <c r="A1194" i="1" s="1"/>
  <c r="A1195" i="1" s="1"/>
  <c r="A1196" i="1" s="1"/>
  <c r="A1197" i="1" s="1"/>
  <c r="A1198" i="1" s="1"/>
  <c r="A1199" i="1" s="1"/>
  <c r="A1200" i="1" s="1"/>
  <c r="A1201" i="1" s="1"/>
  <c r="A1202" i="1" s="1"/>
  <c r="A1203" i="1" s="1"/>
  <c r="A1204" i="1" s="1"/>
  <c r="A1205" i="1" s="1"/>
  <c r="A1206" i="1" s="1"/>
  <c r="A1207" i="1" s="1"/>
  <c r="A1208" i="1" s="1"/>
  <c r="A1209" i="1" s="1"/>
  <c r="A1210" i="1" s="1"/>
  <c r="A1211" i="1" s="1"/>
  <c r="A1212" i="1" s="1"/>
  <c r="A1213" i="1" s="1"/>
  <c r="A1214" i="1" s="1"/>
  <c r="A1215" i="1" s="1"/>
  <c r="A1216" i="1" s="1"/>
  <c r="A1217" i="1" s="1"/>
  <c r="A1218" i="1" s="1"/>
  <c r="A1219" i="1" s="1"/>
  <c r="A1220" i="1" s="1"/>
  <c r="A1221" i="1" s="1"/>
  <c r="A1222" i="1" s="1"/>
  <c r="A1223" i="1" s="1"/>
  <c r="A1224" i="1" s="1"/>
  <c r="A1225" i="1" s="1"/>
  <c r="A1226" i="1" s="1"/>
  <c r="A1227" i="1" s="1"/>
  <c r="A1228" i="1" s="1"/>
  <c r="A1229" i="1" s="1"/>
  <c r="A1230" i="1" s="1"/>
  <c r="A1231" i="1" s="1"/>
  <c r="A1232" i="1" s="1"/>
  <c r="A1233" i="1" s="1"/>
  <c r="A1234" i="1" s="1"/>
  <c r="A1235" i="1" s="1"/>
  <c r="A1236" i="1" s="1"/>
  <c r="A1237" i="1" s="1"/>
  <c r="A1238" i="1" s="1"/>
  <c r="A1239" i="1" s="1"/>
  <c r="A1240" i="1" s="1"/>
  <c r="L1001" i="1"/>
  <c r="K1001" i="1"/>
  <c r="L1000" i="1"/>
  <c r="K1000" i="1"/>
  <c r="L999" i="1"/>
  <c r="K999" i="1"/>
  <c r="L998" i="1"/>
  <c r="K998" i="1"/>
  <c r="L997" i="1"/>
  <c r="K997" i="1"/>
  <c r="L996" i="1"/>
  <c r="K996" i="1"/>
  <c r="L995" i="1"/>
  <c r="K995" i="1"/>
  <c r="L994" i="1"/>
  <c r="K994" i="1"/>
  <c r="L993" i="1"/>
  <c r="K993" i="1"/>
  <c r="L992" i="1"/>
  <c r="K992" i="1"/>
  <c r="L991" i="1"/>
  <c r="K991" i="1"/>
  <c r="L990" i="1"/>
  <c r="K990" i="1"/>
  <c r="L989" i="1"/>
  <c r="K989" i="1"/>
  <c r="L988" i="1"/>
  <c r="K988" i="1"/>
  <c r="L987" i="1"/>
  <c r="K987" i="1"/>
  <c r="L986" i="1"/>
  <c r="K986" i="1"/>
  <c r="L985" i="1"/>
  <c r="K985" i="1"/>
  <c r="L984" i="1"/>
  <c r="K984" i="1"/>
  <c r="L983" i="1"/>
  <c r="K983" i="1"/>
  <c r="L982" i="1"/>
  <c r="K982" i="1"/>
  <c r="L981" i="1"/>
  <c r="K981" i="1"/>
  <c r="L980" i="1"/>
  <c r="K980" i="1"/>
  <c r="L979" i="1"/>
  <c r="K979" i="1"/>
  <c r="L978" i="1"/>
  <c r="K978" i="1"/>
  <c r="L977" i="1"/>
  <c r="K977" i="1"/>
  <c r="L976" i="1"/>
  <c r="K976" i="1"/>
  <c r="L975" i="1"/>
  <c r="K975" i="1"/>
  <c r="L974" i="1"/>
  <c r="K974" i="1"/>
  <c r="L973" i="1"/>
  <c r="L972" i="1"/>
  <c r="K972" i="1"/>
  <c r="L971" i="1"/>
  <c r="K971" i="1"/>
  <c r="L970" i="1"/>
  <c r="K970" i="1"/>
  <c r="L969" i="1"/>
  <c r="K969" i="1"/>
  <c r="L968" i="1"/>
  <c r="K968" i="1"/>
  <c r="L967" i="1"/>
  <c r="K967" i="1"/>
  <c r="L966" i="1"/>
  <c r="K966" i="1"/>
  <c r="L965" i="1"/>
  <c r="K965" i="1"/>
  <c r="L964" i="1"/>
  <c r="K964" i="1"/>
  <c r="L963" i="1"/>
  <c r="K963" i="1"/>
  <c r="L962" i="1"/>
  <c r="L961" i="1"/>
  <c r="K961" i="1"/>
  <c r="L960" i="1"/>
  <c r="K960" i="1"/>
  <c r="L959" i="1"/>
  <c r="K959" i="1"/>
  <c r="L958" i="1"/>
  <c r="K958" i="1"/>
  <c r="L957" i="1"/>
  <c r="K957" i="1"/>
  <c r="L956" i="1"/>
  <c r="K956" i="1"/>
  <c r="L955" i="1"/>
  <c r="K955" i="1"/>
  <c r="L954" i="1"/>
  <c r="K954" i="1"/>
  <c r="L953" i="1"/>
  <c r="K953" i="1"/>
  <c r="L952" i="1"/>
  <c r="K952" i="1"/>
  <c r="L951" i="1"/>
  <c r="K951" i="1"/>
  <c r="L950" i="1"/>
  <c r="K950" i="1"/>
  <c r="L949" i="1"/>
  <c r="K949" i="1"/>
  <c r="L948" i="1"/>
  <c r="K948" i="1"/>
  <c r="L947" i="1"/>
  <c r="K947" i="1"/>
  <c r="L946" i="1"/>
  <c r="K946" i="1"/>
  <c r="L945" i="1"/>
  <c r="K945" i="1"/>
  <c r="L944" i="1"/>
  <c r="K944" i="1"/>
  <c r="L943" i="1"/>
  <c r="K943" i="1"/>
  <c r="L942" i="1"/>
  <c r="K942" i="1"/>
  <c r="L941" i="1"/>
  <c r="K941" i="1"/>
  <c r="L940" i="1"/>
  <c r="K940" i="1"/>
  <c r="L939" i="1"/>
  <c r="K939" i="1"/>
  <c r="L938" i="1"/>
  <c r="K938" i="1"/>
  <c r="L937" i="1"/>
  <c r="K937" i="1"/>
  <c r="L936" i="1"/>
  <c r="K936" i="1"/>
  <c r="L935" i="1"/>
  <c r="K935" i="1"/>
  <c r="L934" i="1"/>
  <c r="K934" i="1"/>
  <c r="L933" i="1"/>
  <c r="K933" i="1"/>
  <c r="L932" i="1"/>
  <c r="K932" i="1"/>
  <c r="L931" i="1"/>
  <c r="K931" i="1"/>
  <c r="L930" i="1"/>
  <c r="K930" i="1"/>
  <c r="L929" i="1"/>
  <c r="K929" i="1"/>
  <c r="L928" i="1"/>
  <c r="K928" i="1"/>
  <c r="L927" i="1"/>
  <c r="L926" i="1"/>
  <c r="K926" i="1"/>
  <c r="L925" i="1"/>
  <c r="K925" i="1"/>
  <c r="L924" i="1"/>
  <c r="K924" i="1"/>
  <c r="L923" i="1"/>
  <c r="L922" i="1"/>
  <c r="K922" i="1"/>
  <c r="L921" i="1"/>
  <c r="K921" i="1"/>
  <c r="L920" i="1"/>
  <c r="K920" i="1"/>
  <c r="L919" i="1"/>
  <c r="K919" i="1"/>
  <c r="L918" i="1"/>
  <c r="K918" i="1"/>
  <c r="L917" i="1"/>
  <c r="K917" i="1"/>
  <c r="L916" i="1"/>
  <c r="K916" i="1"/>
  <c r="L915" i="1"/>
  <c r="K915" i="1"/>
  <c r="L914" i="1"/>
  <c r="K914" i="1"/>
  <c r="L913" i="1"/>
  <c r="K913" i="1"/>
  <c r="L912" i="1"/>
  <c r="K912" i="1"/>
  <c r="L911" i="1"/>
  <c r="K911" i="1"/>
  <c r="L910" i="1"/>
  <c r="L909" i="1"/>
  <c r="K909" i="1"/>
  <c r="L908" i="1"/>
  <c r="K908" i="1"/>
  <c r="L907" i="1"/>
  <c r="K907" i="1"/>
  <c r="L906" i="1"/>
  <c r="K906" i="1"/>
  <c r="L905" i="1"/>
  <c r="K905" i="1"/>
  <c r="L904" i="1"/>
  <c r="K904" i="1"/>
  <c r="L903" i="1"/>
  <c r="K903" i="1"/>
  <c r="L902" i="1"/>
  <c r="K902" i="1"/>
  <c r="L901" i="1"/>
  <c r="K901" i="1"/>
  <c r="L900" i="1"/>
  <c r="K900" i="1"/>
  <c r="L899" i="1"/>
  <c r="K899" i="1"/>
  <c r="L898" i="1"/>
  <c r="K898" i="1"/>
  <c r="L897" i="1"/>
  <c r="L896" i="1"/>
  <c r="K896" i="1"/>
  <c r="L895" i="1"/>
  <c r="K895" i="1"/>
  <c r="L894" i="1"/>
  <c r="K894" i="1"/>
  <c r="L893" i="1"/>
  <c r="K893" i="1"/>
  <c r="L892" i="1"/>
  <c r="K892" i="1"/>
  <c r="L891" i="1"/>
  <c r="K891" i="1"/>
  <c r="L890" i="1"/>
  <c r="K890" i="1"/>
  <c r="L889" i="1"/>
  <c r="K889" i="1"/>
  <c r="L888" i="1"/>
  <c r="K888" i="1"/>
  <c r="L887" i="1"/>
  <c r="K887" i="1"/>
  <c r="L886" i="1"/>
  <c r="K886" i="1"/>
  <c r="L885" i="1"/>
  <c r="K885" i="1"/>
  <c r="L884" i="1"/>
  <c r="L883" i="1"/>
  <c r="L882" i="1"/>
  <c r="K882" i="1"/>
  <c r="L881" i="1"/>
  <c r="K881" i="1"/>
  <c r="L880" i="1"/>
  <c r="K880" i="1"/>
  <c r="L879" i="1"/>
  <c r="K879" i="1"/>
  <c r="L878" i="1"/>
  <c r="K878" i="1"/>
  <c r="L877" i="1"/>
  <c r="K877" i="1"/>
  <c r="L876" i="1"/>
  <c r="K876" i="1"/>
  <c r="L875" i="1"/>
  <c r="K875" i="1"/>
  <c r="L874" i="1"/>
  <c r="K874" i="1"/>
  <c r="L873" i="1"/>
  <c r="K873" i="1"/>
  <c r="L872" i="1"/>
  <c r="L871" i="1"/>
  <c r="K871" i="1"/>
  <c r="L870" i="1"/>
  <c r="K870" i="1"/>
  <c r="L869" i="1"/>
  <c r="K869" i="1"/>
  <c r="L868" i="1"/>
  <c r="K868" i="1"/>
  <c r="L867" i="1"/>
  <c r="K867" i="1"/>
  <c r="L866" i="1"/>
  <c r="K866" i="1"/>
  <c r="L865" i="1"/>
  <c r="K865" i="1"/>
  <c r="L864" i="1"/>
  <c r="K864" i="1"/>
  <c r="L863" i="1"/>
  <c r="K863" i="1"/>
  <c r="L862" i="1"/>
  <c r="K862" i="1"/>
  <c r="L861" i="1"/>
  <c r="K861" i="1"/>
  <c r="L860" i="1"/>
  <c r="K860" i="1"/>
  <c r="L859" i="1"/>
  <c r="K859" i="1"/>
  <c r="L858" i="1"/>
  <c r="K858" i="1"/>
  <c r="L857" i="1"/>
  <c r="K857" i="1"/>
  <c r="L856" i="1"/>
  <c r="L855" i="1"/>
  <c r="L854" i="1"/>
  <c r="K854" i="1"/>
  <c r="L853" i="1"/>
  <c r="K853" i="1"/>
  <c r="L852" i="1"/>
  <c r="K852" i="1"/>
  <c r="L851" i="1"/>
  <c r="K851" i="1"/>
  <c r="L850" i="1"/>
  <c r="L849" i="1"/>
  <c r="K849" i="1"/>
  <c r="L848" i="1"/>
  <c r="K848" i="1"/>
  <c r="L847" i="1"/>
  <c r="K847" i="1"/>
  <c r="L846" i="1"/>
  <c r="K846" i="1"/>
  <c r="L845" i="1"/>
  <c r="L844" i="1"/>
  <c r="K844" i="1"/>
  <c r="L843" i="1"/>
  <c r="K843" i="1"/>
  <c r="L842" i="1"/>
  <c r="K842" i="1"/>
  <c r="L841" i="1"/>
  <c r="K841" i="1"/>
  <c r="L840" i="1"/>
  <c r="K840" i="1"/>
  <c r="L839" i="1"/>
  <c r="K839" i="1"/>
  <c r="L838" i="1"/>
  <c r="K838" i="1"/>
  <c r="L837" i="1"/>
  <c r="K837" i="1"/>
  <c r="L836" i="1"/>
  <c r="K836" i="1"/>
  <c r="L835" i="1"/>
  <c r="K835" i="1"/>
  <c r="L834" i="1"/>
  <c r="K834" i="1"/>
  <c r="L833" i="1"/>
  <c r="K833" i="1"/>
  <c r="L832" i="1"/>
  <c r="L831" i="1"/>
  <c r="K831" i="1"/>
  <c r="L830" i="1"/>
  <c r="K830" i="1"/>
  <c r="L829" i="1"/>
  <c r="K829" i="1"/>
  <c r="L828" i="1"/>
  <c r="K828" i="1"/>
  <c r="L827" i="1"/>
  <c r="K827" i="1"/>
  <c r="L826" i="1"/>
  <c r="K826" i="1"/>
  <c r="L825" i="1"/>
  <c r="K825" i="1"/>
  <c r="L824" i="1"/>
  <c r="K824" i="1"/>
  <c r="L823" i="1"/>
  <c r="K823" i="1"/>
  <c r="L822" i="1"/>
  <c r="K822" i="1"/>
  <c r="L821" i="1"/>
  <c r="K821" i="1"/>
  <c r="L820" i="1"/>
  <c r="K820" i="1"/>
  <c r="L819" i="1"/>
  <c r="K819" i="1"/>
  <c r="L818" i="1"/>
  <c r="K818" i="1"/>
  <c r="L817" i="1"/>
  <c r="K817" i="1"/>
  <c r="L816" i="1"/>
  <c r="K816" i="1"/>
  <c r="L815" i="1"/>
  <c r="K815" i="1"/>
  <c r="L814" i="1"/>
  <c r="K814" i="1"/>
  <c r="L813" i="1"/>
  <c r="K813" i="1"/>
  <c r="L812" i="1"/>
  <c r="K812" i="1"/>
  <c r="L811" i="1"/>
  <c r="L810" i="1"/>
  <c r="K810" i="1"/>
  <c r="L809" i="1"/>
  <c r="K809" i="1"/>
  <c r="L808" i="1"/>
  <c r="L807" i="1"/>
  <c r="K807" i="1"/>
  <c r="L806" i="1"/>
  <c r="K806" i="1"/>
  <c r="L805" i="1"/>
  <c r="K805" i="1"/>
  <c r="L804" i="1"/>
  <c r="K804" i="1"/>
  <c r="L803" i="1"/>
  <c r="K803" i="1"/>
  <c r="L802" i="1"/>
  <c r="L801" i="1"/>
  <c r="K801" i="1"/>
  <c r="L800" i="1"/>
  <c r="L799" i="1"/>
  <c r="L798" i="1"/>
  <c r="K798" i="1"/>
  <c r="L797" i="1"/>
  <c r="K797" i="1"/>
  <c r="L796" i="1"/>
  <c r="K796" i="1"/>
  <c r="L795" i="1"/>
  <c r="K795" i="1"/>
  <c r="L794" i="1"/>
  <c r="L793" i="1"/>
  <c r="L792" i="1"/>
  <c r="K792" i="1"/>
  <c r="L791" i="1"/>
  <c r="K791" i="1"/>
  <c r="L790" i="1"/>
  <c r="K790" i="1"/>
  <c r="L789" i="1"/>
  <c r="K789" i="1"/>
  <c r="L788" i="1"/>
  <c r="K788" i="1"/>
  <c r="L787" i="1"/>
  <c r="K787" i="1"/>
  <c r="L786" i="1"/>
  <c r="K786" i="1"/>
  <c r="L785" i="1"/>
  <c r="K785" i="1"/>
  <c r="L784" i="1"/>
  <c r="K784" i="1"/>
  <c r="L783" i="1"/>
  <c r="K783" i="1"/>
  <c r="L782" i="1"/>
  <c r="K782" i="1"/>
  <c r="L781" i="1"/>
  <c r="K781" i="1"/>
  <c r="L780" i="1"/>
  <c r="K780" i="1"/>
  <c r="L779" i="1"/>
  <c r="L778" i="1"/>
  <c r="K778" i="1"/>
  <c r="L777" i="1"/>
  <c r="K777" i="1"/>
  <c r="L776" i="1"/>
  <c r="K776" i="1"/>
  <c r="L775" i="1"/>
  <c r="K775" i="1"/>
  <c r="L774" i="1"/>
  <c r="L773" i="1"/>
  <c r="L772" i="1"/>
  <c r="K772" i="1"/>
  <c r="L771" i="1"/>
  <c r="K771" i="1"/>
  <c r="K770" i="1"/>
  <c r="L769" i="1"/>
  <c r="K769" i="1"/>
  <c r="L768" i="1"/>
  <c r="K768" i="1"/>
  <c r="L767" i="1"/>
  <c r="K767" i="1"/>
  <c r="L766" i="1"/>
  <c r="K766" i="1"/>
  <c r="L765" i="1"/>
  <c r="K765" i="1"/>
  <c r="L764" i="1"/>
  <c r="K764" i="1"/>
  <c r="L763" i="1"/>
  <c r="L762" i="1"/>
  <c r="K762" i="1"/>
  <c r="L761" i="1"/>
  <c r="L760" i="1"/>
  <c r="L759" i="1"/>
  <c r="K759" i="1"/>
  <c r="L758" i="1"/>
  <c r="K758" i="1"/>
  <c r="L757" i="1"/>
  <c r="K757" i="1"/>
  <c r="L756" i="1"/>
  <c r="K756" i="1"/>
  <c r="L755" i="1"/>
  <c r="K755" i="1"/>
  <c r="L754" i="1"/>
  <c r="K754" i="1"/>
  <c r="L753" i="1"/>
  <c r="K753" i="1"/>
  <c r="L752" i="1"/>
  <c r="K752" i="1"/>
  <c r="L751" i="1"/>
  <c r="K751" i="1"/>
  <c r="L750" i="1"/>
  <c r="K750" i="1"/>
  <c r="L749" i="1"/>
  <c r="K749" i="1"/>
  <c r="L748" i="1"/>
  <c r="K748" i="1"/>
  <c r="L747" i="1"/>
  <c r="K747" i="1"/>
  <c r="L746" i="1"/>
  <c r="K746" i="1"/>
  <c r="L745" i="1"/>
  <c r="K745" i="1"/>
  <c r="L744" i="1"/>
  <c r="K744" i="1"/>
  <c r="L743" i="1"/>
  <c r="K743" i="1"/>
  <c r="L742" i="1"/>
  <c r="K742" i="1"/>
  <c r="L741" i="1"/>
  <c r="K741" i="1"/>
  <c r="L740" i="1"/>
  <c r="K740" i="1"/>
  <c r="L739" i="1"/>
  <c r="K739" i="1"/>
  <c r="L738" i="1"/>
  <c r="K738" i="1"/>
  <c r="L737" i="1"/>
  <c r="K737" i="1"/>
  <c r="L736" i="1"/>
  <c r="K736" i="1"/>
  <c r="L735" i="1"/>
  <c r="L734" i="1"/>
  <c r="K734" i="1"/>
  <c r="L733" i="1"/>
  <c r="K733" i="1"/>
  <c r="L732" i="1"/>
  <c r="K732" i="1"/>
  <c r="L731" i="1"/>
  <c r="L730" i="1"/>
  <c r="K730" i="1"/>
  <c r="L729" i="1"/>
  <c r="K729" i="1"/>
  <c r="L728" i="1"/>
  <c r="K728" i="1"/>
  <c r="L727" i="1"/>
  <c r="K727" i="1"/>
  <c r="L726" i="1"/>
  <c r="K726" i="1"/>
  <c r="L725" i="1"/>
  <c r="L724" i="1"/>
  <c r="K724" i="1"/>
  <c r="L723" i="1"/>
  <c r="K723" i="1"/>
  <c r="L722" i="1"/>
  <c r="K722" i="1"/>
  <c r="L721" i="1"/>
  <c r="L720" i="1"/>
  <c r="K720" i="1"/>
  <c r="L719" i="1"/>
  <c r="K719" i="1"/>
  <c r="L718" i="1"/>
  <c r="L717" i="1"/>
  <c r="K717" i="1"/>
  <c r="L716" i="1"/>
  <c r="L715" i="1"/>
  <c r="K715" i="1"/>
  <c r="L714" i="1"/>
  <c r="K714" i="1"/>
  <c r="L713" i="1"/>
  <c r="K713" i="1"/>
  <c r="L712" i="1"/>
  <c r="L711" i="1"/>
  <c r="L710" i="1"/>
  <c r="L709" i="1"/>
  <c r="K709" i="1"/>
  <c r="L708" i="1"/>
  <c r="K708" i="1"/>
  <c r="L707" i="1"/>
  <c r="K707" i="1"/>
  <c r="L706" i="1"/>
  <c r="K706" i="1"/>
  <c r="L705" i="1"/>
  <c r="K705" i="1"/>
  <c r="L704" i="1"/>
  <c r="K704" i="1"/>
  <c r="L703" i="1"/>
  <c r="K703" i="1"/>
  <c r="L702" i="1"/>
  <c r="K702" i="1"/>
  <c r="L701" i="1"/>
  <c r="L700" i="1"/>
  <c r="K700" i="1"/>
  <c r="L699" i="1"/>
  <c r="K699" i="1"/>
  <c r="L698" i="1"/>
  <c r="K698" i="1"/>
  <c r="L697" i="1"/>
  <c r="K697" i="1"/>
  <c r="L696" i="1"/>
  <c r="K696" i="1"/>
  <c r="L695" i="1"/>
  <c r="K695" i="1"/>
  <c r="L694" i="1"/>
  <c r="K694" i="1"/>
  <c r="L693" i="1"/>
  <c r="K693" i="1"/>
  <c r="L692" i="1"/>
  <c r="L691" i="1"/>
  <c r="K691" i="1"/>
  <c r="L690" i="1"/>
  <c r="K690" i="1"/>
  <c r="L689" i="1"/>
  <c r="K689" i="1"/>
  <c r="L688" i="1"/>
  <c r="K688" i="1"/>
  <c r="L687" i="1"/>
  <c r="K687" i="1"/>
  <c r="L686" i="1"/>
  <c r="K686" i="1"/>
  <c r="L685" i="1"/>
  <c r="K685" i="1"/>
  <c r="L684" i="1"/>
  <c r="L683" i="1"/>
  <c r="K683" i="1"/>
  <c r="L682" i="1"/>
  <c r="K682" i="1"/>
  <c r="L681" i="1"/>
  <c r="L680" i="1"/>
  <c r="L679" i="1"/>
  <c r="K679" i="1"/>
  <c r="L678" i="1"/>
  <c r="K678" i="1"/>
  <c r="L677" i="1"/>
  <c r="K677" i="1"/>
  <c r="L676" i="1"/>
  <c r="K676" i="1"/>
  <c r="L675" i="1"/>
  <c r="K675" i="1"/>
  <c r="L674" i="1"/>
  <c r="K674" i="1"/>
  <c r="L673" i="1"/>
  <c r="K673" i="1"/>
  <c r="L672" i="1"/>
  <c r="K672" i="1"/>
  <c r="L671" i="1"/>
  <c r="K671" i="1"/>
  <c r="L670" i="1"/>
  <c r="L669" i="1"/>
  <c r="L668" i="1"/>
  <c r="K668" i="1"/>
  <c r="L667" i="1"/>
  <c r="K667" i="1"/>
  <c r="L666" i="1"/>
  <c r="K666" i="1"/>
  <c r="L665" i="1"/>
  <c r="K665" i="1"/>
  <c r="L664" i="1"/>
  <c r="L663" i="1"/>
  <c r="L662" i="1"/>
  <c r="K662" i="1"/>
  <c r="L661" i="1"/>
  <c r="K661" i="1"/>
  <c r="L660" i="1"/>
  <c r="K660" i="1"/>
  <c r="L659" i="1"/>
  <c r="K659" i="1"/>
  <c r="L658" i="1"/>
  <c r="K658" i="1"/>
  <c r="L657" i="1"/>
  <c r="K657" i="1"/>
  <c r="L656" i="1"/>
  <c r="K656" i="1"/>
  <c r="L655" i="1"/>
  <c r="L654" i="1"/>
  <c r="K654" i="1"/>
  <c r="L653" i="1"/>
  <c r="K653" i="1"/>
  <c r="L652" i="1"/>
  <c r="K652" i="1"/>
  <c r="L651" i="1"/>
  <c r="K651" i="1"/>
  <c r="L650" i="1"/>
  <c r="L649" i="1"/>
  <c r="K649" i="1"/>
  <c r="L648" i="1"/>
  <c r="K648" i="1"/>
  <c r="L647" i="1"/>
  <c r="K647" i="1"/>
  <c r="L646" i="1"/>
  <c r="K646" i="1"/>
  <c r="L645" i="1"/>
  <c r="K645" i="1"/>
  <c r="L644" i="1"/>
  <c r="K644" i="1"/>
  <c r="L643" i="1"/>
  <c r="L642" i="1"/>
  <c r="K642" i="1"/>
  <c r="L641" i="1"/>
  <c r="K641" i="1"/>
  <c r="L640" i="1"/>
  <c r="K640" i="1"/>
  <c r="L639" i="1"/>
  <c r="K639" i="1"/>
  <c r="L638" i="1"/>
  <c r="K638" i="1"/>
  <c r="L637" i="1"/>
  <c r="L636" i="1"/>
  <c r="L635" i="1"/>
  <c r="K635" i="1"/>
  <c r="L634" i="1"/>
  <c r="K634" i="1"/>
  <c r="L633" i="1"/>
  <c r="K633" i="1"/>
  <c r="L632" i="1"/>
  <c r="K632" i="1"/>
  <c r="L631" i="1"/>
  <c r="L630" i="1"/>
  <c r="K630" i="1"/>
  <c r="L629" i="1"/>
  <c r="K629" i="1"/>
  <c r="L628" i="1"/>
  <c r="K628" i="1"/>
  <c r="L627" i="1"/>
  <c r="K627" i="1"/>
  <c r="L626" i="1"/>
  <c r="K626" i="1"/>
  <c r="L625" i="1"/>
  <c r="K625" i="1"/>
  <c r="L624" i="1"/>
  <c r="K624" i="1"/>
  <c r="L623" i="1"/>
  <c r="K623" i="1"/>
  <c r="L622" i="1"/>
  <c r="K622" i="1"/>
  <c r="L621" i="1"/>
  <c r="K621" i="1"/>
  <c r="L620" i="1"/>
  <c r="K620" i="1"/>
  <c r="L619" i="1"/>
  <c r="K619" i="1"/>
  <c r="L618" i="1"/>
  <c r="K618" i="1"/>
  <c r="L617" i="1"/>
  <c r="K617" i="1"/>
  <c r="L616" i="1"/>
  <c r="K616" i="1"/>
  <c r="L615" i="1"/>
  <c r="K615" i="1"/>
  <c r="L614" i="1"/>
  <c r="K614" i="1"/>
  <c r="L613" i="1"/>
  <c r="K613" i="1"/>
  <c r="L612" i="1"/>
  <c r="K612" i="1"/>
  <c r="L611" i="1"/>
  <c r="K611" i="1"/>
  <c r="L610" i="1"/>
  <c r="K610" i="1"/>
  <c r="L609" i="1"/>
  <c r="K609" i="1"/>
  <c r="L608" i="1"/>
  <c r="K608" i="1"/>
  <c r="L607" i="1"/>
  <c r="K607" i="1"/>
  <c r="L606" i="1"/>
  <c r="K606" i="1"/>
  <c r="L605" i="1"/>
  <c r="L604" i="1"/>
  <c r="L603" i="1"/>
  <c r="K603" i="1"/>
  <c r="L602" i="1"/>
  <c r="L601" i="1"/>
  <c r="K601" i="1"/>
  <c r="L600" i="1"/>
  <c r="K600" i="1"/>
  <c r="L599" i="1"/>
  <c r="L598" i="1"/>
  <c r="K598" i="1"/>
  <c r="L597" i="1"/>
  <c r="K597" i="1"/>
  <c r="L596" i="1"/>
  <c r="K596" i="1"/>
  <c r="L595" i="1"/>
  <c r="K595" i="1"/>
  <c r="L594" i="1"/>
  <c r="K594" i="1"/>
  <c r="L593" i="1"/>
  <c r="K593" i="1"/>
  <c r="L592" i="1"/>
  <c r="K592" i="1"/>
  <c r="L591" i="1"/>
  <c r="K591" i="1"/>
  <c r="L590" i="1"/>
  <c r="K590" i="1"/>
  <c r="L589" i="1"/>
  <c r="K589" i="1"/>
  <c r="L588" i="1"/>
  <c r="K588" i="1"/>
  <c r="L587" i="1"/>
  <c r="K587" i="1"/>
  <c r="L586" i="1"/>
  <c r="L585" i="1"/>
  <c r="K585" i="1"/>
  <c r="L584" i="1"/>
  <c r="L583" i="1"/>
  <c r="L582" i="1"/>
  <c r="K582" i="1"/>
  <c r="L581" i="1"/>
  <c r="L580" i="1"/>
  <c r="L579" i="1"/>
  <c r="L578" i="1"/>
  <c r="K578" i="1"/>
  <c r="L577" i="1"/>
  <c r="K577" i="1"/>
  <c r="L576" i="1"/>
  <c r="K576" i="1"/>
  <c r="L575" i="1"/>
  <c r="K575" i="1"/>
  <c r="L574" i="1"/>
  <c r="K574" i="1"/>
  <c r="L573" i="1"/>
  <c r="K573" i="1"/>
  <c r="L572" i="1"/>
  <c r="L571" i="1"/>
  <c r="L570" i="1"/>
  <c r="L569" i="1"/>
  <c r="L568" i="1"/>
  <c r="K568" i="1"/>
  <c r="L567" i="1"/>
  <c r="L566" i="1"/>
  <c r="L565" i="1"/>
  <c r="K565" i="1"/>
  <c r="L564" i="1"/>
  <c r="K564" i="1"/>
  <c r="L563" i="1"/>
  <c r="K563" i="1"/>
  <c r="L562" i="1"/>
  <c r="K562" i="1"/>
  <c r="L561" i="1"/>
  <c r="K561" i="1"/>
  <c r="L560" i="1"/>
  <c r="K560" i="1"/>
  <c r="L559" i="1"/>
  <c r="K559" i="1"/>
  <c r="L558" i="1"/>
  <c r="K558" i="1"/>
  <c r="L557" i="1"/>
  <c r="K557" i="1"/>
  <c r="L556" i="1"/>
  <c r="K556" i="1"/>
  <c r="L555" i="1"/>
  <c r="K555" i="1"/>
  <c r="L554" i="1"/>
  <c r="K554" i="1"/>
  <c r="L553" i="1"/>
  <c r="K553" i="1"/>
  <c r="L552" i="1"/>
  <c r="K552" i="1"/>
  <c r="L551" i="1"/>
  <c r="K551" i="1"/>
  <c r="L550" i="1"/>
  <c r="K550" i="1"/>
  <c r="L549" i="1"/>
  <c r="K549" i="1"/>
  <c r="L548" i="1"/>
  <c r="K548" i="1"/>
  <c r="L547" i="1"/>
  <c r="K547" i="1"/>
  <c r="L546" i="1"/>
  <c r="K546" i="1"/>
  <c r="L545" i="1"/>
  <c r="K545" i="1"/>
  <c r="L544" i="1"/>
  <c r="L543" i="1"/>
  <c r="L542" i="1"/>
  <c r="K542" i="1"/>
  <c r="L541" i="1"/>
  <c r="K541" i="1"/>
  <c r="L540" i="1"/>
  <c r="K540" i="1"/>
  <c r="L539" i="1"/>
  <c r="K539" i="1"/>
  <c r="L538" i="1"/>
  <c r="K538" i="1"/>
  <c r="L537" i="1"/>
  <c r="L536" i="1"/>
  <c r="K536" i="1"/>
  <c r="L535" i="1"/>
  <c r="L534" i="1"/>
  <c r="L533" i="1"/>
  <c r="K533" i="1"/>
  <c r="L532" i="1"/>
  <c r="K532" i="1"/>
  <c r="L531" i="1"/>
  <c r="K531" i="1"/>
  <c r="L530" i="1"/>
  <c r="K530" i="1"/>
  <c r="L529" i="1"/>
  <c r="K529" i="1"/>
  <c r="L528" i="1"/>
  <c r="K528" i="1"/>
  <c r="L527" i="1"/>
  <c r="K527" i="1"/>
  <c r="L526" i="1"/>
  <c r="K526" i="1"/>
  <c r="L525" i="1"/>
  <c r="K525" i="1"/>
  <c r="L524" i="1"/>
  <c r="K524" i="1"/>
  <c r="L523" i="1"/>
  <c r="K523" i="1"/>
  <c r="L522" i="1"/>
  <c r="L521" i="1"/>
  <c r="K521" i="1"/>
  <c r="L520" i="1"/>
  <c r="K520" i="1"/>
  <c r="L519" i="1"/>
  <c r="K519" i="1"/>
  <c r="L518" i="1"/>
  <c r="K518" i="1"/>
  <c r="L517" i="1"/>
  <c r="L516" i="1"/>
  <c r="L515" i="1"/>
  <c r="K515" i="1"/>
  <c r="L514" i="1"/>
  <c r="K514" i="1"/>
  <c r="L513" i="1"/>
  <c r="K513" i="1"/>
  <c r="L512" i="1"/>
  <c r="L511" i="1"/>
  <c r="K511" i="1"/>
  <c r="L510" i="1"/>
  <c r="K510" i="1"/>
  <c r="L509" i="1"/>
  <c r="K509" i="1"/>
  <c r="L508" i="1"/>
  <c r="K508" i="1"/>
  <c r="L507" i="1"/>
  <c r="K507" i="1"/>
  <c r="L506" i="1"/>
  <c r="L505" i="1"/>
  <c r="L504" i="1"/>
  <c r="L503" i="1"/>
  <c r="K503" i="1"/>
  <c r="L502" i="1"/>
  <c r="K502" i="1"/>
  <c r="L501" i="1"/>
  <c r="K501" i="1"/>
  <c r="L500" i="1"/>
  <c r="K500" i="1"/>
  <c r="L499" i="1"/>
  <c r="K499" i="1"/>
  <c r="L498" i="1"/>
  <c r="L497" i="1"/>
  <c r="K497" i="1"/>
  <c r="L496" i="1"/>
  <c r="K496" i="1"/>
  <c r="L495" i="1"/>
  <c r="K495" i="1"/>
  <c r="L494" i="1"/>
  <c r="L493" i="1"/>
  <c r="L492" i="1"/>
  <c r="K492" i="1"/>
  <c r="L491" i="1"/>
  <c r="K491" i="1"/>
  <c r="L490" i="1"/>
  <c r="K490" i="1"/>
  <c r="L489" i="1"/>
  <c r="K489" i="1"/>
  <c r="L488" i="1"/>
  <c r="K488" i="1"/>
  <c r="L487" i="1"/>
  <c r="K487" i="1"/>
  <c r="L486" i="1"/>
  <c r="K486" i="1"/>
  <c r="L485" i="1"/>
  <c r="K485" i="1"/>
  <c r="L484" i="1"/>
  <c r="K484" i="1"/>
  <c r="L483" i="1"/>
  <c r="K483" i="1"/>
  <c r="L482" i="1"/>
  <c r="L481" i="1"/>
  <c r="L480" i="1"/>
  <c r="L479" i="1"/>
  <c r="L478" i="1"/>
  <c r="K478" i="1"/>
  <c r="L477" i="1"/>
  <c r="K477" i="1"/>
  <c r="L476" i="1"/>
  <c r="K476" i="1"/>
  <c r="L475" i="1"/>
  <c r="L474" i="1"/>
  <c r="L473" i="1"/>
  <c r="K473" i="1"/>
  <c r="L472" i="1"/>
  <c r="K472" i="1"/>
  <c r="L471" i="1"/>
  <c r="K471" i="1"/>
  <c r="L470" i="1"/>
  <c r="L469" i="1"/>
  <c r="L468" i="1"/>
  <c r="K468" i="1"/>
  <c r="L467" i="1"/>
  <c r="K467" i="1"/>
  <c r="L466" i="1"/>
  <c r="K466" i="1"/>
  <c r="L465" i="1"/>
  <c r="K465" i="1"/>
  <c r="L464" i="1"/>
  <c r="K464" i="1"/>
  <c r="L463" i="1"/>
  <c r="K463" i="1"/>
  <c r="L462" i="1"/>
  <c r="K462" i="1"/>
  <c r="L461" i="1"/>
  <c r="L460" i="1"/>
  <c r="K460" i="1"/>
  <c r="L459" i="1"/>
  <c r="K459" i="1"/>
  <c r="L458" i="1"/>
  <c r="K458" i="1"/>
  <c r="L457" i="1"/>
  <c r="K457" i="1"/>
  <c r="L456" i="1"/>
  <c r="K456" i="1"/>
  <c r="L455" i="1"/>
  <c r="K455" i="1"/>
  <c r="L454" i="1"/>
  <c r="K454" i="1"/>
  <c r="L453" i="1"/>
  <c r="K453" i="1"/>
  <c r="L452" i="1"/>
  <c r="K452" i="1"/>
  <c r="L451" i="1"/>
  <c r="K451" i="1"/>
  <c r="L450" i="1"/>
  <c r="K450" i="1"/>
  <c r="L449" i="1"/>
  <c r="K449" i="1"/>
  <c r="L448" i="1"/>
  <c r="K448" i="1"/>
  <c r="L447" i="1"/>
  <c r="K447" i="1"/>
  <c r="L446" i="1"/>
  <c r="L445" i="1"/>
  <c r="K445" i="1"/>
  <c r="L444" i="1"/>
  <c r="K444" i="1"/>
  <c r="L443" i="1"/>
  <c r="K443" i="1"/>
  <c r="L442" i="1"/>
  <c r="K442" i="1"/>
  <c r="L441" i="1"/>
  <c r="K441" i="1"/>
  <c r="L440" i="1"/>
  <c r="K440" i="1"/>
  <c r="L439" i="1"/>
  <c r="K439" i="1"/>
  <c r="L438" i="1"/>
  <c r="K438" i="1"/>
  <c r="L437" i="1"/>
  <c r="K437" i="1"/>
  <c r="L436" i="1"/>
  <c r="K436" i="1"/>
  <c r="L435" i="1"/>
  <c r="K435" i="1"/>
  <c r="L434" i="1"/>
  <c r="K434" i="1"/>
  <c r="L433" i="1"/>
  <c r="K433" i="1"/>
  <c r="L432" i="1"/>
  <c r="K432" i="1"/>
  <c r="L431" i="1"/>
  <c r="K431" i="1"/>
  <c r="L430" i="1"/>
  <c r="K430" i="1"/>
  <c r="L429" i="1"/>
  <c r="K429" i="1"/>
  <c r="L428" i="1"/>
  <c r="K428" i="1"/>
  <c r="L427" i="1"/>
  <c r="K427" i="1"/>
  <c r="L426" i="1"/>
  <c r="K426" i="1"/>
  <c r="L425" i="1"/>
  <c r="K425" i="1"/>
  <c r="L424" i="1"/>
  <c r="K424" i="1"/>
  <c r="L423" i="1"/>
  <c r="K423" i="1"/>
  <c r="L422" i="1"/>
  <c r="L421" i="1"/>
  <c r="L420" i="1"/>
  <c r="K420" i="1"/>
  <c r="L419" i="1"/>
  <c r="K419" i="1"/>
  <c r="L418" i="1"/>
  <c r="K418" i="1"/>
  <c r="L417" i="1"/>
  <c r="L416" i="1"/>
  <c r="K416" i="1"/>
  <c r="L415" i="1"/>
  <c r="L414" i="1"/>
  <c r="L413" i="1"/>
  <c r="K413" i="1"/>
  <c r="L412" i="1"/>
  <c r="L411" i="1"/>
  <c r="L410" i="1"/>
  <c r="K410" i="1"/>
  <c r="L409" i="1"/>
  <c r="K409" i="1"/>
  <c r="L408" i="1"/>
  <c r="K408" i="1"/>
  <c r="L407" i="1"/>
  <c r="K407" i="1"/>
  <c r="L406" i="1"/>
  <c r="K406" i="1"/>
  <c r="L405" i="1"/>
  <c r="K405" i="1"/>
  <c r="L404" i="1"/>
  <c r="L403" i="1"/>
  <c r="K403" i="1"/>
  <c r="L402" i="1"/>
  <c r="K402" i="1"/>
  <c r="L401" i="1"/>
  <c r="L400" i="1"/>
  <c r="K400" i="1"/>
  <c r="L399" i="1"/>
  <c r="K399" i="1"/>
  <c r="L398" i="1"/>
  <c r="K398" i="1"/>
  <c r="L397" i="1"/>
  <c r="L396" i="1"/>
  <c r="K396" i="1"/>
  <c r="L395" i="1"/>
  <c r="K395" i="1"/>
  <c r="L394" i="1"/>
  <c r="K394" i="1"/>
  <c r="L393" i="1"/>
  <c r="K393" i="1"/>
  <c r="L392" i="1"/>
  <c r="K392" i="1"/>
  <c r="L391" i="1"/>
  <c r="L390" i="1"/>
  <c r="L389" i="1"/>
  <c r="K389" i="1"/>
  <c r="L388" i="1"/>
  <c r="K388" i="1"/>
  <c r="L387" i="1"/>
  <c r="K387" i="1"/>
  <c r="L386" i="1"/>
  <c r="K386" i="1"/>
  <c r="L385" i="1"/>
  <c r="K385" i="1"/>
  <c r="L384" i="1"/>
  <c r="K384" i="1"/>
  <c r="L383" i="1"/>
  <c r="K383" i="1"/>
  <c r="L382" i="1"/>
  <c r="K382" i="1"/>
  <c r="L381" i="1"/>
  <c r="K381" i="1"/>
  <c r="L380" i="1"/>
  <c r="K380" i="1"/>
  <c r="L379" i="1"/>
  <c r="L378" i="1"/>
  <c r="K378" i="1"/>
  <c r="L377" i="1"/>
  <c r="K377" i="1"/>
  <c r="L376" i="1"/>
  <c r="K376" i="1"/>
  <c r="L375" i="1"/>
  <c r="K375" i="1"/>
  <c r="L374" i="1"/>
  <c r="K374" i="1"/>
  <c r="L373" i="1"/>
  <c r="K373" i="1"/>
  <c r="L372" i="1"/>
  <c r="K372" i="1"/>
  <c r="L371" i="1"/>
  <c r="K371" i="1"/>
  <c r="L370" i="1"/>
  <c r="K370" i="1"/>
  <c r="L369" i="1"/>
  <c r="K369" i="1"/>
  <c r="L368" i="1"/>
  <c r="K368" i="1"/>
  <c r="L367" i="1"/>
  <c r="K367" i="1"/>
  <c r="L366" i="1"/>
  <c r="K366" i="1"/>
  <c r="L365" i="1"/>
  <c r="K365" i="1"/>
  <c r="L364" i="1"/>
  <c r="K364" i="1"/>
  <c r="L363" i="1"/>
  <c r="K363" i="1"/>
  <c r="L362" i="1"/>
  <c r="L361" i="1"/>
  <c r="L360" i="1"/>
  <c r="L359" i="1"/>
  <c r="L358" i="1"/>
  <c r="K358" i="1"/>
  <c r="L357" i="1"/>
  <c r="K357" i="1"/>
  <c r="L356" i="1"/>
  <c r="L355" i="1"/>
  <c r="L354" i="1"/>
  <c r="L353" i="1"/>
  <c r="L352" i="1"/>
  <c r="L351" i="1"/>
  <c r="L350" i="1"/>
  <c r="K350" i="1"/>
  <c r="L349" i="1"/>
  <c r="K349" i="1"/>
  <c r="L348" i="1"/>
  <c r="L347" i="1"/>
  <c r="L346" i="1"/>
  <c r="K346" i="1"/>
  <c r="L345" i="1"/>
  <c r="L344" i="1"/>
  <c r="L343" i="1"/>
  <c r="K343" i="1"/>
  <c r="L342" i="1"/>
  <c r="L341" i="1"/>
  <c r="K341" i="1"/>
  <c r="L340" i="1"/>
  <c r="K340" i="1"/>
  <c r="L339" i="1"/>
  <c r="K339" i="1"/>
  <c r="L338" i="1"/>
  <c r="K338" i="1"/>
  <c r="L337" i="1"/>
  <c r="K337" i="1"/>
  <c r="L336" i="1"/>
  <c r="K336" i="1"/>
  <c r="L335" i="1"/>
  <c r="K335" i="1"/>
  <c r="L334" i="1"/>
  <c r="K334" i="1"/>
  <c r="L333" i="1"/>
  <c r="K333" i="1"/>
  <c r="L332" i="1"/>
  <c r="K332" i="1"/>
  <c r="L331" i="1"/>
  <c r="K331" i="1"/>
  <c r="L330" i="1"/>
  <c r="K330" i="1"/>
  <c r="L329" i="1"/>
  <c r="K329" i="1"/>
  <c r="L328" i="1"/>
  <c r="L327" i="1"/>
  <c r="L326" i="1"/>
  <c r="L325" i="1"/>
  <c r="L324" i="1"/>
  <c r="K324" i="1"/>
  <c r="L323" i="1"/>
  <c r="L315" i="1"/>
  <c r="L314" i="1"/>
  <c r="K312" i="1"/>
  <c r="L304" i="1"/>
  <c r="L303" i="1"/>
  <c r="L300" i="1"/>
  <c r="K294" i="1"/>
  <c r="L290" i="1"/>
  <c r="L289" i="1"/>
  <c r="K282" i="1"/>
  <c r="L281" i="1"/>
  <c r="L274" i="1"/>
  <c r="L264" i="1"/>
  <c r="K264" i="1"/>
  <c r="L263" i="1"/>
  <c r="K263" i="1"/>
  <c r="L262" i="1"/>
  <c r="K262" i="1"/>
  <c r="L252" i="1"/>
  <c r="L251" i="1"/>
  <c r="L249" i="1"/>
  <c r="L248" i="1"/>
  <c r="L247" i="1"/>
  <c r="L246" i="1"/>
  <c r="L245" i="1"/>
  <c r="L244" i="1"/>
  <c r="L233" i="1"/>
  <c r="L211" i="1"/>
  <c r="K211" i="1"/>
  <c r="L210" i="1"/>
  <c r="K210" i="1"/>
  <c r="L193" i="1"/>
  <c r="K185" i="1"/>
  <c r="L181" i="1"/>
  <c r="L178" i="1"/>
  <c r="L148" i="1"/>
  <c r="L147" i="1"/>
  <c r="L146" i="1"/>
  <c r="L141" i="1"/>
  <c r="L140" i="1"/>
  <c r="L139" i="1"/>
  <c r="A5" i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79" i="1" s="1"/>
  <c r="A580" i="1" s="1"/>
  <c r="A581" i="1" s="1"/>
  <c r="A582" i="1" s="1"/>
  <c r="A583" i="1" s="1"/>
  <c r="A584" i="1" s="1"/>
  <c r="A585" i="1" s="1"/>
  <c r="A586" i="1" s="1"/>
  <c r="A587" i="1" s="1"/>
  <c r="A588" i="1" s="1"/>
  <c r="A589" i="1" s="1"/>
  <c r="A590" i="1" s="1"/>
  <c r="A591" i="1" s="1"/>
  <c r="A592" i="1" s="1"/>
  <c r="A593" i="1" s="1"/>
  <c r="A594" i="1" s="1"/>
  <c r="A595" i="1" s="1"/>
  <c r="A596" i="1" s="1"/>
  <c r="A597" i="1" s="1"/>
  <c r="A598" i="1" s="1"/>
  <c r="A599" i="1" s="1"/>
  <c r="A600" i="1" s="1"/>
  <c r="A601" i="1" s="1"/>
  <c r="A602" i="1" s="1"/>
  <c r="A603" i="1" s="1"/>
  <c r="A604" i="1" s="1"/>
  <c r="A605" i="1" s="1"/>
  <c r="A606" i="1" s="1"/>
  <c r="A607" i="1" s="1"/>
  <c r="A608" i="1" s="1"/>
  <c r="A609" i="1" s="1"/>
  <c r="A610" i="1" s="1"/>
  <c r="A611" i="1" s="1"/>
  <c r="A612" i="1" s="1"/>
  <c r="A613" i="1" s="1"/>
  <c r="A614" i="1" s="1"/>
  <c r="A615" i="1" s="1"/>
  <c r="A616" i="1" s="1"/>
  <c r="A617" i="1" s="1"/>
  <c r="A618" i="1" s="1"/>
  <c r="A619" i="1" s="1"/>
  <c r="A620" i="1" s="1"/>
  <c r="A621" i="1" s="1"/>
  <c r="A622" i="1" s="1"/>
  <c r="A623" i="1" s="1"/>
  <c r="A624" i="1" s="1"/>
  <c r="A625" i="1" s="1"/>
  <c r="A626" i="1" s="1"/>
  <c r="A627" i="1" s="1"/>
  <c r="A628" i="1" s="1"/>
  <c r="A629" i="1" s="1"/>
  <c r="A630" i="1" s="1"/>
  <c r="A631" i="1" s="1"/>
  <c r="A632" i="1" s="1"/>
  <c r="A633" i="1" s="1"/>
  <c r="A634" i="1" s="1"/>
  <c r="A635" i="1" s="1"/>
  <c r="A636" i="1" s="1"/>
  <c r="A637" i="1" s="1"/>
  <c r="A638" i="1" s="1"/>
  <c r="A639" i="1" s="1"/>
  <c r="A640" i="1" s="1"/>
  <c r="A641" i="1" s="1"/>
  <c r="A642" i="1" s="1"/>
  <c r="A643" i="1" s="1"/>
  <c r="A644" i="1" s="1"/>
  <c r="A645" i="1" s="1"/>
  <c r="A646" i="1" s="1"/>
  <c r="A647" i="1" s="1"/>
  <c r="A648" i="1" s="1"/>
  <c r="A649" i="1" s="1"/>
  <c r="A650" i="1" s="1"/>
  <c r="A651" i="1" s="1"/>
  <c r="A652" i="1" s="1"/>
  <c r="A653" i="1" s="1"/>
  <c r="A654" i="1" s="1"/>
  <c r="A655" i="1" s="1"/>
  <c r="A656" i="1" s="1"/>
  <c r="A657" i="1" s="1"/>
  <c r="A658" i="1" s="1"/>
  <c r="A659" i="1" s="1"/>
  <c r="A660" i="1" s="1"/>
  <c r="A661" i="1" s="1"/>
  <c r="A662" i="1" s="1"/>
  <c r="A663" i="1" s="1"/>
  <c r="A664" i="1" s="1"/>
  <c r="A665" i="1" s="1"/>
  <c r="A666" i="1" s="1"/>
  <c r="A667" i="1" s="1"/>
  <c r="A668" i="1" s="1"/>
  <c r="A669" i="1" s="1"/>
  <c r="A670" i="1" s="1"/>
  <c r="A671" i="1" s="1"/>
  <c r="A672" i="1" s="1"/>
  <c r="A673" i="1" s="1"/>
  <c r="A674" i="1" s="1"/>
  <c r="A675" i="1" s="1"/>
  <c r="A676" i="1" s="1"/>
  <c r="A677" i="1" s="1"/>
  <c r="A678" i="1" s="1"/>
  <c r="A679" i="1" s="1"/>
  <c r="A680" i="1" s="1"/>
  <c r="A681" i="1" s="1"/>
  <c r="A682" i="1" s="1"/>
  <c r="A683" i="1" s="1"/>
  <c r="A684" i="1" s="1"/>
  <c r="A685" i="1" s="1"/>
  <c r="A686" i="1" s="1"/>
  <c r="A687" i="1" s="1"/>
  <c r="A688" i="1" s="1"/>
  <c r="A689" i="1" s="1"/>
  <c r="A690" i="1" s="1"/>
  <c r="A691" i="1" s="1"/>
  <c r="A692" i="1" s="1"/>
  <c r="A693" i="1" s="1"/>
  <c r="A694" i="1" s="1"/>
  <c r="A695" i="1" s="1"/>
  <c r="A696" i="1" s="1"/>
  <c r="A697" i="1" s="1"/>
  <c r="A698" i="1" s="1"/>
  <c r="A699" i="1" s="1"/>
  <c r="A700" i="1" s="1"/>
  <c r="A701" i="1" s="1"/>
  <c r="A702" i="1" s="1"/>
  <c r="A703" i="1" s="1"/>
  <c r="A704" i="1" s="1"/>
  <c r="A705" i="1" s="1"/>
  <c r="A706" i="1" s="1"/>
  <c r="A707" i="1" s="1"/>
  <c r="A708" i="1" s="1"/>
  <c r="A709" i="1" s="1"/>
  <c r="A710" i="1" s="1"/>
  <c r="A711" i="1" s="1"/>
  <c r="A712" i="1" s="1"/>
  <c r="A713" i="1" s="1"/>
  <c r="A714" i="1" s="1"/>
  <c r="A715" i="1" s="1"/>
  <c r="A716" i="1" s="1"/>
  <c r="A717" i="1" s="1"/>
  <c r="A718" i="1" s="1"/>
  <c r="A719" i="1" s="1"/>
  <c r="A720" i="1" s="1"/>
  <c r="A721" i="1" s="1"/>
  <c r="A722" i="1" s="1"/>
  <c r="A723" i="1" s="1"/>
  <c r="A724" i="1" s="1"/>
  <c r="A725" i="1" s="1"/>
  <c r="A726" i="1" s="1"/>
  <c r="A727" i="1" s="1"/>
  <c r="A728" i="1" s="1"/>
  <c r="A729" i="1" s="1"/>
  <c r="A730" i="1" s="1"/>
  <c r="A731" i="1" s="1"/>
  <c r="A732" i="1" s="1"/>
  <c r="A733" i="1" s="1"/>
  <c r="A734" i="1" s="1"/>
  <c r="A735" i="1" s="1"/>
  <c r="A736" i="1" s="1"/>
  <c r="A737" i="1" s="1"/>
  <c r="A738" i="1" s="1"/>
  <c r="A739" i="1" s="1"/>
  <c r="A740" i="1" s="1"/>
  <c r="A741" i="1" s="1"/>
  <c r="A742" i="1" s="1"/>
  <c r="A743" i="1" s="1"/>
  <c r="A744" i="1" s="1"/>
  <c r="A745" i="1" s="1"/>
  <c r="A746" i="1" s="1"/>
  <c r="A747" i="1" s="1"/>
  <c r="A748" i="1" s="1"/>
  <c r="A749" i="1" s="1"/>
  <c r="A750" i="1" s="1"/>
  <c r="A751" i="1" s="1"/>
  <c r="A752" i="1" s="1"/>
  <c r="A753" i="1" s="1"/>
  <c r="A754" i="1" s="1"/>
  <c r="A755" i="1" s="1"/>
  <c r="A756" i="1" s="1"/>
  <c r="A757" i="1" s="1"/>
  <c r="A758" i="1" s="1"/>
  <c r="A759" i="1" s="1"/>
  <c r="A760" i="1" s="1"/>
  <c r="A761" i="1" s="1"/>
  <c r="A762" i="1" s="1"/>
  <c r="A763" i="1" s="1"/>
  <c r="A764" i="1" s="1"/>
  <c r="A765" i="1" s="1"/>
  <c r="A766" i="1" s="1"/>
  <c r="A767" i="1" s="1"/>
  <c r="A768" i="1" s="1"/>
  <c r="A769" i="1" s="1"/>
  <c r="A770" i="1" s="1"/>
  <c r="A771" i="1" s="1"/>
  <c r="A772" i="1" s="1"/>
  <c r="A773" i="1" s="1"/>
  <c r="A774" i="1" s="1"/>
  <c r="A775" i="1" s="1"/>
  <c r="A776" i="1" s="1"/>
  <c r="A777" i="1" s="1"/>
  <c r="A778" i="1" s="1"/>
  <c r="A779" i="1" s="1"/>
  <c r="A780" i="1" s="1"/>
  <c r="A781" i="1" s="1"/>
  <c r="A782" i="1" s="1"/>
  <c r="A783" i="1" s="1"/>
  <c r="A784" i="1" s="1"/>
  <c r="A785" i="1" s="1"/>
  <c r="A786" i="1" s="1"/>
  <c r="A787" i="1" s="1"/>
  <c r="A788" i="1" s="1"/>
  <c r="A789" i="1" s="1"/>
  <c r="A790" i="1" s="1"/>
  <c r="A791" i="1" s="1"/>
  <c r="A792" i="1" s="1"/>
  <c r="A793" i="1" s="1"/>
  <c r="A794" i="1" s="1"/>
  <c r="A795" i="1" s="1"/>
  <c r="A796" i="1" s="1"/>
  <c r="A797" i="1" s="1"/>
  <c r="A798" i="1" s="1"/>
  <c r="A799" i="1" s="1"/>
  <c r="A800" i="1" s="1"/>
  <c r="A801" i="1" s="1"/>
  <c r="A802" i="1" s="1"/>
  <c r="A803" i="1" s="1"/>
  <c r="A804" i="1" s="1"/>
  <c r="A805" i="1" s="1"/>
  <c r="A806" i="1" s="1"/>
  <c r="A807" i="1" s="1"/>
  <c r="A808" i="1" s="1"/>
  <c r="A809" i="1" s="1"/>
  <c r="A810" i="1" s="1"/>
  <c r="A811" i="1" s="1"/>
  <c r="A812" i="1" s="1"/>
  <c r="A813" i="1" s="1"/>
  <c r="A814" i="1" s="1"/>
  <c r="A815" i="1" s="1"/>
  <c r="A816" i="1" s="1"/>
  <c r="A817" i="1" s="1"/>
  <c r="A818" i="1" s="1"/>
  <c r="A819" i="1" s="1"/>
  <c r="A820" i="1" s="1"/>
  <c r="A821" i="1" s="1"/>
  <c r="A822" i="1" s="1"/>
  <c r="A823" i="1" s="1"/>
  <c r="A824" i="1" s="1"/>
  <c r="A825" i="1" s="1"/>
  <c r="A826" i="1" s="1"/>
  <c r="A827" i="1" s="1"/>
  <c r="A828" i="1" s="1"/>
  <c r="A829" i="1" s="1"/>
  <c r="A830" i="1" s="1"/>
  <c r="A831" i="1" s="1"/>
  <c r="A832" i="1" s="1"/>
  <c r="A833" i="1" s="1"/>
  <c r="A834" i="1" s="1"/>
  <c r="A835" i="1" s="1"/>
  <c r="A836" i="1" s="1"/>
  <c r="A837" i="1" s="1"/>
  <c r="A838" i="1" s="1"/>
  <c r="A839" i="1" s="1"/>
  <c r="A840" i="1" s="1"/>
  <c r="A841" i="1" s="1"/>
  <c r="A842" i="1" s="1"/>
  <c r="A843" i="1" s="1"/>
  <c r="A844" i="1" s="1"/>
  <c r="A845" i="1" s="1"/>
  <c r="A846" i="1" s="1"/>
  <c r="A847" i="1" s="1"/>
  <c r="A848" i="1" s="1"/>
  <c r="A849" i="1" s="1"/>
  <c r="A850" i="1" s="1"/>
  <c r="A851" i="1" s="1"/>
  <c r="A852" i="1" s="1"/>
  <c r="A853" i="1" s="1"/>
  <c r="A854" i="1" s="1"/>
  <c r="A855" i="1" s="1"/>
  <c r="A856" i="1" s="1"/>
  <c r="A857" i="1" s="1"/>
  <c r="A858" i="1" s="1"/>
  <c r="A859" i="1" s="1"/>
  <c r="A860" i="1" s="1"/>
  <c r="A861" i="1" s="1"/>
  <c r="A862" i="1" s="1"/>
  <c r="A863" i="1" s="1"/>
  <c r="A864" i="1" s="1"/>
  <c r="A865" i="1" s="1"/>
  <c r="A866" i="1" s="1"/>
  <c r="A867" i="1" s="1"/>
  <c r="A868" i="1" s="1"/>
  <c r="A869" i="1" s="1"/>
  <c r="A870" i="1" s="1"/>
  <c r="A871" i="1" s="1"/>
  <c r="A872" i="1" s="1"/>
  <c r="A873" i="1" s="1"/>
  <c r="A874" i="1" s="1"/>
  <c r="A875" i="1" s="1"/>
  <c r="A876" i="1" s="1"/>
  <c r="A877" i="1" s="1"/>
  <c r="A878" i="1" s="1"/>
  <c r="A879" i="1" s="1"/>
  <c r="A880" i="1" s="1"/>
  <c r="A881" i="1" s="1"/>
  <c r="A882" i="1" s="1"/>
  <c r="A883" i="1" s="1"/>
  <c r="A884" i="1" s="1"/>
  <c r="A885" i="1" s="1"/>
  <c r="A886" i="1" s="1"/>
  <c r="A887" i="1" s="1"/>
  <c r="A888" i="1" s="1"/>
  <c r="A889" i="1" s="1"/>
  <c r="A890" i="1" s="1"/>
  <c r="A891" i="1" s="1"/>
  <c r="A892" i="1" s="1"/>
  <c r="A893" i="1" s="1"/>
  <c r="A894" i="1" s="1"/>
  <c r="A895" i="1" s="1"/>
  <c r="A896" i="1" s="1"/>
  <c r="A897" i="1" s="1"/>
  <c r="A898" i="1" s="1"/>
  <c r="A899" i="1" s="1"/>
  <c r="A900" i="1" s="1"/>
  <c r="A901" i="1" s="1"/>
  <c r="A902" i="1" s="1"/>
  <c r="A903" i="1" s="1"/>
  <c r="A904" i="1" s="1"/>
  <c r="A905" i="1" s="1"/>
  <c r="A906" i="1" s="1"/>
  <c r="A907" i="1" s="1"/>
  <c r="A908" i="1" s="1"/>
  <c r="A909" i="1" s="1"/>
  <c r="A910" i="1" s="1"/>
  <c r="A911" i="1" s="1"/>
  <c r="A912" i="1" s="1"/>
  <c r="A913" i="1" s="1"/>
  <c r="A914" i="1" s="1"/>
  <c r="A915" i="1" s="1"/>
  <c r="A916" i="1" s="1"/>
  <c r="A917" i="1" s="1"/>
  <c r="A918" i="1" s="1"/>
  <c r="A919" i="1" s="1"/>
  <c r="A920" i="1" s="1"/>
  <c r="A921" i="1" s="1"/>
  <c r="A922" i="1" s="1"/>
  <c r="A923" i="1" s="1"/>
  <c r="A924" i="1" s="1"/>
  <c r="A925" i="1" s="1"/>
  <c r="A926" i="1" s="1"/>
  <c r="A927" i="1" s="1"/>
  <c r="A928" i="1" s="1"/>
  <c r="A929" i="1" s="1"/>
  <c r="A930" i="1" s="1"/>
  <c r="A931" i="1" s="1"/>
  <c r="A932" i="1" s="1"/>
  <c r="A933" i="1" s="1"/>
  <c r="A934" i="1" s="1"/>
  <c r="A935" i="1" s="1"/>
  <c r="A936" i="1" s="1"/>
  <c r="A937" i="1" s="1"/>
  <c r="A938" i="1" s="1"/>
  <c r="A939" i="1" s="1"/>
  <c r="A940" i="1" s="1"/>
  <c r="A941" i="1" s="1"/>
  <c r="A942" i="1" s="1"/>
  <c r="A943" i="1" s="1"/>
  <c r="A944" i="1" s="1"/>
  <c r="A945" i="1" s="1"/>
  <c r="A946" i="1" s="1"/>
  <c r="A947" i="1" s="1"/>
  <c r="A948" i="1" s="1"/>
  <c r="A949" i="1" s="1"/>
  <c r="A950" i="1" s="1"/>
  <c r="A951" i="1" s="1"/>
  <c r="A952" i="1" s="1"/>
  <c r="A953" i="1" s="1"/>
  <c r="A954" i="1" s="1"/>
  <c r="A955" i="1" s="1"/>
  <c r="A956" i="1" s="1"/>
  <c r="A957" i="1" s="1"/>
  <c r="A958" i="1" s="1"/>
  <c r="A959" i="1" s="1"/>
  <c r="A960" i="1" s="1"/>
  <c r="A961" i="1" s="1"/>
  <c r="A962" i="1" s="1"/>
  <c r="A963" i="1" s="1"/>
  <c r="A964" i="1" s="1"/>
  <c r="A965" i="1" s="1"/>
  <c r="A966" i="1" s="1"/>
  <c r="A967" i="1" s="1"/>
  <c r="A968" i="1" s="1"/>
  <c r="A969" i="1" s="1"/>
  <c r="A970" i="1" s="1"/>
  <c r="A971" i="1" s="1"/>
  <c r="A972" i="1" s="1"/>
  <c r="A973" i="1" s="1"/>
  <c r="A974" i="1" s="1"/>
  <c r="A975" i="1" s="1"/>
  <c r="A976" i="1" s="1"/>
  <c r="A977" i="1" s="1"/>
  <c r="A978" i="1" s="1"/>
  <c r="A979" i="1" s="1"/>
  <c r="A980" i="1" s="1"/>
  <c r="A981" i="1" s="1"/>
  <c r="A982" i="1" s="1"/>
  <c r="A983" i="1" s="1"/>
  <c r="A984" i="1" s="1"/>
  <c r="A985" i="1" s="1"/>
  <c r="A986" i="1" s="1"/>
  <c r="A987" i="1" s="1"/>
  <c r="A988" i="1" s="1"/>
  <c r="A989" i="1" s="1"/>
  <c r="A990" i="1" s="1"/>
  <c r="A991" i="1" s="1"/>
  <c r="A992" i="1" s="1"/>
  <c r="A993" i="1" s="1"/>
  <c r="A994" i="1" s="1"/>
  <c r="A995" i="1" s="1"/>
  <c r="A996" i="1" s="1"/>
  <c r="A997" i="1" s="1"/>
  <c r="A998" i="1" s="1"/>
  <c r="A999" i="1" s="1"/>
  <c r="A1000" i="1" s="1"/>
</calcChain>
</file>

<file path=xl/sharedStrings.xml><?xml version="1.0" encoding="utf-8"?>
<sst xmlns="http://schemas.openxmlformats.org/spreadsheetml/2006/main" count="13595" uniqueCount="3249">
  <si>
    <t>Житловий будинок</t>
  </si>
  <si>
    <t>Рівень достовірності</t>
  </si>
  <si>
    <t>Громадська будівля</t>
  </si>
  <si>
    <t>Навчальний заклад</t>
  </si>
  <si>
    <t>Дитячий дошкільний заклад</t>
  </si>
  <si>
    <t>Заклад охорони здоров’я</t>
  </si>
  <si>
    <t>Готель</t>
  </si>
  <si>
    <t>Підприємства торгівлі</t>
  </si>
  <si>
    <t>Маркування енергетичного сертифікату</t>
  </si>
  <si>
    <t>Клас енергоефективності</t>
  </si>
  <si>
    <t>Високий рівень достовірності</t>
  </si>
  <si>
    <t>Перевірку не пройдено</t>
  </si>
  <si>
    <t>A</t>
  </si>
  <si>
    <t>Середній рівень достовірності</t>
  </si>
  <si>
    <t>Перевірку пройдено успішно</t>
  </si>
  <si>
    <t>B</t>
  </si>
  <si>
    <t>Низький рівень достовірності</t>
  </si>
  <si>
    <t>Перевірка не проводилась</t>
  </si>
  <si>
    <t>C</t>
  </si>
  <si>
    <t>Встановлено наявність конфлікту інтересів</t>
  </si>
  <si>
    <t>D</t>
  </si>
  <si>
    <t>"Проводиться перевірка з дд.мм.рррр";</t>
  </si>
  <si>
    <t>E</t>
  </si>
  <si>
    <t>"Проводиться перевірка - звернення замовника від дд.мм.рррр";</t>
  </si>
  <si>
    <t>F</t>
  </si>
  <si>
    <t>"Проводиться перевірка - атестат анульовано дд.мм.рррр".</t>
  </si>
  <si>
    <t>G</t>
  </si>
  <si>
    <t>№</t>
  </si>
  <si>
    <t>Місцезнаходження об`єкта сертифікації</t>
  </si>
  <si>
    <t>Населений пункт</t>
  </si>
  <si>
    <t>Область</t>
  </si>
  <si>
    <t xml:space="preserve">Функціональне призначення  </t>
  </si>
  <si>
    <t>Назва об`єкта сертифікації</t>
  </si>
  <si>
    <t>Код згідно з ДК 018-2000</t>
  </si>
  <si>
    <t>Шифр проекту</t>
  </si>
  <si>
    <t>Рік прийняття в експлуатацію</t>
  </si>
  <si>
    <t>Виконавець</t>
  </si>
  <si>
    <t>Номер кваліфікаційного атестату</t>
  </si>
  <si>
    <t>Сертифікат енергетичної ефективності</t>
  </si>
  <si>
    <t>Клас енергетичної ефективності</t>
  </si>
  <si>
    <t>Опалювана площа</t>
  </si>
  <si>
    <t>Опалюваний об`єм</t>
  </si>
  <si>
    <t>Кількість поверхів</t>
  </si>
  <si>
    <t>Питоме споживання енергії</t>
  </si>
  <si>
    <t>Питоме споживання первинної енергії</t>
  </si>
  <si>
    <t>Питомі викиди СО2</t>
  </si>
  <si>
    <t>Дата складання енергетичного сертифіката</t>
  </si>
  <si>
    <t>Дата закінчення дії енергетичного сертифіката</t>
  </si>
  <si>
    <t>Маркування енергетичного сертифіката</t>
  </si>
  <si>
    <t>Значення</t>
  </si>
  <si>
    <t>Одиниця виміру</t>
  </si>
  <si>
    <t>місто Київ, вулиця Професора Підвисоцького, будинок 3А</t>
  </si>
  <si>
    <t>м. Київ</t>
  </si>
  <si>
    <t>ОСББ "Мотор"</t>
  </si>
  <si>
    <t>Литвин Вадим Іванович</t>
  </si>
  <si>
    <t>АА000002</t>
  </si>
  <si>
    <t>Сертифікат</t>
  </si>
  <si>
    <t>кВт⋅год/м2</t>
  </si>
  <si>
    <t>місто Київ, вулиця Воскресенська, будинок 7</t>
  </si>
  <si>
    <t>ОСББ "Воскресенський-7"</t>
  </si>
  <si>
    <t>Марусич Дмитро Володимирович</t>
  </si>
  <si>
    <t>АА000003</t>
  </si>
  <si>
    <t>місто Київ, вулиця Генерала Алмазова, будинок 18/7</t>
  </si>
  <si>
    <t>Національний інститут стратегічних досліджень</t>
  </si>
  <si>
    <t>Наскальний Сергій Миколайович</t>
  </si>
  <si>
    <t>АА000004</t>
  </si>
  <si>
    <t>кВт⋅год/м3</t>
  </si>
  <si>
    <t>місто Луцьк, вул. Винниченка, 43</t>
  </si>
  <si>
    <t>м. Луцьк</t>
  </si>
  <si>
    <t>Волинська</t>
  </si>
  <si>
    <t>Волинський науково – дослідний експертно – криміналістичний центр МВС України</t>
  </si>
  <si>
    <t>Акулов Олексій Іванович</t>
  </si>
  <si>
    <t>ЕЕ-008-12-19</t>
  </si>
  <si>
    <t>місто Рівне, вул. Гагаріна, 39</t>
  </si>
  <si>
    <t>м. Рівне</t>
  </si>
  <si>
    <t>Рівненська</t>
  </si>
  <si>
    <t>Рівненський науково – дослідний експертно – криміналістичний центр МВС України</t>
  </si>
  <si>
    <t>місто Полтава, вул. Сільськогосподарська, 21</t>
  </si>
  <si>
    <t>м. Полтава</t>
  </si>
  <si>
    <t>Полтавська</t>
  </si>
  <si>
    <t>Горбанівський геріатричний пансіонат ветеранів війни та праці</t>
  </si>
  <si>
    <t>Серебряков Олександр Миколайович</t>
  </si>
  <si>
    <t>001-18/Е</t>
  </si>
  <si>
    <t>3/5</t>
  </si>
  <si>
    <t>місто Львів, вул. Коперника, 17</t>
  </si>
  <si>
    <t>м. Львів</t>
  </si>
  <si>
    <t>Львівська</t>
  </si>
  <si>
    <t>Культурно-Мистецький Центр «Львівський Палац Мистецтв»</t>
  </si>
  <si>
    <t>Смірнов Ігор Вікторович</t>
  </si>
  <si>
    <t>АР 000037</t>
  </si>
  <si>
    <t>смт Мізоч, вул. Хмельницького, 35</t>
  </si>
  <si>
    <t>смт Мізоч</t>
  </si>
  <si>
    <t>Мізоцька спеціальна загальноосвітня школа-інтернат І-ІІ ступенів. Навчальний корпус</t>
  </si>
  <si>
    <t>Іваночко Михайло Іванович</t>
  </si>
  <si>
    <t>ЕЕ-002-10-18</t>
  </si>
  <si>
    <t>2 160</t>
  </si>
  <si>
    <t>7 196</t>
  </si>
  <si>
    <t>смт. Клевань, вул. Деражненська, 39, Рівненська область</t>
  </si>
  <si>
    <t>смт. Клевань</t>
  </si>
  <si>
    <t>Терапевтичний корпус комунального закладу «Рівненський обласний госпіталь ветеранів війни»</t>
  </si>
  <si>
    <t>смт Клевань, вул. Деражненська, 39, Рівненська обл.</t>
  </si>
  <si>
    <t>м. Запоріжжя, вулиця Чарівна, будинок 28а</t>
  </si>
  <si>
    <t>м. Запоріжжя</t>
  </si>
  <si>
    <t>Запорізька</t>
  </si>
  <si>
    <t>Комунальна установа «Запорізьке обласне бюро судово-медичної експертизи»</t>
  </si>
  <si>
    <t>Лисак Олександр Васильович</t>
  </si>
  <si>
    <t>АР000024</t>
  </si>
  <si>
    <t>м. Запоріжжя, вулиця Чарівна, будинок 30</t>
  </si>
  <si>
    <t>м. Київ, вул. Е. Потьє, 20</t>
  </si>
  <si>
    <t>Навчально-лабораторний комплекс №1 Національної академії управління при Президентові України</t>
  </si>
  <si>
    <t>Шевченко Василь Васильович</t>
  </si>
  <si>
    <t>1/010</t>
  </si>
  <si>
    <t>22724.6</t>
  </si>
  <si>
    <t>57.24</t>
  </si>
  <si>
    <t>355.73</t>
  </si>
  <si>
    <t>69.96</t>
  </si>
  <si>
    <t>м. Київ, вул. Академіка Ромоданова, 12/2</t>
  </si>
  <si>
    <t>Навчально-лабораторний комплекс №2 Національної академії управління при Президентові України</t>
  </si>
  <si>
    <t>20563.0</t>
  </si>
  <si>
    <t>39.65</t>
  </si>
  <si>
    <t>224.81</t>
  </si>
  <si>
    <t>44.13</t>
  </si>
  <si>
    <t>м. Коростень, вул. Жмаченко,46</t>
  </si>
  <si>
    <t>м. Коростень</t>
  </si>
  <si>
    <t>Житомирська</t>
  </si>
  <si>
    <t>Поліклінічний корпус КЗ "Коростенська центральна районна лікарня Коростенської районної ради"</t>
  </si>
  <si>
    <t>Довгий Святослав Сергійович</t>
  </si>
  <si>
    <t>KPI-CE №000004</t>
  </si>
  <si>
    <t>м. Київ, вул. Лук’янівська, 69/71,</t>
  </si>
  <si>
    <t>Студентський гуртожиток Національної академії образотворчого мистецтва і архітектури</t>
  </si>
  <si>
    <t>м. Київ, вул. Вознесенський узвіз, 20</t>
  </si>
  <si>
    <t>Прокопенко Дмитро Русланович</t>
  </si>
  <si>
    <t>СБ-0028</t>
  </si>
  <si>
    <t>Навчальний корпус із спортзалом Національної академії образотворчого мистецтва і архітектури</t>
  </si>
  <si>
    <t>м. Київ, вул. Сошенко, 33</t>
  </si>
  <si>
    <t>Творчі майстерні Національної академії образотворчого мистецтва і архітектури</t>
  </si>
  <si>
    <t>Навчальний корпус літера А Національної академії образотворчого мистецтва і архітектури</t>
  </si>
  <si>
    <t>м. Рівне, вул. Київська, 78Г.</t>
  </si>
  <si>
    <t>хірургічний корпус Рівненської одласної клінічної лікарні</t>
  </si>
  <si>
    <t>м. Рівне, вул. Київська, 78Г</t>
  </si>
  <si>
    <t>Івано-Франківська область, м. Бурштин, вул. С. Стрільців, 4</t>
  </si>
  <si>
    <t>м. Бурштин</t>
  </si>
  <si>
    <t>Івано-Франківська</t>
  </si>
  <si>
    <t>Адміністративна будівля Бурштинської міської ради</t>
  </si>
  <si>
    <t>Свистюк Сергій Віталійович</t>
  </si>
  <si>
    <t>СБ-0017</t>
  </si>
  <si>
    <t>Київська обл., м. Бровари, вул. Грушевського, 13А</t>
  </si>
  <si>
    <t>м. Бровари</t>
  </si>
  <si>
    <t>Київська</t>
  </si>
  <si>
    <t>ОСББ "Грушевського 13А"</t>
  </si>
  <si>
    <t>Ніколаєнко Марія Олегівна</t>
  </si>
  <si>
    <t>СБ-0025</t>
  </si>
  <si>
    <t>Львівська обл., Яворівський р-н, м. Новояворівськ, вул. Ю.ЛИПИ, 2</t>
  </si>
  <si>
    <t>м. Новояворівськ</t>
  </si>
  <si>
    <t>ОСББ "Липи 2"</t>
  </si>
  <si>
    <t>м. Львів, вул. Конюшинна, 24, Львівська обл.</t>
  </si>
  <si>
    <t>Адміністративна будівля Львівського науково-дослідного експертно-криміналістичного центру МВС України</t>
  </si>
  <si>
    <t>-</t>
  </si>
  <si>
    <t>Сташко Микола Валерійович</t>
  </si>
  <si>
    <t>ЕЕ-005-10-18</t>
  </si>
  <si>
    <t>м. Запоріжжя, вул. Аваліані, 19А</t>
  </si>
  <si>
    <t>Запорізький науково-дослідний експертно-криміналістичний центр МВС України</t>
  </si>
  <si>
    <t>м. Запоріжжя вул. Леоніда Жаботинського, 32, будівля 1</t>
  </si>
  <si>
    <t>Запорізька обласна станція переливання крові</t>
  </si>
  <si>
    <t>м. Запоріжжя вул. Леоніда Жаботинського, 32, будівля 2</t>
  </si>
  <si>
    <t>39800, Полтавська область, м. Горішні Плавні, вул. Миру, 20</t>
  </si>
  <si>
    <t>м. Горішні Плавні</t>
  </si>
  <si>
    <t>ОСББ «МЖК-2»</t>
  </si>
  <si>
    <t>м. Запоріжжя, вул. Немеровича-Данченка, 46А</t>
  </si>
  <si>
    <t>Комунальний заклад "Центр туризму"</t>
  </si>
  <si>
    <t>м. Запоріжжя, вул. Оріхівське шосе,10</t>
  </si>
  <si>
    <t>Комунальний заклад «Обласний клінічний ендокринологічний диспансер»</t>
  </si>
  <si>
    <t>м. Кривий Ріг, вул. Святогеоргіївська, 19</t>
  </si>
  <si>
    <t>м. Киривий ріг</t>
  </si>
  <si>
    <t>Дніпропетровська</t>
  </si>
  <si>
    <t>ОСББ "Рязанова 19"</t>
  </si>
  <si>
    <t>Кулик Євгенія Юріївна</t>
  </si>
  <si>
    <t>СБ-0023</t>
  </si>
  <si>
    <t>187.7</t>
  </si>
  <si>
    <t>255.6</t>
  </si>
  <si>
    <t>53.2</t>
  </si>
  <si>
    <t>м. Дніпро, бул. Рубіновий, 12.</t>
  </si>
  <si>
    <t>м. Дніпро</t>
  </si>
  <si>
    <t>ОСББ "Рубіновий 12"</t>
  </si>
  <si>
    <t>Шишка Катерина Миколаївна</t>
  </si>
  <si>
    <t>СБ-0031</t>
  </si>
  <si>
    <t>м.Бердянськ, вул.Північна, 19</t>
  </si>
  <si>
    <t>м. Бердянськ</t>
  </si>
  <si>
    <t>ОСББ "Марічка"</t>
  </si>
  <si>
    <t>Сичова Альона Ігорівна</t>
  </si>
  <si>
    <t>АР 000038</t>
  </si>
  <si>
    <t>м. Київ, вул. Драгомирова, 4,</t>
  </si>
  <si>
    <t>ОСББ "Драгомирова 4"</t>
  </si>
  <si>
    <t>233.4</t>
  </si>
  <si>
    <t>м. Запоріжжя, вул. Професора Толока, буд.32</t>
  </si>
  <si>
    <t>ОСББ «СВІТАНОК 32»</t>
  </si>
  <si>
    <t>Калініна Юлія Віталіївна</t>
  </si>
  <si>
    <t>АР 000031</t>
  </si>
  <si>
    <t>Поліклініка КП «Рівненська обласна клінічна лікарня»</t>
  </si>
  <si>
    <t>Кардіологічний корпус КП «Рівненська обласна клінічна лікарня»</t>
  </si>
  <si>
    <t>смт. Клевань, вул.Деражненська, 39а, Рівненська обл.</t>
  </si>
  <si>
    <t>смт.Клевань</t>
  </si>
  <si>
    <t>Корпус №1 КЗ «Рівненський обласний госпіталь ветеранів війни»</t>
  </si>
  <si>
    <t>смт. Мізоч, вул. Хмельницького, 35, Рівненська область</t>
  </si>
  <si>
    <t>смт. Мізоч</t>
  </si>
  <si>
    <t>Клуб Комунального закладу «Мізоцька спеціальна загальноосвітня школа-інтернат І-ІІ ступенів» Рівненської обласної ради</t>
  </si>
  <si>
    <t>Києво-Святошинський район, м. Буча, Нове Шосе, 14</t>
  </si>
  <si>
    <t>м. Буча</t>
  </si>
  <si>
    <t>ОСББ "Новий-14"</t>
  </si>
  <si>
    <t>Ліпінський Петро Юрійович</t>
  </si>
  <si>
    <t>CБ-0033</t>
  </si>
  <si>
    <t>9-9-10-12-16</t>
  </si>
  <si>
    <t>Спальний корпус №1 Комунального закладу «Мізоцька спеціальна загальноосвітня школа-інтернат І-ІІ ступенів»</t>
  </si>
  <si>
    <t>м. Львів, вул. Стрийська,75</t>
  </si>
  <si>
    <t>ОСББ "Стрийська 75"</t>
  </si>
  <si>
    <t>Дніпропетровська обл., Новомосковський район, с. Козирщина, вул. Поповича,22Б</t>
  </si>
  <si>
    <t>с. Козирщина</t>
  </si>
  <si>
    <t>Гуртожиток НВК "Родина"</t>
  </si>
  <si>
    <t>Руднєв Едуард Олександрович</t>
  </si>
  <si>
    <t>АР 000048</t>
  </si>
  <si>
    <t>Спальний корпус №2 Комунального закладу «Мізоцька спеціальна загальноосвітня школа-інтернат І-ІІ ступенів»</t>
  </si>
  <si>
    <t>смт. Клевань, вул. Деражненська, 39</t>
  </si>
  <si>
    <t>Фізіотерапевтичний корпус. Комунальний заклад « Рівненського обласного госпіталю ветеранів війни»,</t>
  </si>
  <si>
    <t>м. Запоріжжя, вул. Гоголя 171</t>
  </si>
  <si>
    <t>ОСББ "Гоголя 171"</t>
  </si>
  <si>
    <t>Соловйов Олександр Сергійович</t>
  </si>
  <si>
    <t>EE00005</t>
  </si>
  <si>
    <t>м. Київ, вул. Княжий Затон, 7</t>
  </si>
  <si>
    <t>ЖБК "Будівельник-13"</t>
  </si>
  <si>
    <t>Мовчан Микола Анатолійович</t>
  </si>
  <si>
    <t>KPI-CE № 000021</t>
  </si>
  <si>
    <t>м. Рівне вул. Короленка,6</t>
  </si>
  <si>
    <t>КЗ "Рівненська обласна універсальна наукова бібліотека"</t>
  </si>
  <si>
    <t>Київська обл., м. Богуслав, вул. Миколаївська, 72</t>
  </si>
  <si>
    <t>м. Богуслав</t>
  </si>
  <si>
    <t>Спеціалізована школа №1</t>
  </si>
  <si>
    <t>Харківська область, м. Чугуїв, вул. Кожедуба , буд. 15</t>
  </si>
  <si>
    <t>м. Чугуїв</t>
  </si>
  <si>
    <t>Харківська</t>
  </si>
  <si>
    <t>ОСББ «Добробут Чугуєва»</t>
  </si>
  <si>
    <t>Мороз Вікторія Миколаївна</t>
  </si>
  <si>
    <t>АА000020</t>
  </si>
  <si>
    <t>Харківська область, м. Харків, пр-кт Науки , буд. 66</t>
  </si>
  <si>
    <t>м. Харків</t>
  </si>
  <si>
    <t>ОСББ"Молодість"</t>
  </si>
  <si>
    <t>15100, Чернігівська обл., Городнянський район, м. Городня,
 вул. Троїцька, 4</t>
  </si>
  <si>
    <t>м. Городня</t>
  </si>
  <si>
    <t>Чернігівська</t>
  </si>
  <si>
    <t>Городнянська ЗОШ І-ІІІ ст. No2
 Городнянської міської ради Чернігівської області</t>
  </si>
  <si>
    <t>Адміністративна будівля Рівненської обласної клінічної лікарні</t>
  </si>
  <si>
    <t>Балаклійський район, смт Андріївка, вул. Першотравнева, 93</t>
  </si>
  <si>
    <t>смт Андріївка</t>
  </si>
  <si>
    <t>Балаклійський районний центр первинної медико-санітарної допомоги</t>
  </si>
  <si>
    <t>Закарпатська обл.,Тячівський район с.Лази, вул. Перемоги,171</t>
  </si>
  <si>
    <t>с. Лази</t>
  </si>
  <si>
    <t>Закарпатська</t>
  </si>
  <si>
    <t>Лазівська сільська рада</t>
  </si>
  <si>
    <t>м. Острог, вул. Чорновола, 3а</t>
  </si>
  <si>
    <t>м. Острог</t>
  </si>
  <si>
    <t>Комунальний заклад «Державний історико-культурний заповідник м. Острога» Рівненської обласної ради</t>
  </si>
  <si>
    <t>ХУ ст./2008р.</t>
  </si>
  <si>
    <t>Куценко Олександр Федорович</t>
  </si>
  <si>
    <t>КРІ-СЕ 000016</t>
  </si>
  <si>
    <t>м. Острог, просп. Незалежності, 45</t>
  </si>
  <si>
    <t>ХІХст./1988</t>
  </si>
  <si>
    <t>м. Острог, вул.Академічна,5а</t>
  </si>
  <si>
    <t>ХІУ ст./1989</t>
  </si>
  <si>
    <t>відстуній
пп.4 ст.2 Закону України "Про енергетичну ефективність будівель"</t>
  </si>
  <si>
    <t>Не підпадає під дію Закону України "Про енергетичну ефективність будівель"</t>
  </si>
  <si>
    <t>м. Рівне, вул. Драгоманова, 19</t>
  </si>
  <si>
    <t>с. Руське Поле, вул. Головна,77</t>
  </si>
  <si>
    <t>с. Руське Поле</t>
  </si>
  <si>
    <t>Руськополівська сільська рада</t>
  </si>
  <si>
    <t>29.02.2019</t>
  </si>
  <si>
    <t>м. Київ, вул Алішера Навої, 69</t>
  </si>
  <si>
    <t>ОСББ ЖК "Перовський"</t>
  </si>
  <si>
    <t>Далібожак Іван Іванович</t>
  </si>
  <si>
    <t>СБ-0022</t>
  </si>
  <si>
    <t>м. Київ, вул Перова10А</t>
  </si>
  <si>
    <t>м. Львів вул. Винниченка, 18</t>
  </si>
  <si>
    <t>Львівська обласна рада</t>
  </si>
  <si>
    <t>м. Львів вул. Винниченка, 14-16</t>
  </si>
  <si>
    <t>н/в</t>
  </si>
  <si>
    <t>м. Миколаїв, вул. Водопровідна, 15</t>
  </si>
  <si>
    <t>м. Миколаїв</t>
  </si>
  <si>
    <t>Миколаївська</t>
  </si>
  <si>
    <t>ОСББ "Водопровідна 015"</t>
  </si>
  <si>
    <t>Щербиніна Анастасія Вікторівна</t>
  </si>
  <si>
    <t>ОРІ-АВ00009</t>
  </si>
  <si>
    <t>м. Луцьк, пр. Соборності,37Б</t>
  </si>
  <si>
    <t>ОСББ "Наш Дім 37б"</t>
  </si>
  <si>
    <t>Пахолюк Орест Андрійович</t>
  </si>
  <si>
    <t>АА000024</t>
  </si>
  <si>
    <t>м. Запоріжжя, вул. Бородінська, 22</t>
  </si>
  <si>
    <t>ОСББ"Діамантовий"</t>
  </si>
  <si>
    <t>Cертифікат</t>
  </si>
  <si>
    <t>м. Херсон, вул. Садова,9</t>
  </si>
  <si>
    <t>м. Херсон</t>
  </si>
  <si>
    <t>Херсонська</t>
  </si>
  <si>
    <t>ОСББ "Садова 9"</t>
  </si>
  <si>
    <t>Леонова Лариса Миколаївна</t>
  </si>
  <si>
    <t>АР000021</t>
  </si>
  <si>
    <t>смт Клевань, вул. Деражненська, 39а</t>
  </si>
  <si>
    <t>смт Клевань</t>
  </si>
  <si>
    <t>корпус №41 КЗ «Рівненський обласний госпіталь ветеранів війни»</t>
  </si>
  <si>
    <t>Лікувальний корпус Рівненського обласного госпіталю ветеранів війни</t>
  </si>
  <si>
    <t>м. Рівне, вул. Київська, 78-г</t>
  </si>
  <si>
    <t>Головний корпус КП «Рівненська обласна клінічна лікарня»</t>
  </si>
  <si>
    <t>м. Рівне, вул. Симона Петлюри, 15</t>
  </si>
  <si>
    <t>Будівля Рівненського академічного обласного театру ляльок</t>
  </si>
  <si>
    <t>м. Дніпро, Будівельний тупик, 1</t>
  </si>
  <si>
    <t>Дніпропетровський науково-дослідний експертно-криміналістичний центр МВС України</t>
  </si>
  <si>
    <t>АР 000024</t>
  </si>
  <si>
    <t>смт. Мізоч, вул. Хмельницького, 35</t>
  </si>
  <si>
    <t>медпункт-ізолятор Мізоцької спеціальної загальноосвітньої школи-інтернат І-ІІ ступенів</t>
  </si>
  <si>
    <t>смт. Брацлав, вул. Шкільна, 7</t>
  </si>
  <si>
    <t>смт. Брацлав</t>
  </si>
  <si>
    <t>Вінницька</t>
  </si>
  <si>
    <t>Брацлавський навчально-виховний комплекс "Загальноосвітня школа І-ІІІ ступенів №1 - Гімназія"</t>
  </si>
  <si>
    <t>м. Гадяч, площа Соборна, 9А</t>
  </si>
  <si>
    <t>м. Гадяч</t>
  </si>
  <si>
    <t>Гадяцький коледж культури і
 мистецтв ім. І. П. Котляревського, бібліотека та учбові аудиторії</t>
  </si>
  <si>
    <t>Гадяцький коледж культури і
 мистецтв ім. І. П. Котляревського. Адмінкорпус</t>
  </si>
  <si>
    <t>м. Гадяч, вул. Драгоманова, 16</t>
  </si>
  <si>
    <t>Гуртожиток, Гадяцький коледж культури і мистецтв ім. І.П. Котляревського</t>
  </si>
  <si>
    <t>м. Гадяч, пл. Соборна, б. 9-а</t>
  </si>
  <si>
    <t>Гадяцький коледж культури і мистецтв ім. І.П. Котляревського, навчальний корпус з танцювальними залами</t>
  </si>
  <si>
    <t>Гадяцький коледж культури і мистецтв ім. І.П. Котляревського, бібліотека з навчальними аудиторіями</t>
  </si>
  <si>
    <t>Полтавська обл. , Полтавський р-н, с. Щербані, вул. Геннадія Біліченка , б. 27</t>
  </si>
  <si>
    <t>с. Щербані</t>
  </si>
  <si>
    <t>Державний навчальний заклад "Полтавський центр професійно-технічної освіти" навчальний корпус</t>
  </si>
  <si>
    <t>м. Гадяч, вул. Першотравнева, 23</t>
  </si>
  <si>
    <t>Гадяцький дитячий будинок Полтавської обласної ради, Корпус 4</t>
  </si>
  <si>
    <t>Гадяцький дитячий будинок Полтавської обласної ради, Корпус 3</t>
  </si>
  <si>
    <t>с. Щербані, вул. Геннадія Біліченка, 27</t>
  </si>
  <si>
    <t>Державний навчальний заклад "Полтавський центр професійно-технічної освіти" суспільно побутовий корпус</t>
  </si>
  <si>
    <t>м. Полтава, пл. Соборності, 11</t>
  </si>
  <si>
    <t>Комунальний вищий навчальний заклад Полтавської обласної ради "Полтавське музичне училище ім. М.В.Лисенка"</t>
  </si>
  <si>
    <t>м. Полтава, вул. Небесної сотні, 17</t>
  </si>
  <si>
    <t>Полтавська обласна універсальна наукова бібліотека ім. І.П.Котляревського</t>
  </si>
  <si>
    <t>м. Полтава, вул. Пушкіна, 32</t>
  </si>
  <si>
    <t>Полтавський академічний обласний театр ляльок</t>
  </si>
  <si>
    <t>м. Полтава, вул. Соборності, 23</t>
  </si>
  <si>
    <t>Полтавський академічний обласний український музично-драматичний театр ім. М.В.Гоголя</t>
  </si>
  <si>
    <t>м. Миргород, вул. Козацька, 26</t>
  </si>
  <si>
    <t>м. Миргород</t>
  </si>
  <si>
    <t>Професійно-технічне училище №44</t>
  </si>
  <si>
    <t>Зеньковський район, с. Міські млини, вул. Котелевська, 23</t>
  </si>
  <si>
    <t>Обласний дитячо-юнацький оздоровчий табір "Еколог"</t>
  </si>
  <si>
    <t>м. Тлумач, вул. Кармелюка, 1</t>
  </si>
  <si>
    <t>Тлумацький районний центр зайнятості</t>
  </si>
  <si>
    <t>Івано-Франківський обласний центр зайнятості</t>
  </si>
  <si>
    <t>м. Івано-Франківськ, вул. Деповська, 89а</t>
  </si>
  <si>
    <t>м. Київ, вул. Марка Безручка, 23а</t>
  </si>
  <si>
    <t>ЖБК "Верстат 4"</t>
  </si>
  <si>
    <t>м. Київ, вул. О.Гончара,41а</t>
  </si>
  <si>
    <t>ОСББ "Київське Академічне"</t>
  </si>
  <si>
    <t>м. Івано-Франківськ</t>
  </si>
  <si>
    <t>м. Житомир, вул. Старий Бульвар, 18</t>
  </si>
  <si>
    <t>м. Житомир</t>
  </si>
  <si>
    <t>Житомирський НДЕКЦ МВС України</t>
  </si>
  <si>
    <t>м. Ужгород, вул. Слов"янська набережна, 25</t>
  </si>
  <si>
    <t>м. Ужгород</t>
  </si>
  <si>
    <t>Адмінбудівля Закарпатського науково-дослідного експертно-криміналістичного центру МВС України</t>
  </si>
  <si>
    <t>смт Чутове, вул. Полтавський Шлях, 33</t>
  </si>
  <si>
    <t>смт Чутове</t>
  </si>
  <si>
    <t>Чутівське професійно-технічне училище № 55</t>
  </si>
  <si>
    <t>смт Решетилівка, вул. Покровська, 61</t>
  </si>
  <si>
    <t>смт Решетилівка</t>
  </si>
  <si>
    <t>Решетилівський художній професійний ліцей</t>
  </si>
  <si>
    <t>м. Зіньків, вул.
 Погрібняка, 52</t>
  </si>
  <si>
    <t>м. Зіньків</t>
  </si>
  <si>
    <t>Регіональний центр професійно-технічної освіти м. Зіньків</t>
  </si>
  <si>
    <t>м. Кременчук, просп. Лесі Українки, 44</t>
  </si>
  <si>
    <t>м. Кременчук</t>
  </si>
  <si>
    <t>Гуртожиток, Регіогальний центр професійно-технічної освіти №1 м.Кременчук</t>
  </si>
  <si>
    <t>с. Яреськи, вул. Козацький шлях, 29</t>
  </si>
  <si>
    <t>с. Яреськи</t>
  </si>
  <si>
    <t>Професійно-технічне училище №56 с. Яреськи</t>
  </si>
  <si>
    <t>м. Карлівка, вул. Радевича, 20</t>
  </si>
  <si>
    <t>м. Карлівка</t>
  </si>
  <si>
    <t>Гуртожиток Професійно-технічного училища № 50 м. Карлівка</t>
  </si>
  <si>
    <t>с. Войниха, вул. Молодіжна, 9</t>
  </si>
  <si>
    <t>с. Войниха</t>
  </si>
  <si>
    <t>Професійно-технічне училище №53</t>
  </si>
  <si>
    <t>с. Лазірки, вул. Центральна, 30</t>
  </si>
  <si>
    <t>с. Лазірки</t>
  </si>
  <si>
    <t>Професійно-технічне училище №46</t>
  </si>
  <si>
    <t>м. Кременчук, пров. 40 років ДАІ, 5</t>
  </si>
  <si>
    <t>Професійно-технічне училище №26 м. Кремечука</t>
  </si>
  <si>
    <t>м. Хорол, вул. Небесної Сотні, 38/1</t>
  </si>
  <si>
    <t>м. Хорол</t>
  </si>
  <si>
    <t>Міжрегіональний центр професійної перепідготовки звільнених у запас військовослужбовців м.Хорол</t>
  </si>
  <si>
    <t>м. Лубни, вул. Інститутська, 3</t>
  </si>
  <si>
    <t>м. Лубни</t>
  </si>
  <si>
    <t>Лубенський професійний ліцей</t>
  </si>
  <si>
    <t>м. Кременчук, вул. Лікаря Богаєвського, 4</t>
  </si>
  <si>
    <t>Кременчуцький професійний ліцей ім. А.С. Макаренка</t>
  </si>
  <si>
    <t>м. Кременчук, вул. Вадима Пугачова, 14</t>
  </si>
  <si>
    <t>Вище професійне училище №7 м. Кременчука</t>
  </si>
  <si>
    <t>м. Рівне, вул. Котляревського,1</t>
  </si>
  <si>
    <t>Рівненський обласний науковий ліцей-інтернат ІІ-ІІІ ст</t>
  </si>
  <si>
    <t>Житник Богдан Миколайович</t>
  </si>
  <si>
    <t>1/002</t>
  </si>
  <si>
    <t>м. Переяслав-Хмельницький, вул. Ярмаркова, 31</t>
  </si>
  <si>
    <t>м. Переяслав- Хмельницький</t>
  </si>
  <si>
    <t>Переяслав- Хмельницька ЗОШ №3</t>
  </si>
  <si>
    <t>Павлоградський район, с. Привовчанське, вул. Перемоги, 11</t>
  </si>
  <si>
    <t>с. Привовчанське</t>
  </si>
  <si>
    <t>Привовчанська загальноосвітня школа І-ІІІ ст.</t>
  </si>
  <si>
    <t>Павлоградський район, с. Троїцьке, вул. Центральна, 110А</t>
  </si>
  <si>
    <t>с. Троїцьке</t>
  </si>
  <si>
    <t>Троїцька загальноосвітня школа І-ІІІ ст.</t>
  </si>
  <si>
    <t>Рожнятівський район, с. Креховичі, вул. Шевченка, 89</t>
  </si>
  <si>
    <t>с. Креховичі</t>
  </si>
  <si>
    <t>Креховицька гімназія Брошнів-Осадської селищної ради ОТГ</t>
  </si>
  <si>
    <t>Полтавська область, м. Гадяч, вул. Полтавська, 88</t>
  </si>
  <si>
    <t>Гадяцьке вище професійне аграрне училище Гуртожиток</t>
  </si>
  <si>
    <t>м. Кобеляки, вул. Покровська, 52</t>
  </si>
  <si>
    <t>м. Кобеляки</t>
  </si>
  <si>
    <t>Державний професійно-технічний навчальний заклад "Професійний аграрний ліцей" м. Кобеляки (гуртожиток)</t>
  </si>
  <si>
    <t>Великобагачанський район, с. Красногорівка, вул. Гоголя, 46</t>
  </si>
  <si>
    <t>с. Красногорівка</t>
  </si>
  <si>
    <t>Професійно-технічне училище № 49 села Красногорівка Великобагачанського району</t>
  </si>
  <si>
    <t>Павлоградський район, с. Троїцьке, вул. Центральна, 105В</t>
  </si>
  <si>
    <t>КЗ дошкільної освіти "Троїцький дитячий садок "Оленка" загального розвитку</t>
  </si>
  <si>
    <t>м. Львів, вул. Повітряна,92</t>
  </si>
  <si>
    <t>ОСББ "Повітряна 92"</t>
  </si>
  <si>
    <t>Мельник Михайло Васильович</t>
  </si>
  <si>
    <t>ОД 02071010/0934-18</t>
  </si>
  <si>
    <t>м.Київ, вул. Лятошинського, 26 Б</t>
  </si>
  <si>
    <t>ОСББ "Ракета"</t>
  </si>
  <si>
    <t>Смагіна Юлія Вікторівна</t>
  </si>
  <si>
    <t>АА000006</t>
  </si>
  <si>
    <t>м.Львів, вул. Скрипника, 7</t>
  </si>
  <si>
    <t>ОСББ "Вишня"</t>
  </si>
  <si>
    <t>м. Луцьк, вул. Поліська Січ, 12</t>
  </si>
  <si>
    <t>Головний корпус Волинської регіональної державної лабораторії Держпродспоживслужби України</t>
  </si>
  <si>
    <t>Дутко Василь Васильович</t>
  </si>
  <si>
    <t>ОД02071010/0994-18</t>
  </si>
  <si>
    <t>м. Одеса, вул. Космонавтів, 56</t>
  </si>
  <si>
    <t>м. Одеса</t>
  </si>
  <si>
    <t>Одеська</t>
  </si>
  <si>
    <t>ОСББ "Прогрес"</t>
  </si>
  <si>
    <t>Павлоградський р-н., с. Привовчанське, вул. Перемоги, 16</t>
  </si>
  <si>
    <t>Комунальний заклад дошкільної освіти «Привовчанський ясла-садок «Ромашка» загального розвитку»</t>
  </si>
  <si>
    <t>м. Луцьк, Київський майдан, 6.</t>
  </si>
  <si>
    <t>ОСББ "Наш дім"</t>
  </si>
  <si>
    <t>Зімич Олена Геннадіївна</t>
  </si>
  <si>
    <t>ОД 000019</t>
  </si>
  <si>
    <t>смт. Смига, вул. Дружби, 2</t>
  </si>
  <si>
    <t>смт. Смига</t>
  </si>
  <si>
    <t>Смизька загальноосвітня школа I-III ст. Смизької селещної ради</t>
  </si>
  <si>
    <t>м. Енергодар, вулиця Українська, будинок 25-Б</t>
  </si>
  <si>
    <t>м. Енергодар</t>
  </si>
  <si>
    <t>дитяча художня школа Енергодарської міської ради Запорізької області</t>
  </si>
  <si>
    <t>м. Бердянськ, вул. Італійська буд. 83</t>
  </si>
  <si>
    <t>Бердянська ЗОШ І-ІІІ ступенів № 1</t>
  </si>
  <si>
    <t>Філіппов Євген Геннадійович</t>
  </si>
  <si>
    <t>СБ-0045</t>
  </si>
  <si>
    <t>м. Бердянськ, Азовський проспект, 45/2</t>
  </si>
  <si>
    <t>Бердянська ЗОШ І-ІІІ ступенів № 2</t>
  </si>
  <si>
    <t>м. Бердянськ, вул. Петровський шлях, 62/1</t>
  </si>
  <si>
    <t>Бердянська ЗОШ І-ІІІ ступенів № 4</t>
  </si>
  <si>
    <t>м. Бердянськ, бульвар Шевченка, 5</t>
  </si>
  <si>
    <t>Бердянська ЗОШ І-ІІІ ступенів № 11</t>
  </si>
  <si>
    <t>Вінницька область, Немирівський район, смт. Брацлав, вул. Комінтерна, 1</t>
  </si>
  <si>
    <t>смт Брацлав</t>
  </si>
  <si>
    <t>Брацлавський дошкільний навчальний заклад "Ромашка"</t>
  </si>
  <si>
    <t>м. Харків, вул. Гіршмана, буд. 8/10</t>
  </si>
  <si>
    <t>Поліклініка ДУ «ТМО МВС України по Харківській області»</t>
  </si>
  <si>
    <t>с. Личанка, вул. Центральна, 64 Києво-Святошинський р-н, Київська обл.</t>
  </si>
  <si>
    <t>с. Личанка</t>
  </si>
  <si>
    <t>Адміністративна будівля Личанської сільської ради</t>
  </si>
  <si>
    <t>KPI-CE № 000004</t>
  </si>
  <si>
    <t>адміністративний корпус Рівненського обласного госпіталю ветеранів війни</t>
  </si>
  <si>
    <t>Тимошенко Владислав Вадимович</t>
  </si>
  <si>
    <t>№ AA000011</t>
  </si>
  <si>
    <t>м. Київ, проспект Павла Тичини, 26Г</t>
  </si>
  <si>
    <t>Київський науково-дослідний експертно-криміналістичний центр МВС України</t>
  </si>
  <si>
    <t>м. Рівне, вул. Котляревського, 1</t>
  </si>
  <si>
    <t>Гуртожиток №1 комунального закладу «Рівненський обласний науковий ліцей-інтернат ІІ-ІІІ ступенів» РОР</t>
  </si>
  <si>
    <t>Гуртожиток №2 комунального закладу «Рівненський обласний науковий ліцей-інтернат ІІ-ІІІ ступенів» РОР</t>
  </si>
  <si>
    <t>м.Тернопіль, вул. Ст. Будного, 48</t>
  </si>
  <si>
    <t>м.Тернопіль</t>
  </si>
  <si>
    <t>Тернопільська</t>
  </si>
  <si>
    <t>Тернопільський науково – дослідний експертно – криміналістичний центр МВС України</t>
  </si>
  <si>
    <t>ЕЕ-008-12-18</t>
  </si>
  <si>
    <t>с. Олефірівка, вул.Шевченка, 29, Полтавська область</t>
  </si>
  <si>
    <t>с. Олефірівка</t>
  </si>
  <si>
    <t>Оздоровчий центр санаторного типу «Миргородський»</t>
  </si>
  <si>
    <t>Філюшко Олександр Леонідович</t>
  </si>
  <si>
    <t>020-18/Е</t>
  </si>
  <si>
    <t>1 - 3</t>
  </si>
  <si>
    <t>м. Енергодар, вул. Будівельників, 23</t>
  </si>
  <si>
    <t>Дитяча музична школа Енергодарської міської ради Запорізької області</t>
  </si>
  <si>
    <t>м. Енергодар, вул. Будівельників, 22</t>
  </si>
  <si>
    <t>Центральна бібліотека Енергодарської міської ради Запорізької області</t>
  </si>
  <si>
    <t>м. Хуст, вул. Карпатської України, 16</t>
  </si>
  <si>
    <t>м. Хуст</t>
  </si>
  <si>
    <t>Загальноосвітня школа №1</t>
  </si>
  <si>
    <t>Луцький район, с. Княгининок, вул. Соборна, 110б</t>
  </si>
  <si>
    <t>с. Княгининок</t>
  </si>
  <si>
    <t>Княгининівський навчально-виховний комплекс «Загальноосвітня школа І-ІІІ ступенів – дошкільний навчальний заклад» Княгининівської сільської ради (дошкільний підрозділ)</t>
  </si>
  <si>
    <t>Григор’єв Роман Сергійович</t>
  </si>
  <si>
    <t>CБ-0058</t>
  </si>
  <si>
    <t>Луцький район, смт Рокині, вул. Шкільна, 5</t>
  </si>
  <si>
    <t>смт Рокині</t>
  </si>
  <si>
    <t>«Рокинівський навчально-виховний комплекс Княгининівської сільської ради (дошкільний підрозділ)»</t>
  </si>
  <si>
    <t>1974/1988</t>
  </si>
  <si>
    <t>Руднєва Катерина Ігорівна</t>
  </si>
  <si>
    <t>CБ-0063</t>
  </si>
  <si>
    <t>Луцький район, смт Рокині, вул. Шкільна, 3</t>
  </si>
  <si>
    <t>Рокинівський навчально-виховний комплекс Княгининівської сільської ради</t>
  </si>
  <si>
    <t>м. Хуст, вул. Керамічна, 17</t>
  </si>
  <si>
    <t>Хустська Загальноосвітня школа І-ІІІ ступенів №4</t>
  </si>
  <si>
    <t>м. Чернівці, вул. Героїв Майдану, 77-Д</t>
  </si>
  <si>
    <t>м. Чернівці</t>
  </si>
  <si>
    <t>Чернівецька</t>
  </si>
  <si>
    <t>Науково-дослідницький експертно-криміналістичний центр</t>
  </si>
  <si>
    <t>м. Рівне, вул. Замкова, 10-А</t>
  </si>
  <si>
    <t>ОСББ "Замкове-1"</t>
  </si>
  <si>
    <t>Білецька Жанна Іванівна</t>
  </si>
  <si>
    <t>АЕ00001</t>
  </si>
  <si>
    <t>Харчоблок комунального закладу «Рівненський обласний науковий ліцей-інтернат ІІ-ІІІ ступенів» РОР</t>
  </si>
  <si>
    <t>Вінницька обл., Томашпільський район, смт Вапнярка, вул. Гагаріна, 10</t>
  </si>
  <si>
    <t>смт Вапнярка</t>
  </si>
  <si>
    <t>Ясла-садочок "Ромашка"</t>
  </si>
  <si>
    <t>Тимошенко Микита Ігорович</t>
  </si>
  <si>
    <t>СБ-0019</t>
  </si>
  <si>
    <t>Вінницька обл., Томашпільський район, смт Вапнярка, вул. Шевченка,56</t>
  </si>
  <si>
    <t>ЗОШ №2</t>
  </si>
  <si>
    <t>м. Львів, вул. Винниченка,14-16</t>
  </si>
  <si>
    <t>Будинок Львівської обласної ради</t>
  </si>
  <si>
    <t>м. Хуст, вул. Садова, 6</t>
  </si>
  <si>
    <t>Навчально-виховний комплекс №1</t>
  </si>
  <si>
    <t>Василівський район, с. Мала Білозерка, вул. Шахтарська,95</t>
  </si>
  <si>
    <t>с. Мала Білозерка</t>
  </si>
  <si>
    <t>Комунальний заклад «Малобілозерська спеціалізована естетична школа-інтернат ІІ-ІІІ ступенів «Дивосвіт» Запорізької обласної ради</t>
  </si>
  <si>
    <t>м.Суми, вул. 20-річчя Перемоги, буд. 15</t>
  </si>
  <si>
    <t>м.Суми</t>
  </si>
  <si>
    <t>Сумська</t>
  </si>
  <si>
    <t>ОКЗ "Сумська обласна інфекційна клінічна лікарня ім.З.Й. Красовицького", Господарський будинок</t>
  </si>
  <si>
    <t>м. Хуст. вул. Миру, 8</t>
  </si>
  <si>
    <t>Дошкільний навчальний заклад (ясла-садок) №2 "Сонечко"</t>
  </si>
  <si>
    <t>м. Івано-Франківськ, вул. Національної Гвардії, 14</t>
  </si>
  <si>
    <t>Івано-Франківський науково-дослідний експертно-криміналістичний центр МВС України</t>
  </si>
  <si>
    <t>Цих Віталій Сергійович</t>
  </si>
  <si>
    <t>ЕЕ-006-10-18</t>
  </si>
  <si>
    <t>ОКЗ "Сумська обласна інфекційна клінічна лікарня ім. З. Й. Красовицького" Стаціонарний корпус</t>
  </si>
  <si>
    <t>ОКЗ "Сумська обласна інфекційна клінічна лікарня ім. З. Й. Красовицького" Адміністративно-лабораторний корпус</t>
  </si>
  <si>
    <t>м. Суми, вул. Г. Кондратьєва, 179</t>
  </si>
  <si>
    <t>м. Суми</t>
  </si>
  <si>
    <t>ОКЗ "Сумська обласна стоматологічна поліклініка" (стоматологічне відділення №3)</t>
  </si>
  <si>
    <t>м. Суми вул. Герасима Кондратьєва буд.158</t>
  </si>
  <si>
    <t>Сумський обласний спеціалізований будинок дитини. Блок А</t>
  </si>
  <si>
    <t>Сумський обласний спеціалізований будинок дитини. Блок Б</t>
  </si>
  <si>
    <t>м. Івано-Франківськ, вул. Юності, 23</t>
  </si>
  <si>
    <t>Регіональний сервісний центр МВС в Івано-Франківській обл.</t>
  </si>
  <si>
    <t>Управління патрульної поліції в м. Івано-Франківськ</t>
  </si>
  <si>
    <t>м. Володимир-Волинський, вул. 20-го липня, 21</t>
  </si>
  <si>
    <t>м. Володимир-Волинський</t>
  </si>
  <si>
    <t>Громадська будівля – навчальний корпус №1 Володимир-Волинської гімназії ім. Олександра Цинкаловського Волинській області</t>
  </si>
  <si>
    <t>Громадська будівля – навчальний корпус №2 Володимир-Волинської гімназії ім. Олександра Цинкаловського Волинській області</t>
  </si>
  <si>
    <t>Громадська будівля – навчальний корпус №3 Володимир-Волинської гімназії ім. Олександра Цинкаловського Волинській області</t>
  </si>
  <si>
    <t>м. Володимир-Волинський, вул. Ковельська, 161</t>
  </si>
  <si>
    <t>«Заклад дошкільної освіти (ясла-садок) №2 «Казка»</t>
  </si>
  <si>
    <t>м. Володимир-Волинський, вул. Ковельська, 144</t>
  </si>
  <si>
    <t>«Заклад дошкільної освіти (ясла-садок) №8 «Вишиванка»</t>
  </si>
  <si>
    <t>м. Торецьк, вул. Дружби, 24</t>
  </si>
  <si>
    <t>м. Торецьк</t>
  </si>
  <si>
    <t>Донецька</t>
  </si>
  <si>
    <t>Центр надання адміністративних послуг</t>
  </si>
  <si>
    <t>Сухін Сергій Андрійович</t>
  </si>
  <si>
    <t>CБ-0036</t>
  </si>
  <si>
    <t>м. Торецьк, вул. Маяковського, 24а</t>
  </si>
  <si>
    <t>Торецька міська рада</t>
  </si>
  <si>
    <t>м. Торецьк, вул. Маяковського, 16а</t>
  </si>
  <si>
    <t>Архівний відділ військово цивільної адміністрації м. Торецьк</t>
  </si>
  <si>
    <t>Івано-Франківська обл., смт Лисець, вул. Радчанська, 10</t>
  </si>
  <si>
    <t>смт Лисець</t>
  </si>
  <si>
    <t>Лікувальний корпус №1 Лисецької центральної районної лікарні</t>
  </si>
  <si>
    <t>Миколаївська обл, м. Южноукраїнськ, бульвар Шевченка, 8</t>
  </si>
  <si>
    <t>м. Южноукраїнськ</t>
  </si>
  <si>
    <t>ОСББ "ЮУ МЖК-8"</t>
  </si>
  <si>
    <t>Захарченко Володимир Васильович</t>
  </si>
  <si>
    <t>ОРІ-АВ00011</t>
  </si>
  <si>
    <t>м. Київ, вул. Вишгородська, 21</t>
  </si>
  <si>
    <t>Адміністративна будівля Інституту державного управління у сфері цивільного захисту</t>
  </si>
  <si>
    <t>м. Київ, вул. Митрополита Василя Липківського, 35</t>
  </si>
  <si>
    <t>Міністерство екології та природних ресурсів України</t>
  </si>
  <si>
    <t>м. Київ, Алея Героїв Небесної Сотні, 1</t>
  </si>
  <si>
    <t>Міжнародний центр культури і мистецтв Федерації профспілок України</t>
  </si>
  <si>
    <t>Кожома Олександр Сергійович</t>
  </si>
  <si>
    <t>СБ-0013</t>
  </si>
  <si>
    <t>м. Львів, вулиця Пекарська, будинок 65</t>
  </si>
  <si>
    <t>“Львівський обласний центр служби крові”</t>
  </si>
  <si>
    <t>м. Ніжин, вул. Академіка Амосова, 10</t>
  </si>
  <si>
    <t>м. Ніжин</t>
  </si>
  <si>
    <t>ОСББ "Мальва-10"</t>
  </si>
  <si>
    <t>м. Київ, просп. М. Бажана, 14</t>
  </si>
  <si>
    <t>ОСББ "Бажана 14"</t>
  </si>
  <si>
    <t>м. Херсон, вул. Миколаївське шосе, 28а</t>
  </si>
  <si>
    <t>Херсонський науково-дослідний експертнокриміналістичний центр (ХНДЕКЦ)</t>
  </si>
  <si>
    <t>Спиридонов Єгор Борисович</t>
  </si>
  <si>
    <t>EE00007</t>
  </si>
  <si>
    <t>с. Піддубці Луцького району, вул. Миру, 1</t>
  </si>
  <si>
    <t>с. Піддубці</t>
  </si>
  <si>
    <t>Загальноосвітня школа І-ІІІ ступенів</t>
  </si>
  <si>
    <t>Дорощук Микола Петрович</t>
  </si>
  <si>
    <t>Голопристанський район, с. Бехтери, вул. Шкільна, буд.3</t>
  </si>
  <si>
    <t>с. Бехтери</t>
  </si>
  <si>
    <t>Головний корпус. Бехтерський опорний заклад повної загальної середньої освіти Бехтерської сільської ради Голопристанського району Херсонської області.</t>
  </si>
  <si>
    <t>Корпус молодших класів. Бехтерський опорний заклад повної загальної середньої освіти Бехтерської сільської ради Голопристанського району Херсонської області</t>
  </si>
  <si>
    <t>м. Суми, вул. Паркова, 2</t>
  </si>
  <si>
    <t>Сумський медичний коледж. Гуртожиток</t>
  </si>
  <si>
    <t>м. Суми, вул. Паркова, 4</t>
  </si>
  <si>
    <t>Сумський медичний коледж. Навчальний корпус</t>
  </si>
  <si>
    <t>м. Суми, вул. Санаторна, 3</t>
  </si>
  <si>
    <t>КЗ СОР "Обласний клінічний перинатальний центр" Акушерський корпус</t>
  </si>
  <si>
    <t>КЗ СОР "Обласний клінічний перинатальний центр" Гінекологічний корпус</t>
  </si>
  <si>
    <t>м. Суми, вул. Санаторна, буд. 3</t>
  </si>
  <si>
    <t>КЗ СОР "Обласний клінічний перинатальний центр". Поліклініка</t>
  </si>
  <si>
    <t>м. Миколаїв, пр. Героїв України, будинок 15</t>
  </si>
  <si>
    <t>ОСББ "Комунар-3"</t>
  </si>
  <si>
    <t>OPI-AB00009</t>
  </si>
  <si>
    <t>м. Київ, вул. Воскресенська, 14Б</t>
  </si>
  <si>
    <t>ОСББ "Воскресенська 14Б"</t>
  </si>
  <si>
    <t>Політикіна Наталія Володимирівна</t>
  </si>
  <si>
    <t>АА000017</t>
  </si>
  <si>
    <t>м. Покровськ, м-н "Південний", 26а</t>
  </si>
  <si>
    <t>м. Покровськ</t>
  </si>
  <si>
    <t>Комунальний дошкільний навчальний заклад №2 "Росинка"</t>
  </si>
  <si>
    <t>Удод Олександр Володимирович</t>
  </si>
  <si>
    <t>СБ-0020</t>
  </si>
  <si>
    <t>м. Покровськ, вул. Поштова, 6</t>
  </si>
  <si>
    <t>Комунальний дошкільний навчальний заклад №3</t>
  </si>
  <si>
    <t>м. Покровськ, вул. Поштова, 3</t>
  </si>
  <si>
    <t>Загальноосвітня школа І-ІІІ ступенів №3</t>
  </si>
  <si>
    <t>м. Чортків, вул. Зелена, 7а</t>
  </si>
  <si>
    <t>м. Чортків</t>
  </si>
  <si>
    <t>Дошкільний навчальний заклад №6 Чортківської міської ради</t>
  </si>
  <si>
    <t>Куцевалов Олександр Сергійович</t>
  </si>
  <si>
    <t>ЕЕ-036-05-19</t>
  </si>
  <si>
    <t>м. Покровськ, вул. Поштова, 2</t>
  </si>
  <si>
    <t>КПСМНЗ «Покровська музична школа ім. М.Д. Леонтовича»</t>
  </si>
  <si>
    <t>м. Сєвєродонецьк, бульв. Дружби Народів 33 д</t>
  </si>
  <si>
    <t>м. Сєвєродонецьк</t>
  </si>
  <si>
    <t>Луганська</t>
  </si>
  <si>
    <t>Гуртожиток ОКЗ "Сєвєродонецького коледжу культури і мистецтв імені Сергія Прокоф'єва"</t>
  </si>
  <si>
    <t>м. Чортків, вул. Шевченка, 64а</t>
  </si>
  <si>
    <t>Дошкільний навчальний заклад №8 Чортківської міської ради</t>
  </si>
  <si>
    <t>м. Суми, вул. Троїцька, буд. 48</t>
  </si>
  <si>
    <t>КЗ "Сумська обласна лікарня", Адміністративний корпус</t>
  </si>
  <si>
    <t>КЗ "Сумська обласна лікарня", Відділення гемодіалізу</t>
  </si>
  <si>
    <t>м. Рівне, вул. Макарова, 3</t>
  </si>
  <si>
    <t>Центр первинної медико-санітарної допомоги «Ювілейний»</t>
  </si>
  <si>
    <t>Висоцький Роман Валентинович</t>
  </si>
  <si>
    <t>АЕ00003</t>
  </si>
  <si>
    <t>Чернігівська область, м. Ніжин, вул. Незалежності, 36</t>
  </si>
  <si>
    <t>ОСББ "Наш дім-36"</t>
  </si>
  <si>
    <t>КЗ "Сумська обласна лікарня", Корпус 1</t>
  </si>
  <si>
    <t>КЗ "Сумська обласна лікарня", Корпус 3</t>
  </si>
  <si>
    <t>м. Суми, вул Ковпака, 18</t>
  </si>
  <si>
    <t>КЗ "Сумська обласна лікарня", Корпус А</t>
  </si>
  <si>
    <t>КЗ "Сумська обласна лікарня", Корпус Б</t>
  </si>
  <si>
    <t>місто Житомир, вулиця Покровська, будинок 96</t>
  </si>
  <si>
    <t>РСЦ МВС в Житомирській області</t>
  </si>
  <si>
    <t>Сафонов Олексій Даніілович</t>
  </si>
  <si>
    <t>місто Коростень, вулиця Сергія Кемського (Жовтнева), будинок 3</t>
  </si>
  <si>
    <t>ТСЦ МВС № 1843</t>
  </si>
  <si>
    <t>КЗ "Сумська обласна лікарня", Лорцентр</t>
  </si>
  <si>
    <t>КЗ "Сумська обласна лікарня", Нефрологічне відділення</t>
  </si>
  <si>
    <t>КЗ "Сумська обласна лікарня", Організаційно-методичний відділ</t>
  </si>
  <si>
    <t>КЗ "Сумська обласна лікарня", Патологоанатомічне відділення</t>
  </si>
  <si>
    <t>м. Городня, вул. Троїцька, 8 а</t>
  </si>
  <si>
    <t>КЗ "Міський будинок культури" Городнянської міської ради</t>
  </si>
  <si>
    <t>м. Одеса, вул. Маршала Говорова, 3А</t>
  </si>
  <si>
    <t>ОСББ "Говорова-5"</t>
  </si>
  <si>
    <t>м. Добропілля, вул. Гімназистів, 15</t>
  </si>
  <si>
    <t>м. Добропілля</t>
  </si>
  <si>
    <t>«Гімназія- загальноосвітня школа І-ІІІ ступенів №1» Добропільської міської ради Донецької області</t>
  </si>
  <si>
    <t>1939, 1968</t>
  </si>
  <si>
    <t>м. Харків, пр.Гагаріна, буд. 19</t>
  </si>
  <si>
    <t>Госпіталь ДУ ТМО МВС</t>
  </si>
  <si>
    <t>до 1917</t>
  </si>
  <si>
    <t>м. Долина, вул. Степана Бандери, 1Б</t>
  </si>
  <si>
    <t>м. Долина</t>
  </si>
  <si>
    <t>Спортивний павільйон</t>
  </si>
  <si>
    <t>реконструкція 2019</t>
  </si>
  <si>
    <t>м. Дніпро, проспект Гагаріна, буд. 26, корпус № 2</t>
  </si>
  <si>
    <t>Гуртожиток Дніпропетровського державного університету внутрішніх справ</t>
  </si>
  <si>
    <t>м. Дніпро, проспект Гагаріна, буд. 26</t>
  </si>
  <si>
    <t>м. Запоріжжя, вул. Севастопольська, буд.26</t>
  </si>
  <si>
    <t>Запорізький центр первинної професійної підготовки «Академія поліції» (м. Запоріжжя) Дніпропетровського державного університету внутрішніх справ (навчальні приміщення, гуртожиток)</t>
  </si>
  <si>
    <t>1917, 1962</t>
  </si>
  <si>
    <t>Хрипко Володимир Леонідович</t>
  </si>
  <si>
    <t>АР 000028</t>
  </si>
  <si>
    <t>2, 3</t>
  </si>
  <si>
    <t>Корпус №3 Дніпропетровського державного університету внутрішніх справ (їдальні, бібліотеки та навчальні приміщення)</t>
  </si>
  <si>
    <t>м. Дніпро, проспект Гагаріна, буд. 26, корпус № 1</t>
  </si>
  <si>
    <t>Корпус № 1 Дніпропетровського державного університету внутрішніх справ</t>
  </si>
  <si>
    <t>Тутова Олена Валеріївна</t>
  </si>
  <si>
    <t>АР 000030</t>
  </si>
  <si>
    <t>м. Дніпро, проспект Гагаріна, буд. 26, корпус № 4</t>
  </si>
  <si>
    <t>Корпус № 4 Дніпропетровського державного університету внутрішніх справ</t>
  </si>
  <si>
    <t>м. Луцьк, Київський майдан, 4</t>
  </si>
  <si>
    <t>Головне управління ДФС України у Волинській області</t>
  </si>
  <si>
    <t>ОД 02071010/0994-18</t>
  </si>
  <si>
    <t>м. Ківерці, вул. В. Інтернаціоналістів, 1а</t>
  </si>
  <si>
    <t>м. Ківерці</t>
  </si>
  <si>
    <t>Ківерецька ДПІ ГУ ДФС України у Волинській області</t>
  </si>
  <si>
    <t>м. Рожище, вул. Кондратюка, 10</t>
  </si>
  <si>
    <t>м. Рожище</t>
  </si>
  <si>
    <t>Рожищенська ДПІ ГУ ДФС України у Волинській області</t>
  </si>
  <si>
    <t>м. Володимир- Волинський, вул. Ковельська, 63.</t>
  </si>
  <si>
    <t>м. Володимир- Волинський</t>
  </si>
  <si>
    <t>Володимир-Волинське управління ГУ ДФС України у Волинській області</t>
  </si>
  <si>
    <t>м. Нововолинськ , вул. Митрополита Шептицького, 18</t>
  </si>
  <si>
    <t>м. Нововолинськ</t>
  </si>
  <si>
    <t>Нововолинське управління ДФС України у Волинській області</t>
  </si>
  <si>
    <t>Тернопільська обл., Тернопільській р-н., с.Підгородне, вул. Стрийська, 5</t>
  </si>
  <si>
    <t>с. Підгородне</t>
  </si>
  <si>
    <t>Регіональний сервісний центр МВС в Тернопільській області</t>
  </si>
  <si>
    <t>Карєва Лариса Анатоліївна</t>
  </si>
  <si>
    <t>АА000072</t>
  </si>
  <si>
    <t>Тернопільська обл., Чортківський р-н., с.Угринь, вул. Об'їздна, 1</t>
  </si>
  <si>
    <t>с. Угринь</t>
  </si>
  <si>
    <t>Територіальний сервісний центр МВС № 6145</t>
  </si>
  <si>
    <t>м. Вознесенськ, вул. Короленко, 5</t>
  </si>
  <si>
    <t>м. Вознесенськ</t>
  </si>
  <si>
    <t>Амбулаторія загальної практики-сімейної медицини №1</t>
  </si>
  <si>
    <t>Можеєнко Андрій Олександрович</t>
  </si>
  <si>
    <t>OPI-AB00010</t>
  </si>
  <si>
    <t>Донецька обл., м. Добропілля, м. Білицьке, вул. Праці, 50</t>
  </si>
  <si>
    <t>м. Білицьке</t>
  </si>
  <si>
    <t>Білицька загальноосвітня школа І-ІІІ ступенів № 10</t>
  </si>
  <si>
    <t>м. Київ, вул. Велика Кільцева, 4</t>
  </si>
  <si>
    <t>Державний науково-дослідний експертно-криміналістичний центр МВС України</t>
  </si>
  <si>
    <t>Вишняк Олександр Євгенійович</t>
  </si>
  <si>
    <t>EE00004</t>
  </si>
  <si>
    <t>м. Сєвєродонецьк, Луганська обл., вул. Вілєсова, 10</t>
  </si>
  <si>
    <t>Середня загальноосвітня школа І-ІІІ ступенів № 8</t>
  </si>
  <si>
    <t>Сєвєродонецька міська рада</t>
  </si>
  <si>
    <t>с. Олексіївка, Голопристанський район, вул. Шкільна,26</t>
  </si>
  <si>
    <t>с. Олексіївка</t>
  </si>
  <si>
    <t>Олексіївська філія Бехтерського опорного закладу повної загальної середньої освіти</t>
  </si>
  <si>
    <t>м. Лиман, вул. Незалежності 46</t>
  </si>
  <si>
    <t>м. Лиман</t>
  </si>
  <si>
    <t>Лиманська міська рада</t>
  </si>
  <si>
    <t>м. Сєвєродонецьк, бульв. Дружби Народів 32</t>
  </si>
  <si>
    <t>м. Київ, вул. Казимира Малевича, 84</t>
  </si>
  <si>
    <t>Головний корпус Українського державного науково-дослідного інституту "Ресурс"</t>
  </si>
  <si>
    <t>Коренда Владислав Анатолійович</t>
  </si>
  <si>
    <t>СБ-0050</t>
  </si>
  <si>
    <t>м. Рівне, вул. Хвильового, 2</t>
  </si>
  <si>
    <t>"Територіальне медичне об’єднання Міністерства внутрішніх справ України по Рівненській області" Адміністративне приміщення №2</t>
  </si>
  <si>
    <t>Жидачівський район, м. Ходорів, вул. Шевченка, 165</t>
  </si>
  <si>
    <t>м. Ходорів</t>
  </si>
  <si>
    <t>Адміністративний корпус Державної організації «Комбінат «Троянда» Державного агентства резерву України</t>
  </si>
  <si>
    <t>м. Торецьк, вул. Маяковського, 5</t>
  </si>
  <si>
    <t>Міська стоматологічна поліклініка</t>
  </si>
  <si>
    <t>м. Острог, вул. Бельмаж, 109</t>
  </si>
  <si>
    <t>Оздоровчий комплекс. Комунальний заклад "Острозький психоневрологічний інтернат» Рівненської обласної ради"</t>
  </si>
  <si>
    <t>KPI-CE № 000016</t>
  </si>
  <si>
    <t>Адмінскладська будівля. Комунальний заклад «Острозький психоневрологічний інтернат» Рівненської обласної ради»</t>
  </si>
  <si>
    <t>Корпус №1 Комунального закладу «Острозький психоневрологічний інтернат» Рівненської обласної ради»</t>
  </si>
  <si>
    <t>Корпус №2 Комунального закладу «Острозький психоневрологічний інтернат» Рівненської обласної ради»</t>
  </si>
  <si>
    <t>Корпус №3 Комунального закладу «Острозький психоневрологічний інтернат» Рівненської обласної ради»</t>
  </si>
  <si>
    <t>Корпус №4 Комунального закладу «Острозький психоневрологічний інтернат» Рівненської обласної ради»</t>
  </si>
  <si>
    <t>м. Рівне, вул. М. Хвильового, 2А</t>
  </si>
  <si>
    <t>Державна установа «Територіальне медичне об’єднання Міністерства внутрішніх справ України по Рівненській області», будівля поліклініки</t>
  </si>
  <si>
    <t>м. Чернігів, вулиця С.Разіна,19</t>
  </si>
  <si>
    <t>м. Чернігів</t>
  </si>
  <si>
    <t>Чернігівський НДЕКЦ МВС України</t>
  </si>
  <si>
    <t>м. Львів, вулиця Дорошенка, будинок 70</t>
  </si>
  <si>
    <t>ВНКЗ ЛОР "ЛЬВІВСЬКИЙ ІНСТИТУТ МЕДСЕСТРИНСТВА ТА ЛАБОРАТОРНОЇ МЕДИЦИНИ ІМ. АНДРЕЯ КРУПИНСЬКОГО "</t>
  </si>
  <si>
    <t>м. Миколаїв, пров. Парусний, будинок 7А</t>
  </si>
  <si>
    <t>ОСББ "Парусний 7А"</t>
  </si>
  <si>
    <t>м. Рівне, вул. Княгині Ольги, 11</t>
  </si>
  <si>
    <t>Територіальне медичне об'єднання МВС України по Рівненській області, лікарня</t>
  </si>
  <si>
    <t>м. Кропивницький, проспект Інженерів, 2</t>
  </si>
  <si>
    <t>м. Кропивницький</t>
  </si>
  <si>
    <t>Кіровоградська</t>
  </si>
  <si>
    <t>Адміністративний корпус ДП "Кіровоградський КХП №2"</t>
  </si>
  <si>
    <t>м. Горохів, вул. Фещака, 4</t>
  </si>
  <si>
    <t>м. Горохів</t>
  </si>
  <si>
    <t>Горохівська ДПІ ГУ ДФС України у Волинській області</t>
  </si>
  <si>
    <t>смт. Іваничі, вул. Грушевського, 19</t>
  </si>
  <si>
    <t>смт. Іваничі</t>
  </si>
  <si>
    <t>Іваничівська ДПІ ГУ ДФС України у Волинській області</t>
  </si>
  <si>
    <t>м. Ковель, вул. Чубинського, 1</t>
  </si>
  <si>
    <t>м. Ковель</t>
  </si>
  <si>
    <t>Ковельська ДПІ ГУ ДФС України у Волинській області</t>
  </si>
  <si>
    <t>м. Подільськ, вул. Соборна, 239</t>
  </si>
  <si>
    <t>м. Подільськ</t>
  </si>
  <si>
    <t>Подільський міськрайонний центр зайнятості</t>
  </si>
  <si>
    <t>Везенков Петро Іванович</t>
  </si>
  <si>
    <t>ОРІ-АВ00007</t>
  </si>
  <si>
    <t>Луганська область, Новоайдарський район, смт Новоайдар, кв. Миру, 14А</t>
  </si>
  <si>
    <t>смт Новоайдар</t>
  </si>
  <si>
    <t>Дошкільний навчальний заклад «Сонечко»</t>
  </si>
  <si>
    <t>Луганська область, Новоайдарський район, смт Новоайдар, вул. Центральна, 274</t>
  </si>
  <si>
    <t>Дошкільний навчальний заклад «Суржанський»</t>
  </si>
  <si>
    <t>м. Дрогобич, вул. Трускавецька, 64</t>
  </si>
  <si>
    <t>м. Дрогобич</t>
  </si>
  <si>
    <t>Територіальний сервісний центр МВС №4642</t>
  </si>
  <si>
    <t>Регіональний сервісний центр МВС у Львівській області</t>
  </si>
  <si>
    <t>м. Львів, вул. Данила Апостола, 11</t>
  </si>
  <si>
    <t>Яворівський р-н, м. Новояворівськ, вул. Зелена, 2</t>
  </si>
  <si>
    <t>Територіальний сервісний центр МВС № 4647</t>
  </si>
  <si>
    <t>пр-т Президента Грушевського 21, м. Луцьк, Волинська область</t>
  </si>
  <si>
    <t>Комунальне підприємство «Волинська обласна клінічна лікарня» Терапевтичний корпус</t>
  </si>
  <si>
    <t>м. Черкаси, вул. Гоголя, 368</t>
  </si>
  <si>
    <t>м. Черкаси</t>
  </si>
  <si>
    <t>Черкаська</t>
  </si>
  <si>
    <t>Черкаська міська реабілітаційно-оздоровча поліклініка «Астра» Черкаської міської ради</t>
  </si>
  <si>
    <t>Пушкаренко Олег Олександрович</t>
  </si>
  <si>
    <t>ЕЕ 00020</t>
  </si>
  <si>
    <t>Полтавський район, с. Щербані, вул. Геннадія Біліченка, 27</t>
  </si>
  <si>
    <t>Державний навчальний заклад "Полтавський центр професійно-технічної освіти"</t>
  </si>
  <si>
    <t>м. Одеса, вул. Прохоровська,35.</t>
  </si>
  <si>
    <t>Криміналістичний центр МВС України</t>
  </si>
  <si>
    <t>Одеський науково-дослідний експертно-криміналістичний центр МВС України</t>
  </si>
  <si>
    <t>Решетилівський район, м. Решетилівка, вул. Покровська, 81</t>
  </si>
  <si>
    <t>м. Решетилівка</t>
  </si>
  <si>
    <t>Державний навчальний заклад "Решетилівський професійний аграрний ліцей імені І.Г. Боровенського" (Навчальний корпус №1)</t>
  </si>
  <si>
    <t>Рівненська обл., Здолбунівський р-н, с. Урвенна, вул. Замкова, 53А</t>
  </si>
  <si>
    <t>с. Урвенна</t>
  </si>
  <si>
    <t>Урвеннський психоневрологічний інтернат в Рівненській області, Корпус 1</t>
  </si>
  <si>
    <t>KPI-CE №000016</t>
  </si>
  <si>
    <t>Урвеннський психоневрологічний інтернат в Рівненській області, Корпус 3</t>
  </si>
  <si>
    <t>Урвеннський психоневрологічний інтернат в Рівненській області, Корпус 4</t>
  </si>
  <si>
    <t>Урвеннський психоневрологічний інтернат в Рівненській області, Корпус 5</t>
  </si>
  <si>
    <t>м. Бровари, вул. Сергія Москаленка</t>
  </si>
  <si>
    <t>Житловий будинок на 130 квартир</t>
  </si>
  <si>
    <t>Нове будівництво</t>
  </si>
  <si>
    <t>м.Полтава, просп. Першотравневий, 26</t>
  </si>
  <si>
    <t>Полтавська спеціалізована школа-інтернат №2 І-ІІІст. "Центр освіти та соціально-педагогічної підтримки" ім. Софії Русової (корпус дошкільного виховання)</t>
  </si>
  <si>
    <t>м. Полтава, вул. Ціолковського, 47</t>
  </si>
  <si>
    <t>Центр по нарахуванню та здійсненню соціальних виплат у Полтавській області</t>
  </si>
  <si>
    <t>м. Харків, просп. Московський, буд. 15</t>
  </si>
  <si>
    <t>Багатоквартирний будинок</t>
  </si>
  <si>
    <t>Романенко Сергій Вікторович</t>
  </si>
  <si>
    <t>ХР 000013</t>
  </si>
  <si>
    <t>Полтавська обл., Гадяцький р-н., с. Веприк, вул. Заводська, 4</t>
  </si>
  <si>
    <t>с. Веприк</t>
  </si>
  <si>
    <t>Веприцька туберкульозна обласна лікарня Полтавської обласної ради (корпус №1)</t>
  </si>
  <si>
    <t>Романець Олександр Павлович</t>
  </si>
  <si>
    <t>СБ-0030</t>
  </si>
  <si>
    <t>м. Харків, вул. Шевченко, 157</t>
  </si>
  <si>
    <t>Салон з продажу та обслуговування автомобілів Land Rover та Jaguar</t>
  </si>
  <si>
    <t>Дитюк Олексій Євгенович</t>
  </si>
  <si>
    <t>ТБ0010</t>
  </si>
  <si>
    <t>м. Ужгород, вул. Кошового, 4</t>
  </si>
  <si>
    <t>Територіальний сервісний центр №2141 регіонального сервісного центру МВС в Закарпатській області</t>
  </si>
  <si>
    <t>м. Київ, Оболонський р-н, проспект Степана Бандери, буд. 23, літера А</t>
  </si>
  <si>
    <t>Комплекс будівель та споруд з добудовою та розширенням для розміщення торговельних закладів, IV черга будівництва</t>
  </si>
  <si>
    <t>2019 (реконструкція)</t>
  </si>
  <si>
    <t>вул. Цвєтаєва 1д, с. Сичівка Лиманського району Одеської області</t>
  </si>
  <si>
    <t>с. Сичівка</t>
  </si>
  <si>
    <t>ЗОШ І-ІІІ ст.</t>
  </si>
  <si>
    <t>Не надані дані</t>
  </si>
  <si>
    <t>Борисенко Сергій Михайлович</t>
  </si>
  <si>
    <t>Дані не надано</t>
  </si>
  <si>
    <t>м. Лохвиця, вул. Героїв України, 49</t>
  </si>
  <si>
    <t>м. Лохвиця</t>
  </si>
  <si>
    <t>Навчальний корпус професійно-технічного училища №27</t>
  </si>
  <si>
    <t>Полтавська обл., м. Карлівка, вул. Радевича, 20</t>
  </si>
  <si>
    <t>ПТУ №50 (Корпус практичних занять)</t>
  </si>
  <si>
    <t>Полтавська область, Решетилівський район, м. Решетилівка, вул. Покровська, 59</t>
  </si>
  <si>
    <t>Решетилівський художній професійний ліцей (гуртожиток)</t>
  </si>
  <si>
    <t>Полтавська область, смт Нові Санжари, вул. Пролетарська, 33</t>
  </si>
  <si>
    <t>смт Нові Санжари</t>
  </si>
  <si>
    <t>Новосанжарський дитячий будинок-інтернат</t>
  </si>
  <si>
    <t>Полтавська область, м. Кобеляки, вул. Покровська, 52</t>
  </si>
  <si>
    <t>Державний професійно-технічний навчальний заклад "Професійний аграрний ліцей"</t>
  </si>
  <si>
    <t>Полтавська область, м. Миргород, вул. Козацька, 26</t>
  </si>
  <si>
    <t>Навчальний корпус
 професійно-технічного училища № 44</t>
  </si>
  <si>
    <t>м.Одеса, вул.Аеропортівська, 27/1</t>
  </si>
  <si>
    <t>ТСЦ №5142 РСЦ МВС в Одеській області літ."А"</t>
  </si>
  <si>
    <t>Регіональний сервісний центр МВС в Одеській області</t>
  </si>
  <si>
    <t>м.Одеса, вул.Академіка Корольова, буд.5</t>
  </si>
  <si>
    <t>ТСЦ №5142 РСЦ МВС в Одеській області літ."Б"</t>
  </si>
  <si>
    <t>с. Новий Білоус, масив "Зелений"№1</t>
  </si>
  <si>
    <t>с. Новий Білоус</t>
  </si>
  <si>
    <t>Лікувальний корпус №2 комунального некомерційного підприємства "Чернігівський обласний медичний центр соціально значущих небезпечних хвороб"</t>
  </si>
  <si>
    <t>Кравчук Олександр Сергійович</t>
  </si>
  <si>
    <t>АА000055</t>
  </si>
  <si>
    <t>Їдальня професійно-технічного училища №44</t>
  </si>
  <si>
    <t>м. Полтава, пров. Рибальський, 8</t>
  </si>
  <si>
    <t>Науково-длслідний експертно-криміналістичний центр МВС України</t>
  </si>
  <si>
    <t>відсутні дані</t>
  </si>
  <si>
    <t>Верба Олексій Євгенович</t>
  </si>
  <si>
    <t>ЕЕ010-12-18</t>
  </si>
  <si>
    <t>?</t>
  </si>
  <si>
    <t>вул. Князів Острозьких,112А, м. Житомир</t>
  </si>
  <si>
    <t>Навчальний центр підготовки поліцейських</t>
  </si>
  <si>
    <t>Полтавська обл., Гадяцький р-н., с. Веприк, вул. Васюти, 15</t>
  </si>
  <si>
    <t>Державний професійно-технічний навчальний заклад "Професійний аграрний ліцей" (Навчальний корпус)</t>
  </si>
  <si>
    <t>СБ 0025</t>
  </si>
  <si>
    <t>вул. Шевченка, 23, м. Полтава</t>
  </si>
  <si>
    <t>КП "Полтавська обласна клінічна лікарня ім. В.М.Скліфосовського Полтавської обласної ради</t>
  </si>
  <si>
    <t>м. Полтава, просп. Першотравневий, 26</t>
  </si>
  <si>
    <t>Полтавська спеціалізована школа-інтернат №2 І-ІІІ ступенів ім.Софії Русової Полтавської обласної ради</t>
  </si>
  <si>
    <t>Харківська обл., смт Пісочин, пров. Транспортний, 4А</t>
  </si>
  <si>
    <t>смт Пісочин</t>
  </si>
  <si>
    <t>Комунальне некомерційне підприємство Харківської районної ради "Центр первинної медичної допомоги № 2 Харківського району"</t>
  </si>
  <si>
    <t>Кожин Олексій Геннадійович</t>
  </si>
  <si>
    <t>ТБ0006</t>
  </si>
  <si>
    <t>Полтавська район, м. Кременчук, вул. Республіканська, 87</t>
  </si>
  <si>
    <t>Регіональний центр професійно-технічної освіти м.Кременчука(гуртожиток)</t>
  </si>
  <si>
    <t>Здолбунівський р-он, с. Урвенна, вул. Замкова, 53А</t>
  </si>
  <si>
    <t>«Урвеннський психоневрологічний інтернат» Рівненської обласної ради». Корпус №2 (з прибудовою)</t>
  </si>
  <si>
    <t>1842 (1988)</t>
  </si>
  <si>
    <t>м. Полтава, вул. Залізна, 17А</t>
  </si>
  <si>
    <t>КП "Полтавська обласна клінічна лікарня ім. М.В.Скліфосовського Полтавської обласної ради"(Перинатальний центр)</t>
  </si>
  <si>
    <t>м. Полтава, вул. Шевченка, 23</t>
  </si>
  <si>
    <t>КП "Полтавська обласна клінічна лікарня ім. М.В.Скліфосовського Полтавської обласної ради" (Терапевтичний корпус)</t>
  </si>
  <si>
    <t>м.Подільск., вул.Соборна, 202 б</t>
  </si>
  <si>
    <t>ТСЦ №5149 РСЦ МВС в Одеській області</t>
  </si>
  <si>
    <t>1995-1997</t>
  </si>
  <si>
    <t>м. Рівне, вул. Яворницького, 34</t>
  </si>
  <si>
    <t>Управління державної казначейської служби України у м. Рівному Рівненської області</t>
  </si>
  <si>
    <t>вул. Чернишевська,55, м. Харків</t>
  </si>
  <si>
    <t>Адміністрація Київського району Харківскої міської ради</t>
  </si>
  <si>
    <t>1975 (2018)</t>
  </si>
  <si>
    <t>Соматичний корпус</t>
  </si>
  <si>
    <t>Харківська обл., м. Первомайський вул. Кіндратьєва</t>
  </si>
  <si>
    <t>м. Первомайський</t>
  </si>
  <si>
    <t>Первомайська загальноосвітня школа І-ІІІ ступенів № 5</t>
  </si>
  <si>
    <t>Державний професійно-технічний навчальний заклад "Професійний аграрний ліцей" (Будівля навчально-виробнича)</t>
  </si>
  <si>
    <t>м. Львів, вулиця Дорошенка, 70</t>
  </si>
  <si>
    <t>ВНКЗ ЛОР «Львівський інститут медсестринства та лабораторної медицини ім. Андрея Крупинського" (корпус ІІ)</t>
  </si>
  <si>
    <t>Полтавська спеціалізована школаінтернат №2 І-ІІІ ступенів ім.Софії Русової Полтавської обласної ради</t>
  </si>
  <si>
    <t>м. Луцьк, пр-т Президента Грушевського, 21</t>
  </si>
  <si>
    <t>"Волинська обласна клінична лікарня".Хірургічний корпус</t>
  </si>
  <si>
    <t>м. Решетилівка, вул. Покровська, 81</t>
  </si>
  <si>
    <t>Решетилівський професійний аграрний ліцей імені І.Г.Боровенського</t>
  </si>
  <si>
    <t>м.Березівка, вул.Пушкінська, 27</t>
  </si>
  <si>
    <t>м. Березівка</t>
  </si>
  <si>
    <t>ТСЦ №5148 РСЦ МВС в Одеській області</t>
  </si>
  <si>
    <t>м.Роздільна, вул.Кишинівська, 2</t>
  </si>
  <si>
    <t>м. Роздільна</t>
  </si>
  <si>
    <t>ТСЦ №5146 РСЦ МВС в Одеській області</t>
  </si>
  <si>
    <t>107.4</t>
  </si>
  <si>
    <t>Полтавська область, Котелевський район, смт Котельва, вул. Покровська, 9</t>
  </si>
  <si>
    <t>смт Котельва</t>
  </si>
  <si>
    <t>Професійно-технічне училище № 54 (Лабораторний корпус)</t>
  </si>
  <si>
    <t>м. Миколаїв, вул. 1 Воєнна, 2А</t>
  </si>
  <si>
    <t>Миколаївський науково-дослідний експертно-криміналістичний центр МВС України</t>
  </si>
  <si>
    <t>ЕЕ00004</t>
  </si>
  <si>
    <t>Київська обл., м. Переяслав-Хмельницький, Новокиївське шосе, 2</t>
  </si>
  <si>
    <t>м. Переяслав-Хмельницький</t>
  </si>
  <si>
    <t>Переяслав-Хмельницька загальноосвітня школа І-ІІІ ступенів №4</t>
  </si>
  <si>
    <t>Полтавська обл., Решетилівський р-н., м. Решетилівка, вул. Покровська, 81</t>
  </si>
  <si>
    <t>гуртожиток Решетилівського професійного аграрного ліцею імені І.Г. Боровенського</t>
  </si>
  <si>
    <t>м. Кременчук, прос. Лесі Українки. 44.</t>
  </si>
  <si>
    <t>Регіональний центр професійно-технічної освіти №1.</t>
  </si>
  <si>
    <t>Одеська обл., м. Болград, пров. Лісний, 2</t>
  </si>
  <si>
    <t>м. Болград</t>
  </si>
  <si>
    <t>ТСЦ № 5151 РСЦ МВС в Одеській області</t>
  </si>
  <si>
    <t>Полтавська область, м. Горішні Плавні, вул. Строна, 21</t>
  </si>
  <si>
    <t>Вище професійне гірничо-будівельне училище (Суспільно-побутовий корпус)</t>
  </si>
  <si>
    <t>м. Миколаїв, вул. Олійника, 5</t>
  </si>
  <si>
    <t>ОСББ "Паркова-5М"</t>
  </si>
  <si>
    <t>м. Полтава, вул. Олеся Гончара, 12</t>
  </si>
  <si>
    <t>Полтавський обласний клінічний шкірно-венерологічний диспансер</t>
  </si>
  <si>
    <t>Полтавська обл., Зіньківський р-н., м. Зіньків, вул. Дроздівська, 107</t>
  </si>
  <si>
    <t>Гуртожиток № 1 Регіонального центру професійної технічної освіти м. Зіньків</t>
  </si>
  <si>
    <t>м. Нікополь, вул. Довгалівська, 10А</t>
  </si>
  <si>
    <t>м. Нікополь</t>
  </si>
  <si>
    <t>Територіальний сервісний центр МВС №1245</t>
  </si>
  <si>
    <t>Житомирська обл., с. Дениші, вул. Набережна, 2</t>
  </si>
  <si>
    <t>с. Дениші</t>
  </si>
  <si>
    <t>Будівля відділення відновного лікування ДУ «ТМО МВС України по Житомирській області»</t>
  </si>
  <si>
    <t>м. Житомир, вул. Професора Кравченка, 2</t>
  </si>
  <si>
    <t>Полтавська обл., Зіньківський р-н., м. Зіньків, вул. Погрібняка, 54</t>
  </si>
  <si>
    <t>Гуртожиток № 2 Регіонального центру
професійної технічної освіти м. Зіньків</t>
  </si>
  <si>
    <t>м. Харків, пров. 23 Серпня, 4</t>
  </si>
  <si>
    <t>Офісний центр</t>
  </si>
  <si>
    <t>Гелюх Віталій Вікторович</t>
  </si>
  <si>
    <t>м. Дубно, вул. Стара, 20</t>
  </si>
  <si>
    <t>м. Дубно</t>
  </si>
  <si>
    <t>Дубенська ЗОШ I-III ступенів №3 Дубенської міської ради</t>
  </si>
  <si>
    <t>смт. Клевань, вул. Богдана Хмельницького, 47</t>
  </si>
  <si>
    <t>Клеванська санаторна школа I-III степенів Рівненської обласної ради</t>
  </si>
  <si>
    <t>Не вказаний</t>
  </si>
  <si>
    <t>м. Горішні Плавні, вул. Строна, 21</t>
  </si>
  <si>
    <t>Вище професійне гірничо-будівельне училище (Блок навчальний майстерень)</t>
  </si>
  <si>
    <t>м. Львів, вул. І. Мечникова, 16</t>
  </si>
  <si>
    <t>Багатоквартирна житлова будівля для військовослужбовців Військової прокуратури Західного регіону України та членів їх сімей</t>
  </si>
  <si>
    <t>Чмир Богдан Іванович</t>
  </si>
  <si>
    <t>Вище професійне гірничо-будівельне училище (Блок теоретичних занять)</t>
  </si>
  <si>
    <t>м. Рівне, вул. Перший Промінь 7Б</t>
  </si>
  <si>
    <t>Кафе з офісними приміщеннями</t>
  </si>
  <si>
    <t>Гіроль Андрій Миколайович</t>
  </si>
  <si>
    <t>Будівля лікарні ДУ «ТМО МВС України по Житомирскій області»</t>
  </si>
  <si>
    <t>смт. Клевань, 
вул. Богдана Хмельницького, 47</t>
  </si>
  <si>
    <t>Клеванська санаторна школа I-III ступенів Рівненської обласної ради (Гуртожиток для хлопців)</t>
  </si>
  <si>
    <t>Не вказано</t>
  </si>
  <si>
    <t>Клеванська санаторна школа I-III ступенів Рівненської обласної ради (Гуртожиток для дівчат)</t>
  </si>
  <si>
    <t>Клеванська санаторна школа I-III ступенів Рівненської обласної ради (Ізолятор)</t>
  </si>
  <si>
    <t>м. Житомир, вул. В. Бердичівська, 46/15</t>
  </si>
  <si>
    <t>Житомирський медичний інститут</t>
  </si>
  <si>
    <t>Волинська обл., м. Луцьк, вул. Червоного Хреста, 10</t>
  </si>
  <si>
    <t>Волинський апеляційний суд</t>
  </si>
  <si>
    <t>Полтавська область, м. Миргород, вул. Козацька, 24А</t>
  </si>
  <si>
    <t>Гуртожиток професійно-технічного училища № 44</t>
  </si>
  <si>
    <t>Багатоквартирний житловий будинок</t>
  </si>
  <si>
    <t>нове будівництво</t>
  </si>
  <si>
    <t>вул. Вадима Пугачова,14, м. Кременчук</t>
  </si>
  <si>
    <t>Вище професійне училище №7. Корпус №2.</t>
  </si>
  <si>
    <t>просп. Лесі Українки. 44, м. Кременчук</t>
  </si>
  <si>
    <t>Регіональний центр професійно-технічної освіти №1. Учбовий корпус №4.</t>
  </si>
  <si>
    <t>вул. Шкільна, 12, с. Андріївка, Новосанжарський район</t>
  </si>
  <si>
    <t>с. Андріївка</t>
  </si>
  <si>
    <t>Загальноосвітня санаторна школа-інтернат І-ІІ ст.</t>
  </si>
  <si>
    <t>Регіональний центр професійно-технічної освіти №1. Учбовий корпус №2.</t>
  </si>
  <si>
    <t>вул. Тополина,6, м. Івано-Франківськ</t>
  </si>
  <si>
    <t>Івано-Франківський навчально-реабілітаційний центр. Спальний корпус.</t>
  </si>
  <si>
    <t>м. Київ, вул., Драгоманова, 14А</t>
  </si>
  <si>
    <t>ОСББ "Клен"</t>
  </si>
  <si>
    <t>м. Київ, вул., Лісківська, 12</t>
  </si>
  <si>
    <t>ОСББ "Лісківська 12"</t>
  </si>
  <si>
    <t>Полтавська обл., Хорольський р-н., м. Хорол, вул. Небесної Сотні, 38/1</t>
  </si>
  <si>
    <t>Гуртожиток міжрегіонального центру професійної перепідготовки звільнених у запас військовослужбовців</t>
  </si>
  <si>
    <t>м. Харків, пр.Людвига Свободи, буд. 28 А</t>
  </si>
  <si>
    <t>Магазин продовольчих та непродовольчих товарів за адресою: м. Харків, пр.Людвига Свободи, буд. 28 А</t>
  </si>
  <si>
    <t>Рівненська обл., Рівненський район, с. Олександрія, вул. Санаторна, 24</t>
  </si>
  <si>
    <t>с. Олександрія</t>
  </si>
  <si>
    <t>Клуб-їдальня Комунального закладу «Олександрійська спеціалізована мистецька школа-інтернат I-III ступенів»</t>
  </si>
  <si>
    <t>Рівненська обл., Рівненський район, с. Олександрія, вул. Санаторна, 16</t>
  </si>
  <si>
    <t>Загальноосвітня школа Комунального закладу «Олександрійська спеціалізована мистецька школа-інтернат I-III ступенів»</t>
  </si>
  <si>
    <t>Рівненська обл., Рівненський район, с. Олександрія, вул. Санаторна, 4</t>
  </si>
  <si>
    <t>Дитячий будинок сімейного типу Комунального закладу «Олександрійська спеціалізована мистецька школа-інтернат I-III ступенів»</t>
  </si>
  <si>
    <t>Рівненська обл., Рівненський район, с. Олександрія, вул. Санаторна, 26</t>
  </si>
  <si>
    <t>Адміністративний корпус Комунального закладу «Олександрійська спеціалізована мистецька школа-інтернат I-III ступенів»</t>
  </si>
  <si>
    <t xml:space="preserve">Полтавська обл., м. Лубни, вул., Інститутська, 3 </t>
  </si>
  <si>
    <t xml:space="preserve">Лубенський професійний ліцей, майстерня №2 </t>
  </si>
  <si>
    <t>Полтавська обл., м. Миргород, вул. Гоголя, б. 90</t>
  </si>
  <si>
    <t>Миргородська гімназія ім. Т.Г. Шевченка</t>
  </si>
  <si>
    <t>1934/1989</t>
  </si>
  <si>
    <t>Рівненська обл, Рівненський район, с. Олександрія, вул. Санаторна 22А</t>
  </si>
  <si>
    <t>Комунальний заклад «Олександрійська спеціалізована мистецька школа-інтернат I-III степенів» Рівненської обласної ради (Спальний корпус №2).</t>
  </si>
  <si>
    <t>Рівненська обл, Рівненський район, с. Олександрія, вул. Санаторна 22</t>
  </si>
  <si>
    <t>Комунальний заклад «Олександрійська спеціалізована мистецька школа-інтернат I-III степенів» Рівненської обласної ради (Спальний корпус №1).</t>
  </si>
  <si>
    <t>Рівненська обл, Рівненський район, с. Олександрія, вул. Санаторна 14</t>
  </si>
  <si>
    <t>Комунальний заклад «Олександрійська спеціалізована мистецька школа-інтернат I-III степенів» Рівненської обласної ради (Оздоровчий комплекс).</t>
  </si>
  <si>
    <t>Рівненська обл, Рівненський район, с. Олександрія, вул. Санаторна 4А</t>
  </si>
  <si>
    <t>Комунальний заклад «Олександрійська спеціалізована мистецька школа-інтернат I-III степенів» Рівненської обласної ради (Лікувально-профілактичний корпус).</t>
  </si>
  <si>
    <t>Полтавська обл. м. Кременчук, вул. Вадима Пугачова, 14</t>
  </si>
  <si>
    <t>Вище професійне училище №7 (Сіспільно-побутовий корпус)</t>
  </si>
  <si>
    <t>м. Івано-Франківськ, вул. Тополина, 6</t>
  </si>
  <si>
    <t>Івано-Франківський навчально-реабілітаційний центр. Навчальний корпус</t>
  </si>
  <si>
    <t>Волинська обл., м. Луцьк, вул. Івана Огієнка, 1</t>
  </si>
  <si>
    <t>ОСББ "ДІНАС"</t>
  </si>
  <si>
    <t>Логвинюк Сергій Анатолійович</t>
  </si>
  <si>
    <t xml:space="preserve">м. Івано-Франківськ, вул. Незалежності, 42 </t>
  </si>
  <si>
    <t>Івано-Франківський академічний обласний український музично-драматичний театр ім. Івана Франка</t>
  </si>
  <si>
    <t xml:space="preserve">Кіровоградська обл., м. Бобринець, вул. Миколаївська, 172 </t>
  </si>
  <si>
    <t>м. Бобринець</t>
  </si>
  <si>
    <t>Територіальний сервісний центр МВС №3543</t>
  </si>
  <si>
    <t>Регіональний сервісний центр МВС в Кіровоградській області</t>
  </si>
  <si>
    <t>Кіровоградська обл., м. Олександрія, проспект. Будівельників, 38</t>
  </si>
  <si>
    <t>м. Олександрія</t>
  </si>
  <si>
    <t>Територіальний сервісний центр МВС №3542</t>
  </si>
  <si>
    <t>Полтавська обл., м. Кременчук, вул. Республіканська, 87</t>
  </si>
  <si>
    <t>Регіональний центр професійно-технічної освіти №1 м. Кременчука</t>
  </si>
  <si>
    <t>Полтавська обл. с. Вишняки, вул. Шевченка, 100</t>
  </si>
  <si>
    <t>с. Вишняки</t>
  </si>
  <si>
    <t>Вишняківський будинок-інтернат для громадян похилого віку та інвалідів</t>
  </si>
  <si>
    <t>Полтавська обл. с. Щербані, вул. Геннадія Біліченка, 27</t>
  </si>
  <si>
    <t>Гуртожиток Державного навчального закладу "Полтавський центр професійно-технічної освіти"</t>
  </si>
  <si>
    <t xml:space="preserve">Львівська обл., м. Радехів, вул. Галицька, 1 </t>
  </si>
  <si>
    <t>м. Радехів</t>
  </si>
  <si>
    <t xml:space="preserve">Київська обл., Переяслав-Хмельницький р-н., с. Студенки, вул. Корзуна, 8 </t>
  </si>
  <si>
    <t>с. Студенки</t>
  </si>
  <si>
    <t>Дитячий навчальний заклад "Малятко"</t>
  </si>
  <si>
    <t>Київська обл., м. Ірпінь, вул. Соборна, 143</t>
  </si>
  <si>
    <t>м. Ірпінь</t>
  </si>
  <si>
    <t>Центр охорони здоров’я з комплексом багатофункціональних приміщень</t>
  </si>
  <si>
    <t>Київська обл., с. Святопетрівське, бульвар Лесі Українки, 22, 22а, 22б</t>
  </si>
  <si>
    <t>с. Святопетрівське</t>
  </si>
  <si>
    <t>Житловий будинок на 196 квартир</t>
  </si>
  <si>
    <t>Сумська обл., м. Глухів, вул. Ковпака, 4А</t>
  </si>
  <si>
    <t>м. Глухів</t>
  </si>
  <si>
    <t>Глухівський дошкільний навчальний заклад (центр розвитку дитини)
«Світлячок»</t>
  </si>
  <si>
    <t>Київська обл., м. Обухів, вул. Каштанова, 5</t>
  </si>
  <si>
    <t>м. Обухів</t>
  </si>
  <si>
    <t>дошкільний навчальний заклад (ясла-садок) комбінованого типу «Зірочка»</t>
  </si>
  <si>
    <t>дані не надано</t>
  </si>
  <si>
    <t>Черкаська обл., Золотоніський район, с. Нова Дмитрівка, вул. Центральна, 28</t>
  </si>
  <si>
    <t>с. Нова Дмитрівка</t>
  </si>
  <si>
    <t>Музика Тетяна Федорівна</t>
  </si>
  <si>
    <t>Чернігівська область, м. Прилуки, вул. Індустріальна, 6</t>
  </si>
  <si>
    <t>м. Прилуки</t>
  </si>
  <si>
    <t>Будівля ТСЦ №7442 РСЦ МВС в Чернігівській області</t>
  </si>
  <si>
    <t>Полтавська обл., 
с. Войниха, 
вул. Молодіжна, 7</t>
  </si>
  <si>
    <t>Гуртожиток професійно-
технічного училища № 53</t>
  </si>
  <si>
    <t>Львівська обл., м. Львів, вул. Короленка, 9</t>
  </si>
  <si>
    <t>КНП ЛОР "Львівський обласний центр репродуктивного здоров'я населення"</t>
  </si>
  <si>
    <t>Полтавська обл., с. Олефірівка, вул. Шевченка, 29</t>
  </si>
  <si>
    <t>Дитячий оздоровчий центр санаторного типу «Миргородський»  Полтавської обласної ради</t>
  </si>
  <si>
    <t>Київська обл., с. Святопетрівське, бульвар Лесі Українки, 24в, 26</t>
  </si>
  <si>
    <t>Житловий будинок на 144 квартири</t>
  </si>
  <si>
    <t>Київська обл., с. Святопетрівське, бульвар Лесі Українки, 24, 24а</t>
  </si>
  <si>
    <t>Житловий будинок на 57 квартир</t>
  </si>
  <si>
    <t>Київська обл., с. Святопетрівське, бульвар Лесі Українки 24б</t>
  </si>
  <si>
    <t>Житловий будинок на 44 квартири</t>
  </si>
  <si>
    <t>Полтавська обл., м. Миргород, вул. Сорочинська, 5</t>
  </si>
  <si>
    <t>Миргородська дитяча музична школа ім. А.П.Коломійця</t>
  </si>
  <si>
    <t>Сумська обл., м. Суми, вул. Ковпака, 30</t>
  </si>
  <si>
    <t>Комунальний заклад Сумської обласної ради «Сумський обласний кардіологічний диспансер», Лікувальний корпус</t>
  </si>
  <si>
    <t>Волинська обл., м. Луцьк, вул. Огнієнка, 1</t>
  </si>
  <si>
    <t>Багатоповерховий житловий будинок ОСББ «ДІНАС»</t>
  </si>
  <si>
    <t>Кіровоградська  обл., м. Кропивницький, проспект Інженерів, 9/92</t>
  </si>
  <si>
    <t>Територіальний сервісний центр МВС №3541</t>
  </si>
  <si>
    <t>Кіровоградська обл., м.Кропивницький, вул. Бутусова Юрія, буд.22</t>
  </si>
  <si>
    <t>1008.3</t>
  </si>
  <si>
    <t>139.8</t>
  </si>
  <si>
    <t>598.6</t>
  </si>
  <si>
    <t>174.6</t>
  </si>
  <si>
    <t>бульвар Московський, 29,                       м. Ромни</t>
  </si>
  <si>
    <t>м. Ромни</t>
  </si>
  <si>
    <t>Головний корпус КЗ Сумської РДА "Перша обласна спеціалізована лікарня"(1,2,3,4,7 відділення)</t>
  </si>
  <si>
    <t>вул. Вовни, 69, с. Хмелів</t>
  </si>
  <si>
    <t>с. Хмелів</t>
  </si>
  <si>
    <t>корпус КУСОР Хмелівського психоневрологічного інтернату</t>
  </si>
  <si>
    <t>Полтавська обл., м. Гадяч, вул. Полтавська, 88</t>
  </si>
  <si>
    <t>Гадяцьке вище професійне аграрне училище</t>
  </si>
  <si>
    <t>м. Львів, 
вул. Зелена, 204</t>
  </si>
  <si>
    <t>Будівництво багатоквартирного житлового будинку (будинок № 2 на генплані)</t>
  </si>
  <si>
    <t>Дімбровська Мар'яна Василівна</t>
  </si>
  <si>
    <t>Кіровоградська  обл., Маловисківський район, м. Мала Виска, вул. Мічуріна, 2</t>
  </si>
  <si>
    <t>м. Мала Виска</t>
  </si>
  <si>
    <t>Територіальний сервісний центр МВС №3544</t>
  </si>
  <si>
    <t>Волинська обл., м. Луцьк, вул. Рівненська, 25А</t>
  </si>
  <si>
    <t>Багатоповерховий будинок з вбудовано-прибудованими нежитловими приміщеннями (Секція №16)</t>
  </si>
  <si>
    <t>Волинська обл., м. Луцьк, просп. Президента Грушевського, 21</t>
  </si>
  <si>
    <t>Комунальне підприємство «Волинська обласна клінічна лікарня» Центр радіаційного захисту населення (Блок А)</t>
  </si>
  <si>
    <t>Черкаська обл., м. Золотоноша, вул. Благовіщенська, 9</t>
  </si>
  <si>
    <t>м. Золотоноша</t>
  </si>
  <si>
    <t>Відсутні дані</t>
  </si>
  <si>
    <t>м. Хмельницький, вул. Молодіжна, 12</t>
  </si>
  <si>
    <t>м. Хмельницький</t>
  </si>
  <si>
    <t>Хмельницька область</t>
  </si>
  <si>
    <t>Адміністративна будівля Хмельницького науково-дослідного експертно-креміналістичного центру МВС України</t>
  </si>
  <si>
    <t>Таланкін Борис Олегович</t>
  </si>
  <si>
    <t>321,,65</t>
  </si>
  <si>
    <t xml:space="preserve">Полтавська обл., м. Горішні Плавні, вул. Космонавтів, 10 </t>
  </si>
  <si>
    <t>Гуртожиток вищого професійного гірничо-будівельного училища</t>
  </si>
  <si>
    <t>Сумська обл., м. Ромни, бул. Московський, 29</t>
  </si>
  <si>
    <t>Комунальний заклад Сумської обласної ради «Перша обласна спеціалізована лікарня» (Будівля їдальні)</t>
  </si>
  <si>
    <t>Не вказана</t>
  </si>
  <si>
    <t>Львівська обл., м. Львів, вул. Залізнична, 7</t>
  </si>
  <si>
    <t>«Будівництво багатоквартирного житлового будинку №3 (блок секції 3.1, 3.2, 3.3) з вбудованими приміщеннями громадського призначення та даховою котельнею на вул. Залізничній, 7» (м. Львів)</t>
  </si>
  <si>
    <t>Львівська обл., Жовківський р-н., смт Куликів, вул., Винниченка, 1А</t>
  </si>
  <si>
    <t>смт Куликів</t>
  </si>
  <si>
    <t>Загальноосвітня школа I-III ступенів</t>
  </si>
  <si>
    <t>Лака Євген Іванович</t>
  </si>
  <si>
    <t>Адміністративна будівля комунального закладу Сумської обласної ради «Перша обласна спеціалізована лікарня»</t>
  </si>
  <si>
    <t xml:space="preserve">м. Київ, пров. Музейний, 12 </t>
  </si>
  <si>
    <t>Адміністративна будівля</t>
  </si>
  <si>
    <t>м. Київ, пров. Музейний, 10А</t>
  </si>
  <si>
    <t>вул. 22 Січня, с. Боршнів-Осада, Рожнятівський район</t>
  </si>
  <si>
    <t>с. Боршнів-Осада</t>
  </si>
  <si>
    <t>Спортивний комплекс</t>
  </si>
  <si>
    <t>Засідко Микола Михайлович</t>
  </si>
  <si>
    <t>м. Київ, вул. Драгоманова, 14</t>
  </si>
  <si>
    <t>Багатоквартирний житловий будинок ОСББ «Надія»</t>
  </si>
  <si>
    <t>м. Львів, просп. В. Чорновола, 43А</t>
  </si>
  <si>
    <t>Реконструкція з надбудовою адміністративної споруди</t>
  </si>
  <si>
    <t>м. Львів, вул. Солов'їна, 21, 21А</t>
  </si>
  <si>
    <t>Будівництво багатоквартирного житлового будинку з вбудованою підземною автостоянкою</t>
  </si>
  <si>
    <t>Cумська обл., м. Ромни, бул. Московський, 29</t>
  </si>
  <si>
    <t>Палатний корпус №4 комунального закладу Сумської обласної ради «Перша обласна спеціалізована лікарня»</t>
  </si>
  <si>
    <t>Сумська обл., м. Ромни, бульвар Московський, 29</t>
  </si>
  <si>
    <t>будівля палатного корпусу комунального закладу Сумської обласної ради «Перша обласна спеціалізована лікарня» (5; 6; 9; 12 відділення)</t>
  </si>
  <si>
    <t>1853, 1977</t>
  </si>
  <si>
    <t>Волинська обл., м. Луцьк, вул. Коперника, 62</t>
  </si>
  <si>
    <t>ОСББ «ТВК Україна»</t>
  </si>
  <si>
    <t>Комунальний заклад Сумської обласної ради «Перша обласна спеціалізована лікарня» (Господарський корпус)</t>
  </si>
  <si>
    <t>Комунальний заклад Сумської обласної ради «Перша обласна спеціалізована лікарня» (Будівля аптеки)</t>
  </si>
  <si>
    <t>Івано-Франківська обл., м. Коломия, вул. М. Драгоманова, 1</t>
  </si>
  <si>
    <t>м. Коломия</t>
  </si>
  <si>
    <t>Спортивний зал та майстерня Коломийського ліцею №9</t>
  </si>
  <si>
    <t>Комунальне підприємство «Волинська обласна клінічна лікарня» Центр радіаційного захисту населення (Блок Б)</t>
  </si>
  <si>
    <t>м .Черкаси, проспект Хіміків, 50/1</t>
  </si>
  <si>
    <t>КП «Спортивний комплекс «Будівельник» Черкаської міської ради»</t>
  </si>
  <si>
    <t>м. Харків, 
проспект Ландау, 52, буд. 3</t>
  </si>
  <si>
    <t>Багатоквартирний житловий будинок з вбудованими приміщеннями громадського призначення</t>
  </si>
  <si>
    <t>м. Харків, 
проспект Ландау, 52, буд. 4</t>
  </si>
  <si>
    <t>Диспансер (корпус №8) комунального закладу Сумської обласної ради «Перша обласна спеціалізована лікарня»</t>
  </si>
  <si>
    <t>Поліклініка (корпус №9) комунального закладу Сумської обласної ради «Перша обласна спеціалізована лікарня»</t>
  </si>
  <si>
    <t>Черкаська обл., м. Черкаси, вул. Хрещатик 168</t>
  </si>
  <si>
    <t>Адміністративна будівля в "Дитячому парку"</t>
  </si>
  <si>
    <t>Рівненська область, м. Березне, вул. Андріївська 63а.</t>
  </si>
  <si>
    <t>м. Березне</t>
  </si>
  <si>
    <t>Івано-Франківська обл., м. Івано-Франківськ, вул. Калуське шосе, 7</t>
  </si>
  <si>
    <t>Багатоквартирний житловий будинок №7 (по генплану) на вул. Калуське шосе поруч церки "Преображення господнього" (житлова будівля)</t>
  </si>
  <si>
    <t>Львівська обл., м.Моршин, вул. Івана Франка, 37а</t>
  </si>
  <si>
    <t>м.Моршин</t>
  </si>
  <si>
    <t>Апарт-готель</t>
  </si>
  <si>
    <t>Об’єкт будівництва</t>
  </si>
  <si>
    <t>Федунишин Іван Ярославович</t>
  </si>
  <si>
    <t>вул. Промислова, 8,                              м. Суми</t>
  </si>
  <si>
    <t>Адміністративна будівля Сумського НДЕКЦ МВС України</t>
  </si>
  <si>
    <t>Логвин Андрій Володимирович</t>
  </si>
  <si>
    <t>м. Івано-Франківськ, вул. Хіміків, 35А</t>
  </si>
  <si>
    <t>Сумська обл., м. Суми, вул. Білопільський шлях, 18/1</t>
  </si>
  <si>
    <t>м.Харків, вул. Професорська, 30, буд.1</t>
  </si>
  <si>
    <t>Богдан Світлана Володимирівна</t>
  </si>
  <si>
    <t xml:space="preserve">вул. Чернишевська , 55, м. Харків </t>
  </si>
  <si>
    <t>Полтавська обл., Кременчуцький р-н., с. Потоки, вул. Освітня,1</t>
  </si>
  <si>
    <t>с. Потоки</t>
  </si>
  <si>
    <t>Дитячий заклад оздоровлення та відпочинку "Ерудит" Кременчуцького педагогічного коледжу імені А.С. Макаренка</t>
  </si>
  <si>
    <t>м. Черкаси, вул. Лесі Українки, 21</t>
  </si>
  <si>
    <t>Регіональний сервісний центр МВС в Черкаській області</t>
  </si>
  <si>
    <t>Київська обл., Києво-Святошинський р-н., с. Святопетрівське, б-р Лесі Українки, 26В, 26Г, 26Д</t>
  </si>
  <si>
    <t>Житловий будинок на 92 квартири</t>
  </si>
  <si>
    <t>Київська обл., Києво-Святошинський р-н., с. Святопетрівське, б-р Лесі Українки, 26А, 26Б</t>
  </si>
  <si>
    <t>Житловий будинок на 60 квартир</t>
  </si>
  <si>
    <t>м. Харків, просп. Перемоги, 65Г</t>
  </si>
  <si>
    <t>Чернігівська обл., м. Чернігів, вул. 1 Травня, 172</t>
  </si>
  <si>
    <t>КНП "Пологовий будинок" Чернігівської міської ради</t>
  </si>
  <si>
    <t>1 та 5</t>
  </si>
  <si>
    <t>кВт.год/м3</t>
  </si>
  <si>
    <t>Сумська обл., м. Суми, вул. Троцька, 28</t>
  </si>
  <si>
    <t>КУ «Сумська міська дитяча клінічна лікарня Святої Зінаїди». Корпус А-2</t>
  </si>
  <si>
    <t>КУ «Сумська міська дитяча клінічна лікарня Святої Зінаїди». Корпус А-2 (реконструкція)</t>
  </si>
  <si>
    <t>Проект реконструкції</t>
  </si>
  <si>
    <t>Сумська обл., м. Ромни, вул. Полтавська, 4а</t>
  </si>
  <si>
    <t>адміністративна будівля</t>
  </si>
  <si>
    <t>Полтавська обл., м. Решетилівка, вул. Покровська, 81</t>
  </si>
  <si>
    <t>Державний навчальний заклад «Решетилівський професійний аграрний ліцей імені І.Г. Боровенського» (Гуртожиток №2)</t>
  </si>
  <si>
    <t>вул. Шкільна, 30, с. Нова Дофінівка,Лиманський район, Одеська область</t>
  </si>
  <si>
    <t>с. Нова Дофінівка</t>
  </si>
  <si>
    <t>Новодофінівська ЗОШ І-ІІ ст</t>
  </si>
  <si>
    <t xml:space="preserve">Київська обл., Переяслав-Хмельницький р-н, с. Переяславське, вул. Центральна, 43-А </t>
  </si>
  <si>
    <t>с. Переяславське</t>
  </si>
  <si>
    <t xml:space="preserve">Будівля Переяславського навчально-виховного об'єднання "Заклад загальної середньої освіти І-ІІ ступенів-заклад дошкільної освіти" </t>
  </si>
  <si>
    <t>Донецька область, смт Зарічне, вул. Центральна, 104</t>
  </si>
  <si>
    <t>смт. Зарічне</t>
  </si>
  <si>
    <t>Амбулаторія загальної практики сімейної медицини смт. Зарічне</t>
  </si>
  <si>
    <t>Донецька область, м. Лиман, вул. Незалежності, 64а</t>
  </si>
  <si>
    <t>КНП «ЦПМСД» Лиманської міської ради, м. Лиман</t>
  </si>
  <si>
    <t>Волинська область, с. Сарнівка, вул. Гагаріна, 6</t>
  </si>
  <si>
    <t>с. Сарнівка</t>
  </si>
  <si>
    <t>будинок культури</t>
  </si>
  <si>
    <t>Полтавська обл., м. Гадяч, вул. Волгоградська, 38</t>
  </si>
  <si>
    <t>Гуртожиток Гадяцького вищого професійного аграрного училища</t>
  </si>
  <si>
    <t>Волинська обл., м. Луцьк, вул. Сагайдачного, 20</t>
  </si>
  <si>
    <t>ОСББ «Сагайдачного 20»</t>
  </si>
  <si>
    <t>Полтавська обл., Полтавська р-н., м. Кременчук, вул. Троїцька, 103</t>
  </si>
  <si>
    <t>Полтавська обл. м. Полтава, вул. Лесі Українки, 4</t>
  </si>
  <si>
    <t>Житловий будинок в м. Полтава, вул. Лесі Українки, 4</t>
  </si>
  <si>
    <t xml:space="preserve">Мурза Сергій Олександрович </t>
  </si>
  <si>
    <t>Львівська обл., Пустомитівський район, с. Оброшине, вул. Шевченка, 3</t>
  </si>
  <si>
    <t>с. Оброшине</t>
  </si>
  <si>
    <t>Оброшинська загальноосвітня школа І-ІІІ ступенів ім. Л. Шанковського</t>
  </si>
  <si>
    <t>Хмельниціка обл., м. Хмельницький, вул. Західно-Окружна, 11/1</t>
  </si>
  <si>
    <t xml:space="preserve">Хмельницька </t>
  </si>
  <si>
    <t>Територіальний сервісний центр №6841</t>
  </si>
  <si>
    <t>м. Київ, вул. Сім’ї Хохлових, 5</t>
  </si>
  <si>
    <t>Адміністративна будівля, літера «Е». Прибудова до гаражу</t>
  </si>
  <si>
    <t>Яценко Олена Ігорівна</t>
  </si>
  <si>
    <t>Полтавська область, м. Решетилівка, вул. Покровська, 81</t>
  </si>
  <si>
    <t>Решетилівський професійний аграрний ліцей ім. І.Г. Боровенського (Навчальний корпус №3)</t>
  </si>
  <si>
    <t>Полтавська область, м. Гадяч, вул. Малобудищанська, 1/2</t>
  </si>
  <si>
    <t>Комунальна установа «Гадяцький обласний туберкульозний санаторій» Полтавської обласної ради</t>
  </si>
  <si>
    <t>вул.Індусріальна, 19а, м. Глухів</t>
  </si>
  <si>
    <t>Адмінстративна будівля</t>
  </si>
  <si>
    <t>вул. Кармелюка. 9, м. Золочів</t>
  </si>
  <si>
    <t>м. Золочів</t>
  </si>
  <si>
    <t>Житлова забудова (перша черга)</t>
  </si>
  <si>
    <t>вул.Рівненська, 25-П, м. Луцьк</t>
  </si>
  <si>
    <t xml:space="preserve">Багатоповерховий будинок з вбудовано-прибудованими нежитловими приміщеннями (Секція №15) </t>
  </si>
  <si>
    <t xml:space="preserve"> м. Южне, мікрорайон 1.2; 2 </t>
  </si>
  <si>
    <t>м. Южне</t>
  </si>
  <si>
    <t xml:space="preserve"> Будівництво багатоквартирного                                    житлового будинку №1Б</t>
  </si>
  <si>
    <t xml:space="preserve">  м. Черкаси, бул. Шевченка, 150</t>
  </si>
  <si>
    <t xml:space="preserve">   Житлова будівля </t>
  </si>
  <si>
    <t>вул. Медична, 17, м. Івано-Франківськ</t>
  </si>
  <si>
    <t xml:space="preserve"> Комунальний заклад "Прикарпатський клінічний онкологічний центр". Диспансерне відділення.</t>
  </si>
  <si>
    <t>Андрушков Олексій Вячеславович</t>
  </si>
  <si>
    <t>CБ-0065</t>
  </si>
  <si>
    <t>Львівська обл., м. Львів, вул. Дунайська,5</t>
  </si>
  <si>
    <t>Багатоповерховий житловий будинок ОСББ «Дунайська 5»</t>
  </si>
  <si>
    <t>м. Київ, вул. Бандери, 32</t>
  </si>
  <si>
    <t>Адміністративно-торгівельна та сервісно-побутова будівля під літерою М</t>
  </si>
  <si>
    <t>м. Київ, проспект Бандери, 32</t>
  </si>
  <si>
    <t>Адміністративна та сервісно-побутова будівля під літерою «Н»( реконструкція )</t>
  </si>
  <si>
    <t>Хмельницька обл., м. Шепетівка, вул. Шишукова, 13</t>
  </si>
  <si>
    <t>м. Шепетівка</t>
  </si>
  <si>
    <t>Хмельницька</t>
  </si>
  <si>
    <t>Територіальний сервісний центр МВС №6845</t>
  </si>
  <si>
    <t>немає даних</t>
  </si>
  <si>
    <t>м. Запоріжжя, вул. Незалежної України, 57</t>
  </si>
  <si>
    <t>Регіональний сервісний центр МВС в Запорізькій області</t>
  </si>
  <si>
    <t>Львівська обл., м. Львів, вул. Дунайська,1</t>
  </si>
  <si>
    <t>Багатоповерховий житловий будинок ОСББ «Дунайська 1»</t>
  </si>
  <si>
    <t>Львівська обл., м. Львів, вул. Дунайська,3</t>
  </si>
  <si>
    <t>Багатоповерховий житловий будинок ОСББ «Дунайська 3»</t>
  </si>
  <si>
    <t>м. Конотоп, вул. Червоної Калини, 3</t>
  </si>
  <si>
    <t>м. Конотоп</t>
  </si>
  <si>
    <t>Заклад Сумської обласної ради Конотопське медичне училище. Корпус 1.</t>
  </si>
  <si>
    <t>м. Конотоп, вул. Батуринська, 13</t>
  </si>
  <si>
    <t>Заклад Сумської обласної ради Конотопське медичне училище. Корпус 2.</t>
  </si>
  <si>
    <t>Одеська обл., с. Каїри, вул. Центральна, 12</t>
  </si>
  <si>
    <t>с. Каїри</t>
  </si>
  <si>
    <t>Навчально-виховний комплекс «Загальноосвітня школа І-ІІ ступенів – дошкільний навчальний заклад»</t>
  </si>
  <si>
    <t>Одеська обл., 
с. Дмитрівка, вул. Шкільна, 33А</t>
  </si>
  <si>
    <t>с. Дмитрівка</t>
  </si>
  <si>
    <t>Дмитрівський дитячий садок</t>
  </si>
  <si>
    <t>Дніпропетровська обл., м. Новомосковськ, вул. Спаська, 7</t>
  </si>
  <si>
    <t>м. Новомосковськ</t>
  </si>
  <si>
    <t>Територіальний сервісний центр МВС № 1246</t>
  </si>
  <si>
    <t>Сумська обл., 
м. Конотоп, вул. Вирівська, 21А</t>
  </si>
  <si>
    <t>Гуртожиток Конотопського медичного училища</t>
  </si>
  <si>
    <t>м. Івано-Франківськ, вул. Медична, 17</t>
  </si>
  <si>
    <t>Комунальний заклад "Прикарпатський клінічний онкологічний центр". Центральний корпус</t>
  </si>
  <si>
    <t>Одеська обл., Лиманський р-н., с. Дмитрівка, вул. Шкільна, 33А</t>
  </si>
  <si>
    <t>Дмитрівський навчально-виховний комплекс Загальноосвітня школа І - ІІ ступенів</t>
  </si>
  <si>
    <t>Київська обл., м. Сквира, вул. Соборна, 38</t>
  </si>
  <si>
    <t>м. Сквира</t>
  </si>
  <si>
    <t>Багатоквартирний житловий будинок ОСББ «Наша оселя-38»</t>
  </si>
  <si>
    <t>м. Київ, вул. Польова, 73</t>
  </si>
  <si>
    <t>вул. Чернишевського, 55, м. Харків</t>
  </si>
  <si>
    <t xml:space="preserve">м. Київ, Дніпровський р-н, вул. Євгена Сверстюка (колишня вул. Марини Раскової), 4   </t>
  </si>
  <si>
    <t xml:space="preserve">Житлова будівля з вбудованими нежитловими приміщеннями (ІІІ черга будівництва) </t>
  </si>
  <si>
    <t>18-25</t>
  </si>
  <si>
    <t xml:space="preserve">Будівля дитячого дошкільного навчального закладу  (ІІІ черга будівництва) </t>
  </si>
  <si>
    <t xml:space="preserve"> м. Кам`янське, вул. Глаголєва, буд. 25А  </t>
  </si>
  <si>
    <t>м. Кам"янське</t>
  </si>
  <si>
    <t xml:space="preserve">Заклад гуртової та роздрібної торгівлі (магазин продовольчих та непродовольчих товарів)  </t>
  </si>
  <si>
    <t>проект</t>
  </si>
  <si>
    <t>Свєтличний Юрій Станіславович</t>
  </si>
  <si>
    <t>ЕЕ 00022</t>
  </si>
  <si>
    <t>м. Хмельницький, вул.Зарічанська 7</t>
  </si>
  <si>
    <t>Учбова база УМВСУ України з адмінбудівлею</t>
  </si>
  <si>
    <t xml:space="preserve">Київська обл., смт Чабани, вул. Машинобудівників
</t>
  </si>
  <si>
    <t>смт. Чабани</t>
  </si>
  <si>
    <t>Житловий будинок на 198 квартир</t>
  </si>
  <si>
    <t xml:space="preserve">м. Полтава, 
вул. Ляхова, 10
</t>
  </si>
  <si>
    <t xml:space="preserve">Житловий будинок </t>
  </si>
  <si>
    <t>Мягкохліб Роман Сергійович</t>
  </si>
  <si>
    <t>Волинська обл., смт Ратне, вул. Центральна, 16</t>
  </si>
  <si>
    <t>смт. Ратне</t>
  </si>
  <si>
    <t>Магазин (нове будівництво незавершеного будівництва)</t>
  </si>
  <si>
    <t>Херсонська обл., м. Гола Пристань, вул. Ларіонова, 130</t>
  </si>
  <si>
    <t>м. Гола Пристань</t>
  </si>
  <si>
    <t>Дошкільний навчальний заклад комбінованого типу (ясла-садок) №2  «Посмішка»</t>
  </si>
  <si>
    <t>Херсонська обл., Горностаївський район, с. Ольгине, пров. Шкільний, 3</t>
  </si>
  <si>
    <t>с. Ольгине</t>
  </si>
  <si>
    <t>Будівля закладу повної загальної середньої освіти</t>
  </si>
  <si>
    <t>Львівська обл., м. Львів, вул. Пимоненка, 15А</t>
  </si>
  <si>
    <t>Багатоповерховий житловий будинок ОСББ "Радинець"</t>
  </si>
  <si>
    <t>Сумська обл., м.Суми вул.Інтернаціоналістів, буд.35</t>
  </si>
  <si>
    <t xml:space="preserve"> с. Кремидівка, Лиманської районної ради, Одеської області, вул. Центральна, 72</t>
  </si>
  <si>
    <t>с. Кремидівка</t>
  </si>
  <si>
    <t xml:space="preserve">Загальноосвітня школа І - ІІ ступенів (корпус А) </t>
  </si>
  <si>
    <t xml:space="preserve">Загальноосвітня школа І - ІІ ступенів (корпус Б) </t>
  </si>
  <si>
    <t xml:space="preserve">м. Дніпро, вул. Гідропаркова, 13 </t>
  </si>
  <si>
    <t>м.Дніпро</t>
  </si>
  <si>
    <t xml:space="preserve">10-поверхова житлова будівля з нежитловими приміщеннями на першому поверсі </t>
  </si>
  <si>
    <t>Кошеленко Євгеній Валерійович</t>
  </si>
  <si>
    <t>АА000054</t>
  </si>
  <si>
    <t xml:space="preserve"> с. Новичка, вул. Довженка, 5 </t>
  </si>
  <si>
    <t>с. Новичка,</t>
  </si>
  <si>
    <t xml:space="preserve"> Будинок житловий одноквартирний. 1110 </t>
  </si>
  <si>
    <t>Хомей Юрій Євгенович</t>
  </si>
  <si>
    <t>ОД 02071010/1002-18</t>
  </si>
  <si>
    <t xml:space="preserve">м. Полтава, просп.Першотравневий , 26 </t>
  </si>
  <si>
    <t>м.Полтава</t>
  </si>
  <si>
    <t>Спальний корпус для хлопчиків Полтавської спеціолізованої школиінтернат №2 І-ІІІ ст. ім. Софії Русової</t>
  </si>
  <si>
    <t>Полтавська обл., с. Розсошенці, вул. Горбанівська, 2</t>
  </si>
  <si>
    <t>с. Розсошенці</t>
  </si>
  <si>
    <t>Полтавське обласне КП "Полтавафарм" (адмінбудівля)</t>
  </si>
  <si>
    <t>Луганська обл., м. Сєвєродонецьк, пр-к. Центральний, 59-а</t>
  </si>
  <si>
    <t>Східноукраїнський національний університет ім. Володимира Даля (головний корпус)</t>
  </si>
  <si>
    <t>Петренко Наталія Борисівна</t>
  </si>
  <si>
    <t>Волинська обл., с. Хорохорин, вул. Шкільна, 2</t>
  </si>
  <si>
    <t>с. Хорохорин</t>
  </si>
  <si>
    <t>ЗОШ І-ІІІ ступенів с. Хорохорин, Луцького району, Волинської області</t>
  </si>
  <si>
    <t>Київська обл., Обухівський р-н., м. Українка, просп. Дніпровський, 21А</t>
  </si>
  <si>
    <t>м. Українка</t>
  </si>
  <si>
    <t>Житлова будівля, секція 1 ОСББ «Варіант»</t>
  </si>
  <si>
    <t>Житлова будівля, секції 2 і 3 ОСББ «Варіант»</t>
  </si>
  <si>
    <t>Тернопільска обл., смт. Козова, вул. Пушкіна, буд. 2Б</t>
  </si>
  <si>
    <t>смт. Козова</t>
  </si>
  <si>
    <t>Нагаченко Степан Іванович</t>
  </si>
  <si>
    <t>Дніпропетровська обл.,м. Кам’янське, вул. Ніколенка, буд. 6</t>
  </si>
  <si>
    <t>Відокремлена частина будівлі під заклад гуртової та роздрібної торгівлі</t>
  </si>
  <si>
    <t>Проект</t>
  </si>
  <si>
    <t>с. Біленьке, 
вул. 30-го грудня, 24</t>
  </si>
  <si>
    <t>с. Біленьке</t>
  </si>
  <si>
    <t>Комунальний заклад «Центр культури, дозвілля та спорту» Запорізького району Запорізької області</t>
  </si>
  <si>
    <t>м.Гола Пристань, вул.Берегова, б.74</t>
  </si>
  <si>
    <t>ТСЦ МВС № 6544</t>
  </si>
  <si>
    <t>н/в рек. 2019</t>
  </si>
  <si>
    <t>м. Херсон, вул. Вишнева, 22</t>
  </si>
  <si>
    <t>Регіональний сервісний центр МВС в Херсонській області</t>
  </si>
  <si>
    <t>н.д.</t>
  </si>
  <si>
    <t>смт.Велика Олександрівка, вул.Братська, №14-б</t>
  </si>
  <si>
    <t>смт.Велика Олександрівка</t>
  </si>
  <si>
    <t>ТСЦ МВС № 6542</t>
  </si>
  <si>
    <t>Волинська обл., Луцький район, с. Струмівка, вул. Рівненська 18б</t>
  </si>
  <si>
    <t>с. Струмівка</t>
  </si>
  <si>
    <t>Садово-городній центр</t>
  </si>
  <si>
    <t xml:space="preserve">Полтавська обл., Оржицький район, с. Лазірки, вул. Центральна, 30 </t>
  </si>
  <si>
    <t>Професійно-технічне училище № 46 (навчальний корпус№2)</t>
  </si>
  <si>
    <t>Полтавська обл., Оржицький район, с. Лазірки, вул. Центральна, 31</t>
  </si>
  <si>
    <t>Професійно-технічне училище № 46 (спортзал)</t>
  </si>
  <si>
    <t>Львівська обл., м. Трускавець, вул. Івасюка, 1</t>
  </si>
  <si>
    <t>м. Трускавець</t>
  </si>
  <si>
    <t>Багатоповерховий житловий будинок ОСББ «Центральне-2017»</t>
  </si>
  <si>
    <t>Львівська обл., м. Трускавець, вул. Івасюка, 15</t>
  </si>
  <si>
    <t>Багатоповерховий житловий будинок ОСББ «Молодіжне-15»</t>
  </si>
  <si>
    <t>Херсонська обл., Генічеський р-н., м. Генічеськ, вул. Відродження, буд. 170</t>
  </si>
  <si>
    <t>м. Генічеськ</t>
  </si>
  <si>
    <t>Територіальний сервісний центр МВС № 6543</t>
  </si>
  <si>
    <t>Дані не надані</t>
  </si>
  <si>
    <t>Полтавська обл., м. Миргород, вул. Гоголя, б. 12</t>
  </si>
  <si>
    <t>Дошкільний навчальний заклад (ДНЗ №5 "Сонечко")</t>
  </si>
  <si>
    <t>Івано-Франківська обл., Богородчанський район, с. Раковець, вул. Шевченка</t>
  </si>
  <si>
    <t>с. Раковець</t>
  </si>
  <si>
    <t>Загальноосвітня школа І-ІІ ступенів в с. Раковець, Богородчанського району Івано-Франківської області (1 черга)</t>
  </si>
  <si>
    <t xml:space="preserve"> м. Львів, вул. А. Лінкольна, 6-А, 2 </t>
  </si>
  <si>
    <t xml:space="preserve">Багатоквартирний житловий будинк №2 з вбудованими приміщеннями громадського  призначення та підземним паркінгом на вул. А. Лінкольна, 6-А </t>
  </si>
  <si>
    <t>с. Кадобна, вул. І.Франка, 151,Калуський район</t>
  </si>
  <si>
    <t>с. Кадобна</t>
  </si>
  <si>
    <t xml:space="preserve"> Кадобнянська гімназія </t>
  </si>
  <si>
    <t xml:space="preserve">село Біленьке, вулиця Шкільна, будинок 5 </t>
  </si>
  <si>
    <t>село Біленьке</t>
  </si>
  <si>
    <t xml:space="preserve">Біленьківська загальноосвітня школа І-ІІІ ступенів Запорізького району Запорізької області </t>
  </si>
  <si>
    <t>Дніпропетровська обл., м.Павлоград, вул. Дніпровська, №338</t>
  </si>
  <si>
    <t>м.Павлоград</t>
  </si>
  <si>
    <t>Будівля поліклініки</t>
  </si>
  <si>
    <t>м. Дніпро, провулок Січовий 8</t>
  </si>
  <si>
    <t>Центр превентивної медицини</t>
  </si>
  <si>
    <t>Дніпропетровська обл., с. Орлівщина, пров. Лісний, 11</t>
  </si>
  <si>
    <t>с. Орлівщина</t>
  </si>
  <si>
    <t>Будівля терапевтичного відділення лікарні (з поліклінікою)</t>
  </si>
  <si>
    <t>Дніпропетровська обл., м. Кам’янське, вул. Павловська, 97</t>
  </si>
  <si>
    <t>м. Кам'янське</t>
  </si>
  <si>
    <t>Будівля полікліники</t>
  </si>
  <si>
    <t>Немає даних</t>
  </si>
  <si>
    <t>Запорізька обл., м. Запоріжжя, проспект Інженера Преображенського, б. 17</t>
  </si>
  <si>
    <t>ОСББ "Запоріжсталь 19"</t>
  </si>
  <si>
    <t>Івано-Франківська обл., Рожнятівський район, смт Брошнів-Осада, вул. С.Бандери, 5</t>
  </si>
  <si>
    <t>смт Брошнів-Осада</t>
  </si>
  <si>
    <t>Брошнівський професійний лісопромисловий ліцей. Навчальні корпуси. Корпус А</t>
  </si>
  <si>
    <t>Львівська обл., Пустомитівський р-н., с. Зимна Вода, вул. Тичини, 2</t>
  </si>
  <si>
    <t>с. Зимна Вода</t>
  </si>
  <si>
    <t>Багатоквартирний житловий будинок з вбудованими нежитловими приміщеннями</t>
  </si>
  <si>
    <t>Зінковський Віталій Миронович</t>
  </si>
  <si>
    <t>Прикарпатський клінічний онкологічний центр, корпус № 2</t>
  </si>
  <si>
    <t>Онищенко Олександр Сергійович</t>
  </si>
  <si>
    <t xml:space="preserve">Івано-Франківська обл., м. Надвірна, вул. Руднєва, 24 </t>
  </si>
  <si>
    <t>м. Надвірна</t>
  </si>
  <si>
    <t>Надвірнянський будинок дитини. Корпус Б</t>
  </si>
  <si>
    <t>Надвірнянський будинок дитини. Корпус А</t>
  </si>
  <si>
    <t>Івано-Франківська обл., Рожнятівський р-н., смт Брошнів-Осада, вул. С. Бандери, 5</t>
  </si>
  <si>
    <t>Брошнівський професійний лісопромисловий ліцей. Навчальні корпуси. Спортзал</t>
  </si>
  <si>
    <t>селище  Каравелове, пров.Юності, №4/1 Вітовського  району</t>
  </si>
  <si>
    <t>селище Каравелове</t>
  </si>
  <si>
    <t>Будинок культури  з залом для глядачів на 175 місць</t>
  </si>
  <si>
    <t>Шарапов Юрій Миколайович</t>
  </si>
  <si>
    <t xml:space="preserve">Одеська обл., 
с. Крижанівка, пров. Руанський, 3
</t>
  </si>
  <si>
    <t>с. Крижанівка</t>
  </si>
  <si>
    <t>Житлова будівля</t>
  </si>
  <si>
    <t xml:space="preserve">м. Рівне,  вул. Директорії, 6
</t>
  </si>
  <si>
    <t xml:space="preserve">    с. Крижанівка, вул. Софіївська, 15</t>
  </si>
  <si>
    <t>м. Чортків,  вул. Євгена Коновальця, буд. 2</t>
  </si>
  <si>
    <t>ОСББ "Є.Коновальця № 2"</t>
  </si>
  <si>
    <t xml:space="preserve">м.Луцьк, вул. Арцеулова, 10  </t>
  </si>
  <si>
    <t xml:space="preserve"> Багатоквартирний житловий будинок </t>
  </si>
  <si>
    <t xml:space="preserve">м. Київ, Шевченківський р-н, вул. Чорновола, 28/1 </t>
  </si>
  <si>
    <t>Будівництво сучасного лікувально-діагностичного комплексу Національної дитячої спеціалізованої лікарні «ОХМАТДИТ» . Перший пусковий комплекс.</t>
  </si>
  <si>
    <t>2017, 2019</t>
  </si>
  <si>
    <t>1; 2; 8; 11</t>
  </si>
  <si>
    <t>Львівська обл., Бориславський р-н., смт Східниця, вул. Золота Баня, 7</t>
  </si>
  <si>
    <t>смт Східниця</t>
  </si>
  <si>
    <t>Реконструкція кафе під торговий центр по вул. Золота Баня, 7 у смт Східниця Львівської області</t>
  </si>
  <si>
    <t>м. Київ, вул. Лук’янівська, 62, літ. «А»</t>
  </si>
  <si>
    <t>Головний сервісний центр МВС України</t>
  </si>
  <si>
    <t>Львівська обл., м. Львів, вул. Малоголосківська</t>
  </si>
  <si>
    <t>Будівництво ТзОВ «Плюс Інвест Девелопмент» багатоквартирного житлового будинку (№1 на генплані) з вбудованими приміщеннями громадського призначення на вул. Малоголосківській у м. Львові</t>
  </si>
  <si>
    <t xml:space="preserve"> Пустомитівський р-н., с. Сокільники, вул. Весняна, 12</t>
  </si>
  <si>
    <t>с. Сокільники</t>
  </si>
  <si>
    <t>Будівництво багатоквартирного житлового будинку в кварталі житлової забудови по вул. Весняній, 12 в с. Сокільники Пустомитівського району Львівської області</t>
  </si>
  <si>
    <t xml:space="preserve"> місто Миколаїв, вулиця Чорноморська, 1а </t>
  </si>
  <si>
    <t xml:space="preserve">Перший корпус Миколаївської загальноосвітньої школи І-ІІІ ступенів № 60 </t>
  </si>
  <si>
    <t>1970; (2018)</t>
  </si>
  <si>
    <t>Парасочка Сергій Олексійович</t>
  </si>
  <si>
    <t xml:space="preserve"> с. Бутенки, вул. Зоріна, 7А</t>
  </si>
  <si>
    <t>с. Бутенки</t>
  </si>
  <si>
    <t>Територіальний сервісний центр МВС № 5346 в Полтавській області</t>
  </si>
  <si>
    <t>Регіональний сервісний центр МВС в Полтавській області</t>
  </si>
  <si>
    <t>м. Гадяч, вул. Героїв Майдану, буд. 75-В</t>
  </si>
  <si>
    <t>Територіальний сервісний центр МВС № 5345</t>
  </si>
  <si>
    <t>м. Чернігів, вул. Молодчого, 2</t>
  </si>
  <si>
    <t>Школа мистецтв при КВНЗ “Чернігівський музичний коледж ім. Л. М. Ревуцького“</t>
  </si>
  <si>
    <t>Денисова Вікторія Юріївна</t>
  </si>
  <si>
    <t>АА000071</t>
  </si>
  <si>
    <t xml:space="preserve"> м. Вінниця, вулиця Соборна, 6</t>
  </si>
  <si>
    <t>м. Вінниця</t>
  </si>
  <si>
    <t xml:space="preserve"> Вінницький апеляційний суд  </t>
  </si>
  <si>
    <t>Мазур Максим Сергійович</t>
  </si>
  <si>
    <t>ЕЕ 00004</t>
  </si>
  <si>
    <t>м. Моршин, вул. Лесі Українки,34</t>
  </si>
  <si>
    <t>м. Моршин</t>
  </si>
  <si>
    <t xml:space="preserve">ДНЗ №2 </t>
  </si>
  <si>
    <t>1970 (реконструкція)</t>
  </si>
  <si>
    <t>м.Дніпро, вул. Полігонна,16</t>
  </si>
  <si>
    <t>Адміністративна будівля лікарні-поліклініки</t>
  </si>
  <si>
    <t>дані не надані</t>
  </si>
  <si>
    <t>Вінницька обл., м. Вінниця, вул. Ботанічна, 24</t>
  </si>
  <si>
    <t>Адміністративна будівля Регіонального сервісного центр МВС України у Вінницькій області</t>
  </si>
  <si>
    <t>Кочан Михайло Валерійович</t>
  </si>
  <si>
    <t>Черкаська обл., м. Черкаси, вул. Академіка Корольова, 20/1</t>
  </si>
  <si>
    <t>Багатоповерховий житловий будинок (нове будівництво)</t>
  </si>
  <si>
    <t>Полтавська обл., с. Розсошенці, вул. Кременчуцька, 2В</t>
  </si>
  <si>
    <t>4-2-1</t>
  </si>
  <si>
    <t>Полтавська обл., м. Лубни, просп. Володимирський, 178 Б(А)</t>
  </si>
  <si>
    <t>Територіальний сервісний центр МВС №5343</t>
  </si>
  <si>
    <t xml:space="preserve">м. Полтава, 
бул. В.Боровиковського, 2/4
</t>
  </si>
  <si>
    <t>Семко Володимир Олександрович</t>
  </si>
  <si>
    <t>Волинська обл., Луцький р-н., с. Богушівка</t>
  </si>
  <si>
    <t>с. Богушівка</t>
  </si>
  <si>
    <t>Нове будівництво ресторанно-готельного відпочинкового комплексу</t>
  </si>
  <si>
    <t>Івано-Франківська обл., с. Крихівці, вул. 22 Січня, 166В</t>
  </si>
  <si>
    <t>с. Крихівці</t>
  </si>
  <si>
    <t>Поліклініка, Реконструкція нежитлових приміщень під центр первинної медичної допомоги</t>
  </si>
  <si>
    <t>Полтавська обл., м. Кременчук, проїзд сорокаріччя ДАІ, буд. 3</t>
  </si>
  <si>
    <t>Територіальний сервісний центр МВС № 5342 в Полтавській області</t>
  </si>
  <si>
    <t>Полтавська область, м. Миргород, вул. Миргородських дивізій, 14А</t>
  </si>
  <si>
    <t>Територіальний сервісний центр МВС № 5344</t>
  </si>
  <si>
    <t>Волинська обл., с. Липини, вул. Окружна, 32в</t>
  </si>
  <si>
    <t>с. Липини</t>
  </si>
  <si>
    <t>Адміністративно-складський корпус</t>
  </si>
  <si>
    <t>Одеська обл., с. Лиманка, № 16/1 масив «Радужний»</t>
  </si>
  <si>
    <t>с. Лиманка</t>
  </si>
  <si>
    <t>Фоломкіна Катерина Олександрівна</t>
  </si>
  <si>
    <t>13-15</t>
  </si>
  <si>
    <t>м. Львів, 
вул. Залізнична, 7</t>
  </si>
  <si>
    <t>Будівництво багатоквартирного житлового будинку №4 (блок секції 4.1, 4.2, 4.3)</t>
  </si>
  <si>
    <t>м. Львів, вул. Зелена, 273</t>
  </si>
  <si>
    <t>Будівництво багатоквартиного житлового будинку №5 на г.п. з підземною автостоянкою №9 на г.п. в житловому кварталі на вул. Зеленій, 273 в місті Львів</t>
  </si>
  <si>
    <t>Луганська обл.,  м. Сватове,вул. Дружби, 22</t>
  </si>
  <si>
    <t>м. Сватове</t>
  </si>
  <si>
    <t>Територіальний сервісний центр №4441</t>
  </si>
  <si>
    <t>Луганська обл., 
м. Старобільськ, вул. Старотаганрогська, 107А</t>
  </si>
  <si>
    <t>м. Старобільськ</t>
  </si>
  <si>
    <t>Територіальний сервісний центр №4443 РСЦ МВС в Луганській області</t>
  </si>
  <si>
    <t>Полтавська обл., Полтавський р-н., м. Кременчук, просп. Лесі Українки, 44</t>
  </si>
  <si>
    <t>Регіональний центр професійно-технічної освіти № 1                 м. Кременчука (учбовий корпус №3)</t>
  </si>
  <si>
    <t>Івано-Франківська обл., Рожнятівський р-н., смт Брошнів-Осада, вул. 22 Січня, 53</t>
  </si>
  <si>
    <t>Брошнів-Осадський Народний дім</t>
  </si>
  <si>
    <t>Львівська обл., 
м. Стрий, вул. Заньковецької, 80A</t>
  </si>
  <si>
    <t>м. Стрий</t>
  </si>
  <si>
    <t>Будівництво спортивно-дозвіллєвого комплексу до існуючого готелю (Готельний комплекс)</t>
  </si>
  <si>
    <t>Шимків Андрій Васильович</t>
  </si>
  <si>
    <t xml:space="preserve">м. Київ, просп. Правди, 41 </t>
  </si>
  <si>
    <t xml:space="preserve">Торгівельний центр "НОВУС" № 3.5 </t>
  </si>
  <si>
    <t>Вул. Гранітна, 1, с. Лиманка, Таїровьска селищна громада, Овідіопольський район, Одеська обл.</t>
  </si>
  <si>
    <t>Житловий комплекс "Адмірал"</t>
  </si>
  <si>
    <t>Герасименко Олександр Анатолійович</t>
  </si>
  <si>
    <t>ОД № 000003</t>
  </si>
  <si>
    <t xml:space="preserve">м. Харків, пров. Ващенківський ріг пров. Краснокутського </t>
  </si>
  <si>
    <t>Львівська обл., м. Львів, вул. Окуневського, 1</t>
  </si>
  <si>
    <t>Житлова багатоквартирна будівля</t>
  </si>
  <si>
    <t xml:space="preserve"> м. Долина, вул. Івасюка, 32а </t>
  </si>
  <si>
    <t xml:space="preserve">Будинок житловий одноквартирний. 1110 </t>
  </si>
  <si>
    <t xml:space="preserve">с. Гірка Полонка, вул. Горохівська, 63-б </t>
  </si>
  <si>
    <t>с. Гірка Полонка</t>
  </si>
  <si>
    <t xml:space="preserve">Клуб с. Гірка Полонка Луцького району Волинської області </t>
  </si>
  <si>
    <t>м. Вінниця, вул. Костянтина Василенка, 21,</t>
  </si>
  <si>
    <t>Будівля Головного управління ДФС у Вінницькій області</t>
  </si>
  <si>
    <t xml:space="preserve"> м. Дубляни, вул. В.Великого, 3</t>
  </si>
  <si>
    <t>м. Дубляни</t>
  </si>
  <si>
    <t xml:space="preserve">Багатоквартирний житловий будинок з вбудованими нежитловими приміщеннями та будівлями інженерного призначення </t>
  </si>
  <si>
    <t>Чернігівська обл., м. Чернігів, вул 1 Травня, 172</t>
  </si>
  <si>
    <t>1984 (реконструкція 2019)</t>
  </si>
  <si>
    <t>Черкасьса обл., м. Черкаси, вул. Хрещатик, 261</t>
  </si>
  <si>
    <t>Дошкільний навчальний заклад (ясла - садок) № 2 «Сонечко» Черкаської міської ради</t>
  </si>
  <si>
    <t>1962       (Проек капітального ремонту 2019)</t>
  </si>
  <si>
    <t xml:space="preserve">Тернопільська обл., м. Тернопіль, вул. Головацького </t>
  </si>
  <si>
    <t>м. Тернопіль</t>
  </si>
  <si>
    <t xml:space="preserve">Житлова багатоквартирна будівля </t>
  </si>
  <si>
    <t>Галабіцька Тетяна Валентинівна</t>
  </si>
  <si>
    <t>Львівська обл., 
м. Стебник, вул. Дрогобицька</t>
  </si>
  <si>
    <t>м. Стебник</t>
  </si>
  <si>
    <t>Кафе-бар та магазин промтоварів</t>
  </si>
  <si>
    <t>Івано-Франківська обл., м. Івано-Франківськ, вул. Медична, 17</t>
  </si>
  <si>
    <t>Івано-Францівська</t>
  </si>
  <si>
    <t>Прикарпатський клінічний онкологічний центр. Радіологічний корпус</t>
  </si>
  <si>
    <t xml:space="preserve">м. Тернопіль, вул. Микулинецька 116 </t>
  </si>
  <si>
    <t>с. Старий Крим в м. Маріуполь, вул. Центральна, 41а</t>
  </si>
  <si>
    <t>с. Старий Крим</t>
  </si>
  <si>
    <t>Маріупольська спеціалізована школа з поглибленим вивченням новогрецької мови                І-ІІІ ступенів СШ №46</t>
  </si>
  <si>
    <t>м. Харків, пр. Героїв Сталінграду, 165</t>
  </si>
  <si>
    <t>м. Харків, пр. Героїв Сталінграду, 163</t>
  </si>
  <si>
    <t>Багатоквартирний житловий будинок ОСББ "Сигнал"</t>
  </si>
  <si>
    <t>Волинська обл., Любомльський р-н, с. Забужжя, вул. Шкільна, 2</t>
  </si>
  <si>
    <t>с. Залужжя</t>
  </si>
  <si>
    <t>Забузький ліцей Рівненської сільської ради</t>
  </si>
  <si>
    <t xml:space="preserve">м.Луцьк, вул. Арцеулова, 10 </t>
  </si>
  <si>
    <t xml:space="preserve">Прибудовані торгово-офісні приміщення </t>
  </si>
  <si>
    <t xml:space="preserve">с. Мурафа, вул. Коцюбинського 28 </t>
  </si>
  <si>
    <t>с. Мурафа</t>
  </si>
  <si>
    <t xml:space="preserve">Дошкільний навчальний заклад </t>
  </si>
  <si>
    <t xml:space="preserve">Полтавська обл., м. Миргород, вул. Старосвітська, 20
</t>
  </si>
  <si>
    <t>вул. Центральна, 3а, с. Новомильськ Здолбунівського району</t>
  </si>
  <si>
    <t>с. Новомильськ</t>
  </si>
  <si>
    <t>Будівництво дошкільного навчального закладу в с. Новомильськ по вул. Центральній, 3а на території Копитківської с/ради Здолбунівського району.</t>
  </si>
  <si>
    <t>Іванюк Андрій Миколайович</t>
  </si>
  <si>
    <t>м. Івано-Франківськ, вул. Січових Стрільців, 28А</t>
  </si>
  <si>
    <t xml:space="preserve">Багатоквартирний житловий будинок з приміщеннями громадського призначення </t>
  </si>
  <si>
    <t>м. Луцьк, 
вул. Київський майдан, 6</t>
  </si>
  <si>
    <t>16-ти поверховий житловий будинок з вбудовано-прибудованими нежитловими приміщеннями, ОСББ «Наш дім»</t>
  </si>
  <si>
    <t>Зімич Олена Генадіївна</t>
  </si>
  <si>
    <t>322.4</t>
  </si>
  <si>
    <t>Івано-Франківська обл.,смт. Делятин, вул. 13 липня, 113в</t>
  </si>
  <si>
    <t>смт. Делятин</t>
  </si>
  <si>
    <t>Делятинський ліцей №2 Делятинської селищної ради об’єднаної територіальної громади. Корпус Б</t>
  </si>
  <si>
    <t>Делятинський ліцей №2 Делятинської селищної ради об’єднаної територіальної громади. Корпус А</t>
  </si>
  <si>
    <t>Луганська обл., м. Сєвєродонецьк, вул. Енергетиків, 15</t>
  </si>
  <si>
    <t>КДНЗ (ясла-садок) комбінованого типу №24 «Сніжинка»</t>
  </si>
  <si>
    <t>Львівська область, Самбірський р-н, с. Підгайчики, вул. Шевченка, 54</t>
  </si>
  <si>
    <t>с. Підгайчики</t>
  </si>
  <si>
    <t xml:space="preserve">Львівська </t>
  </si>
  <si>
    <t>Будівля навчального закладу, середня загальноосвітня школа  с. Підгайчики</t>
  </si>
  <si>
    <t>Магац Володимир Іванович</t>
  </si>
  <si>
    <t>м. Київ, вул. Беретті, б. 7</t>
  </si>
  <si>
    <t>Школа І-ІІІ ступенів №249 Деснянського району</t>
  </si>
  <si>
    <t>Волинська обл., Любомльський р-н, с. Рівне. Шкільна, 1</t>
  </si>
  <si>
    <t>с. Рівне</t>
  </si>
  <si>
    <t>Рівненський ліцей. Рівненської сільської ради</t>
  </si>
  <si>
    <t>Івано-Франківська обл., м. Івано-Франківськ, с. Микитинці, вул. Юності, буд. 11</t>
  </si>
  <si>
    <t>с. Микитинці</t>
  </si>
  <si>
    <t>Івано-Франківський коледж Львівського національного аграрного університету</t>
  </si>
  <si>
    <t>Івано-Франківська обл., м. Івано-Франківськ, с. Угорники, вул. Тополина, б. 24</t>
  </si>
  <si>
    <t>с. Угорники</t>
  </si>
  <si>
    <t>Гуртожиток</t>
  </si>
  <si>
    <t>м. Луцьк, 
вул. Винниченка, 11</t>
  </si>
  <si>
    <t>Головне управління національної поліції у Волинській області Адміністративний будинок №2</t>
  </si>
  <si>
    <t>м. Одеса, вул. Академика Корольова, будинок 69/1</t>
  </si>
  <si>
    <t>ОСББ "Корольова 69/1"</t>
  </si>
  <si>
    <t>Івано-Франківська обл., с. Мединя, вул. Чорновола, 104</t>
  </si>
  <si>
    <t>с. Мединя</t>
  </si>
  <si>
    <t>Івано-Франківський обласний центр соціальної реабілітації дітей</t>
  </si>
  <si>
    <t>Волинська обл., с. Гуща, вул. Центральна, 18</t>
  </si>
  <si>
    <t>с. Гуща</t>
  </si>
  <si>
    <t>Гущанський ліцей Рівненської сільської ради</t>
  </si>
  <si>
    <t>Волинська обл., м. Нововолинськ, вул. Сокальська, 1-а</t>
  </si>
  <si>
    <t>Нове будівництво промтоварного магазину у м. Нововолинську</t>
  </si>
  <si>
    <t xml:space="preserve">Хмельницька обл., м. Хмельницький, вул. Залізняка, 32 </t>
  </si>
  <si>
    <t xml:space="preserve">Навчально-виховний  комплекс, дошкільний навчальний заклад (І черга будівництва - ясла-садочок на 2015 місць). </t>
  </si>
  <si>
    <t>Незборецький Віктор Володимирович</t>
  </si>
  <si>
    <t xml:space="preserve">  м. Кам`янське, вул. Глаголєва, буд. 25А, вул. Глаголєва, буд. 25А</t>
  </si>
  <si>
    <t xml:space="preserve"> м. Кам`янське</t>
  </si>
  <si>
    <t xml:space="preserve">Заклад гуртової та роздрібної торгівлі (магазин продовольчих та непродовольчих товарів) </t>
  </si>
  <si>
    <t>проек</t>
  </si>
  <si>
    <t xml:space="preserve">м. Київ, вул. Лук’янівська, 62, Лит. «З» </t>
  </si>
  <si>
    <t xml:space="preserve"> Головний сервісний центр МВС України </t>
  </si>
  <si>
    <t xml:space="preserve"> м. Рівне, вул. Курчатова, №13а </t>
  </si>
  <si>
    <t xml:space="preserve">Гуртожиток, ОСББ «Мальва-Рівне» </t>
  </si>
  <si>
    <t>Довбенко Володимир Сергійович</t>
  </si>
  <si>
    <t>Рівненська обл., с. Олександрія, вул. Івана Франка, 1</t>
  </si>
  <si>
    <t>Будинок культури</t>
  </si>
  <si>
    <t>Рівненська обл., с. Вересневе, вул. Центральна, 5</t>
  </si>
  <si>
    <t>с. Вересневе</t>
  </si>
  <si>
    <t xml:space="preserve">Клуб </t>
  </si>
  <si>
    <t>м. Полтава , вул .Великотирнівська , буд. 29/2</t>
  </si>
  <si>
    <t>Будівля закладів охорони здоров’я, КП  «Центр первинної медико-санітарної допомоги №1 Полтавської  міської ради»</t>
  </si>
  <si>
    <t>Решетняков Віталій Іванович</t>
  </si>
  <si>
    <t>Харківська обл., м. Харків, провулок Лосівський, буд. 4-А</t>
  </si>
  <si>
    <t>Багатоквартирний житловий будинок.</t>
  </si>
  <si>
    <t>Івано-Франківська обл., Рожнятівський район, смт Брошнів-Осада, вул. Бандери, 5</t>
  </si>
  <si>
    <t>Брошнівський професійний лісопромисловий ліцей. Навчальні корпуси. Корпус Б</t>
  </si>
  <si>
    <t>м. Новий Розділ, вул. В. Стуса, 2а</t>
  </si>
  <si>
    <t>м. Новий Розділ</t>
  </si>
  <si>
    <t>м. Львів, 
вул. Білогорщі, 3-А</t>
  </si>
  <si>
    <t>Будівництво дитячого дошкільного навчального  закладу на вул. Білогорщі, 3-А зі знесенням існуючої нежитлової будівлі у м. Львові</t>
  </si>
  <si>
    <t>Козяр Андрій Іванович</t>
  </si>
  <si>
    <t>Львівська обл., Пустомитівський р-н, с. Давидів, вул. Галицька, 5.</t>
  </si>
  <si>
    <t>с. Давидів,</t>
  </si>
  <si>
    <t>Дошкільний навчальний заклад</t>
  </si>
  <si>
    <t xml:space="preserve"> Цукорник Сергій Володимирович</t>
  </si>
  <si>
    <t>Львівська обл., м. Соснівка, вул. Грушевського, б. 36</t>
  </si>
  <si>
    <t>м. Соснівка</t>
  </si>
  <si>
    <t>Комунальний заклад "Львівська обласна лікарня відновного лікування №3"</t>
  </si>
  <si>
    <t>Київська обл., м. Боярка, вул. Соборності, 53А</t>
  </si>
  <si>
    <t>м. Боярка</t>
  </si>
  <si>
    <t>Житлова багатоповерхова будівля, ОСББ «Зоряний-Боярка»</t>
  </si>
  <si>
    <t>Львівська обл., 
м. Винники, вул. Сухомлинського, 14 (Секція «В»)</t>
  </si>
  <si>
    <t>м. Винники</t>
  </si>
  <si>
    <t>Багатоквартирний житловий будинок із спорткомплексом</t>
  </si>
  <si>
    <t>Івано-Франківська обл., Рожнятівський район, смт Брошнів-Осада, вул. С. Галечки, 2</t>
  </si>
  <si>
    <t>Брошнівський професійний лісопромисловий ліцей. Гуртожиток А</t>
  </si>
  <si>
    <t>Брошнівський професійний лісопромисловий ліцей. Гуртожиток Б</t>
  </si>
  <si>
    <t>с. Сагунівка, вул. Жовтнева, 40/1</t>
  </si>
  <si>
    <t>с. Сагунівка</t>
  </si>
  <si>
    <t>Дитячий навчальний заклад «Пролісок»</t>
  </si>
  <si>
    <t>м. Львів, вул. Стрийська, 86</t>
  </si>
  <si>
    <t>Багатоповерховий житловий будинок з вбудованим підземним паркінгом та приміщеннями громадського призначення на вул. Стрийська, 86 у м. Львові</t>
  </si>
  <si>
    <t>11-14-17</t>
  </si>
  <si>
    <t>м. Львів, вул. Д. Вашингтона, 1</t>
  </si>
  <si>
    <t>Будівництво офісного комплексу з вбудованими приміщеннями громадського призначення, підземним паркінгом, даховою котельнею та трансформаторною підстанцією</t>
  </si>
  <si>
    <t>56.6</t>
  </si>
  <si>
    <t>Полтавська обл., м. Кременчук, вул. Київська, 14-А</t>
  </si>
  <si>
    <t>Будівництво багатоповерхового житлового будинку з вбудовано-прибудованими приміщеннями</t>
  </si>
  <si>
    <t>м. Вінниця, вул. Пирогова, 56</t>
  </si>
  <si>
    <t>Лабораторний корпус ВНМУ ім.М.І.Пирогова</t>
  </si>
  <si>
    <t>256.3</t>
  </si>
  <si>
    <t>м. Черкаси, вул Гоголя, 504</t>
  </si>
  <si>
    <t>Дошкільний навчальний заклад №77 м. Черкаси</t>
  </si>
  <si>
    <t>1979 (Проект капітального ремонту 2019)</t>
  </si>
  <si>
    <t xml:space="preserve">м. Вінниця, вул. Шимка, буд. </t>
  </si>
  <si>
    <t>Навчальний заклад. "Загальноосвітня школа І-ІІІ ступенів Вінницької міської ради"</t>
  </si>
  <si>
    <t>Івано-Франківська обл., Рожнятівський район, смт. Брошнів-Осада, вул. С. Галечко,2</t>
  </si>
  <si>
    <t>смт. Брошнів-Осада</t>
  </si>
  <si>
    <t>Брошнівський професійний лісопромисловий ліцей. Гуртожиток В</t>
  </si>
  <si>
    <t>Львівська обл., Яворівський район, м. Новояворівськ, вул. Вербицького, 9</t>
  </si>
  <si>
    <t>Будівництво багатоквартирного житлового будинку з вбудованими офісними приміщеннями по вул. М. Вербицького (буд. адреса №9) (мікрорайон ІІІ-А) у м. Новояворівськ, Яворівського р-ну., Львівської обл.</t>
  </si>
  <si>
    <t>Львівська обл.,  м. Львів, вул. Угорська, 14</t>
  </si>
  <si>
    <t>Будівництво багатоквартирного житлового будинку з вбудованими нежитловими приміщеннями, дошкільним закладом та підземним гаражем на вул. Угорській, 14</t>
  </si>
  <si>
    <t>Рівненська обл., смт. Володимирець, вул. Соборна, 49</t>
  </si>
  <si>
    <t>смт. Володимирець</t>
  </si>
  <si>
    <t>Адміністративна будівля регіонального сервісного центру МВС в Рівненській області</t>
  </si>
  <si>
    <t>м. Одеса, вул. Академіка Корольова, 69</t>
  </si>
  <si>
    <t>Багатоквартирний житловий будинок ОСББ «Корольова 69»</t>
  </si>
  <si>
    <t>м. Луцьк, вул. Винниченка, 11</t>
  </si>
  <si>
    <t xml:space="preserve">Головне управління національної поліції у Волинській області (Адміністративний будинок №1) </t>
  </si>
  <si>
    <t>Одеська область,        вул. Новоселів, 1 у      с. Калинівка, Лиманського району</t>
  </si>
  <si>
    <t>с. Калинівка, Лиманського району</t>
  </si>
  <si>
    <t xml:space="preserve">Одеська </t>
  </si>
  <si>
    <t>Калинівський НВК загальноосвітньої школи І – ІІ ступенів - ДНЗ</t>
  </si>
  <si>
    <t>Мусієнко Вікторія Євгенівна</t>
  </si>
  <si>
    <t xml:space="preserve">Одеська область,     вул. Шкільна, 3  у   с. Кордон, Лиманського району </t>
  </si>
  <si>
    <t>с. Кордон,  Лиманського району</t>
  </si>
  <si>
    <t>Кордонський НВК загальноосвітньої школи І – ІІ ступенів - ДНЗ</t>
  </si>
  <si>
    <t>Одеська область, пров. Шкільна, 1 у с. Крижанівка, Лиманського району</t>
  </si>
  <si>
    <t>с. Крижанівка, Лиманського району</t>
  </si>
  <si>
    <t xml:space="preserve"> Крижанівський НВК загальноосвітньої школи І – ІІІ ступенів - ліцей - ДН</t>
  </si>
  <si>
    <t>м. Київ, вул. Ревуцького, 48-б</t>
  </si>
  <si>
    <t>м. Київ, вул. Ревуцького, 48-а</t>
  </si>
  <si>
    <t>м. Запоріжжя, вул. Космічна, 7</t>
  </si>
  <si>
    <t>ОСББ "Заможність 2009"</t>
  </si>
  <si>
    <t>м. Житомир, вул. Чуднівське шосе, 1</t>
  </si>
  <si>
    <t>Комунальна установа «Обласний медичний центр вертебрології і реабілітації» Житомирської обласної ради</t>
  </si>
  <si>
    <t>Кравчук Михайло Якович</t>
  </si>
  <si>
    <t>м. Новий Буг, пл. Свободи, 1</t>
  </si>
  <si>
    <t>м. Новий Буг</t>
  </si>
  <si>
    <t>Територіальний сервісний центр МВС № 4845</t>
  </si>
  <si>
    <t>Регіональний сервісний центр МВС в Миколаївській області</t>
  </si>
  <si>
    <t xml:space="preserve"> м. Миколаїв, пров. Транспортний, 1А</t>
  </si>
  <si>
    <t>м.Вознесенськ,вул.Молодогвардійська,45</t>
  </si>
  <si>
    <t>ТСЦ МВС № 4844</t>
  </si>
  <si>
    <t xml:space="preserve">с. Великий Хутір, вул. Дорошенка, 126 </t>
  </si>
  <si>
    <t>с. Великий Хутір</t>
  </si>
  <si>
    <t xml:space="preserve">Великохутірська загальноосвітня школа I-III ступенів </t>
  </si>
  <si>
    <t>Харківська обл., Красноградський район, с. Наталине, вул. І. Сенченка, б. 82</t>
  </si>
  <si>
    <t>с. Наталине</t>
  </si>
  <si>
    <t>Адміністративна будівля, Наталинський центр послуг</t>
  </si>
  <si>
    <t>Корпич Денис Олександрович</t>
  </si>
  <si>
    <t>Сумська обл., м. Суми, вул. Куликівська, 98 буд.3</t>
  </si>
  <si>
    <t>Миколаївська обл., м. Нова Одеса, вул. Сеславинського, 12</t>
  </si>
  <si>
    <t>м. Нова Одеса</t>
  </si>
  <si>
    <t>Територіальний сервісний центр МВС №4843</t>
  </si>
  <si>
    <t>Рівненська обл., с. Ярославичі, вул. Шкільна, 30</t>
  </si>
  <si>
    <t>с. Ярославичі</t>
  </si>
  <si>
    <t>Загальноосвітня школа І-ІІІ ст</t>
  </si>
  <si>
    <t>м. Харків, вул. Маліновського, 7</t>
  </si>
  <si>
    <t xml:space="preserve">м.Вінниця, вул. Пирогова 56 </t>
  </si>
  <si>
    <t xml:space="preserve">Спортивний корпус ВНМУ ім.М.І.Пирогова </t>
  </si>
  <si>
    <t xml:space="preserve">м. Черкаси, вул. Смілянська, 44 </t>
  </si>
  <si>
    <t xml:space="preserve">Громадська будівля торгово-офісних приміщень  (добудова, нове будівництво) </t>
  </si>
  <si>
    <t>Миколаївська обл., м. Первомайськ, вул. Вознесенська, 73-б</t>
  </si>
  <si>
    <t>м. Первомайськ</t>
  </si>
  <si>
    <t>Територіальний сервісний центр МВС №4842</t>
  </si>
  <si>
    <t>м. Львів, вул. Навроцького, 31</t>
  </si>
  <si>
    <t>Будівництво ТзОВ «Новий люкс» житлового комплексу з вбудованими приміщеннями, автостоянкою та трансформаторною підстанцією</t>
  </si>
  <si>
    <t>Козак Христина Романівна</t>
  </si>
  <si>
    <t>1-3-6-7-9-10</t>
  </si>
  <si>
    <t>Львівська обл., м. Львів, вул. Величковського, 2</t>
  </si>
  <si>
    <t>Черкаська обл., м. Канів, вул. Шевченка, 83</t>
  </si>
  <si>
    <t>м. Канів</t>
  </si>
  <si>
    <t xml:space="preserve">Черкаська </t>
  </si>
  <si>
    <t xml:space="preserve">Загальноосвітня школа №6, Капітальний ремонт (термомодернізація) </t>
  </si>
  <si>
    <t>Очеретяний Дмитро Юрійович</t>
  </si>
  <si>
    <t>Черкаська обл., м. Канів, вул. Дніпробудівська, 4</t>
  </si>
  <si>
    <t>Дошкільний навчальний заклад №6 Капітальний ремонт (термомодернізація)</t>
  </si>
  <si>
    <t>KPI-CE №000005</t>
  </si>
  <si>
    <t>50.55</t>
  </si>
  <si>
    <t xml:space="preserve">Черкаська область, Черкаський район, с. Сагунівка,  вул. Шевченка, 26-а </t>
  </si>
  <si>
    <t xml:space="preserve">Навчальний заклад, Сагунівська загальноосвітня школа І-ІІІ ступенів, корпус №1 </t>
  </si>
  <si>
    <t xml:space="preserve">Навчальний заклад, Сагунівська загальноосвітня школа І-ІІІ ступенів, корпус №2 </t>
  </si>
  <si>
    <t>Рівненська область, м. Рівне, вул. Короленка, буд.7</t>
  </si>
  <si>
    <t>Громадська будівля адміністративного призначеня. "Будівництво адміністративного приміщення головного управління Пенсійного фонду України в Рівненській області (з урахуванням об'єкту незавершеного будівництва) за адресою: Рівненська область, м. Рівне, вул. Короленка, буд. 7"</t>
  </si>
  <si>
    <t xml:space="preserve">Херсонська обл., Горностаївський р-н, смт .Горностаївка, вул. Покровська, 141 </t>
  </si>
  <si>
    <t>смт.Горностаївка</t>
  </si>
  <si>
    <t>Будівля  закладу повної загальної середньої освіти  Ліцей №1</t>
  </si>
  <si>
    <t>м. Івано-Франківськ, вул. Калуське шосе 3, корп. 8</t>
  </si>
  <si>
    <t>Багатоквартирний житловий будинок №8 (по генплану) на вул. Калуське шосе поруч церкви «Преображення Господнього»</t>
  </si>
  <si>
    <t>Львівська обл., смт. Немирів, вул. Курортна, 25</t>
  </si>
  <si>
    <t>смт. Немирів</t>
  </si>
  <si>
    <t>Капітальний ремонт спального корпусу № 6 санаторію «Прикордонник-Немирів»</t>
  </si>
  <si>
    <t>Існуюча будівля</t>
  </si>
  <si>
    <t>м. Львів, вул. Некрасова, 6</t>
  </si>
  <si>
    <t>КНП ЛОР «Львівська обласна клінічна лікарня. Проктологічний корпус»</t>
  </si>
  <si>
    <t>ОСББ «Паркова-5М»</t>
  </si>
  <si>
    <t xml:space="preserve">м. Дубно, вул. Грушевського,182 </t>
  </si>
  <si>
    <t>Дубенська ЗОШ І-ІІІ ст. №6</t>
  </si>
  <si>
    <t>м.Тернопіль, вул. Яреми</t>
  </si>
  <si>
    <t>житлова багатоквартирна будівля</t>
  </si>
  <si>
    <t>м. Харків, вул. Льва Ландау, 27</t>
  </si>
  <si>
    <t>Миколаївська обл., Березанський район, території Ташинської сільської ради (за межами населених пунктів)</t>
  </si>
  <si>
    <t>с. Ташине</t>
  </si>
  <si>
    <t>Будівля адміністрації та експлуатації</t>
  </si>
  <si>
    <t>м. Черкаси, 
вул. Ложешнікова, 17</t>
  </si>
  <si>
    <t>Адміністративна будівля з вбудованими приміщеннями ветеринарно-консультаційного центру</t>
  </si>
  <si>
    <t>Запорізька обл., м. Токмак, вул. Володимирська, 25А</t>
  </si>
  <si>
    <t>м. Токмак</t>
  </si>
  <si>
    <t>Токмакський дошкільний навчальний заклад № 23 «Вербиченька» Токмакської міської ради</t>
  </si>
  <si>
    <t>Запорізька обл., м. Токмак, вул. Шевченка, 44</t>
  </si>
  <si>
    <t>Токмакський дошкільний навчальний заклад № 21 «Барвінок» Токмакської міської ради</t>
  </si>
  <si>
    <t>м. Рівне, 
вул. Коновальця, 2</t>
  </si>
  <si>
    <t>Багатоквартирний житловий будинок  з вбудовано-прибудованими приміщеннями громадського призначення</t>
  </si>
  <si>
    <t>Харківська обл., м. Харків, вул. Новгородська, буд. 11</t>
  </si>
  <si>
    <t>Громадська будівля, нежитлова будівля</t>
  </si>
  <si>
    <t>1983, 2019 (реконструкція)</t>
  </si>
  <si>
    <t>Запорізька обл., м. Запоріжжя, вул. Донецька б. 18</t>
  </si>
  <si>
    <t xml:space="preserve">Будівля закладу охорони здоров’я, комунальна установа "Запорізький дитячий будинок-інтернат" Запорізької обласної ради </t>
  </si>
  <si>
    <t>Сіюшев Євген Олександрович</t>
  </si>
  <si>
    <t>Одеська обл., Лиманський р-н., с. Фонтанка, вул.Центральна,55</t>
  </si>
  <si>
    <t>с. Фонтанка</t>
  </si>
  <si>
    <t>НВК загальноосвітньої школи І-ІІІ ст. - гімназія</t>
  </si>
  <si>
    <t>Донецька обл., с. Золотий Колодязь, вул. Патріотична, 25в</t>
  </si>
  <si>
    <t>с. Золотий Колодязь</t>
  </si>
  <si>
    <t>м. Черкаси, вул. Олександра Маломужа, 25</t>
  </si>
  <si>
    <t>Дошкільний навчальний заклад № 18</t>
  </si>
  <si>
    <t>Одеська обл.,  Лиманський р-н., с Олександрівка, вул. Одеська, 2</t>
  </si>
  <si>
    <t>с. Олександрівка</t>
  </si>
  <si>
    <t>Загальноосвітня школа І – ІІІ ступенів</t>
  </si>
  <si>
    <t xml:space="preserve">Полтавська обл.,        м. Лубни, вулиця Льва Толстого, 83 </t>
  </si>
  <si>
    <t xml:space="preserve">Багатоквартирний житловий будинок ОСББ «МАЛЬВА-83»  </t>
  </si>
  <si>
    <t>Чернігівська обл., м. Прилуки, вул. Боброва, 86</t>
  </si>
  <si>
    <t>ОСББ «Понад Удаєм»</t>
  </si>
  <si>
    <t>Кобець Вячеслав Ігорович</t>
  </si>
  <si>
    <t>Закарпатська обл., м. Хуст, вул. Львівська, 70</t>
  </si>
  <si>
    <t>Хустська загальноосвітня школа І-ІІІ ступенів № 5</t>
  </si>
  <si>
    <t>Закарпатська обл., м. Хуст, вул. Жайворонкова, 1А</t>
  </si>
  <si>
    <t>Дошкільний навчальний заклад № 3</t>
  </si>
  <si>
    <t xml:space="preserve"> Самбірський район, с.Бабина, вул.Шкільна,1.</t>
  </si>
  <si>
    <t>с. Бабина</t>
  </si>
  <si>
    <t>Будівля навчального закладу, середня загальноосвітня школа с. Бабина.</t>
  </si>
  <si>
    <t>2 і мансардний</t>
  </si>
  <si>
    <t>м.Дубровиця,вул.Комунальна,7а,7б</t>
  </si>
  <si>
    <t>м. Дубровиця</t>
  </si>
  <si>
    <t>Склад-магазин непродовольчих товарів з адміністративною будівлею</t>
  </si>
  <si>
    <t>м. Одеса, вул. Прохоровська, 35</t>
  </si>
  <si>
    <t xml:space="preserve">м. Київ, вул. Академіка Заболотного, 15 </t>
  </si>
  <si>
    <t>Будівництво житлового комплексу з вбудовано-прибудованими нежитловими приміщеннями та паркінгом на вул. Академіка Заболотного, 15 у Голосієвському районі м. Києва (І черга будівництва)</t>
  </si>
  <si>
    <t xml:space="preserve">м. Хуст,                      вул. Карпатської січі, 47, Закарпатська обл. </t>
  </si>
  <si>
    <t xml:space="preserve">Хустська спеціалізована школа І-ІІІ ступенів №6 (будівля навчальних закладів) </t>
  </si>
  <si>
    <t xml:space="preserve">м. Хуст,                    вул. Садова, 6, Закарпатська обл. </t>
  </si>
  <si>
    <t xml:space="preserve">НВК №1 (будівля дошкільних навчальних закладів) </t>
  </si>
  <si>
    <t>Існуюча будівля (відсутні дані року прийняття в експлуацію)</t>
  </si>
  <si>
    <t>м. Київ, бульвар Дружби Народів, 13 (літ.Б)</t>
  </si>
  <si>
    <t>Офісна будівля</t>
  </si>
  <si>
    <t>м. Чернівці, вул. Рівненська, 12-Б</t>
  </si>
  <si>
    <t>Будівництво багатоквартирного житлового будинку з вбудованими приміщеннями громадського обслуговування</t>
  </si>
  <si>
    <t>Паламарюк Віталій Іларійович</t>
  </si>
  <si>
    <t xml:space="preserve">м. Рівне, вул. Драгоманова, 20
</t>
  </si>
  <si>
    <t>Рівненська обласна філармонія</t>
  </si>
  <si>
    <t>Чернігівська обл., м. Ніжин, вул. Незалежності, 30</t>
  </si>
  <si>
    <t>ОСББ «Добробут»</t>
  </si>
  <si>
    <t>вул.Незалежності, 2, с.Четвертня, Маневицький район</t>
  </si>
  <si>
    <t>с. Четвертня</t>
  </si>
  <si>
    <t xml:space="preserve">Заклад загальної середньої освіти І – ІІІ ступенів </t>
  </si>
  <si>
    <t>1959 (реконструкція)</t>
  </si>
  <si>
    <t xml:space="preserve"> Рівненська  обл.,       м. Рівне, вул. Гетьмана Мазепи, 3 в </t>
  </si>
  <si>
    <t>Житомирська обл., Олевський р-н., с. Радовель, вул. Київська, 5</t>
  </si>
  <si>
    <t>с. Радовель</t>
  </si>
  <si>
    <t>Біотехнологічний ліцей «Радовель»</t>
  </si>
  <si>
    <t>м. Львів, вул. Професора П. Буйка, 27</t>
  </si>
  <si>
    <t>Житловий будинок з підземною автостоянкою, громадськими приміщеннями та вбудованою трансформаторною підстанцією (Будинок №1 за генпланом)</t>
  </si>
  <si>
    <t>м. Чернівці, 
вул. Рівненська, 12-Б (2а черга)</t>
  </si>
  <si>
    <t>Чернігівська обл. м. Ніжин, вул. Космонавтів, 90</t>
  </si>
  <si>
    <t>Трьох поверховий житловий будинок (Казарма 13/3)</t>
  </si>
  <si>
    <t>Приходько В’ячеслав Миколайович</t>
  </si>
  <si>
    <t>Трьох поверховий житловий будинок (Казарма 13/9)</t>
  </si>
  <si>
    <t xml:space="preserve"> с.Дубаневичі Городоцького району </t>
  </si>
  <si>
    <t>с.Дубаневичі</t>
  </si>
  <si>
    <t xml:space="preserve">Загальноосвітня школа I-II ступенів </t>
  </si>
  <si>
    <t>м. Івано-Франківськ, с. Крихівці, вул. Довженка, 21 (будинок №2)</t>
  </si>
  <si>
    <t>м. Івано-Франківськ, с. Крихівці</t>
  </si>
  <si>
    <t xml:space="preserve"> м. Буча, вул. Садова, 7-Б</t>
  </si>
  <si>
    <t xml:space="preserve"> Багатоповерховий житловий будинок ОСББ «Садова 7-Б» </t>
  </si>
  <si>
    <t>м. Івано-Франківськ, с. Крихівці, вул. Довженка, 21 (будинок №1)</t>
  </si>
  <si>
    <t xml:space="preserve"> м. Івано-Франківськ, с. Крихівці</t>
  </si>
  <si>
    <t>Багатоквартирний житловий будинок №1</t>
  </si>
  <si>
    <t xml:space="preserve"> вул. Цвєтаєва, 1д у с. Сичавка, Лиманського району, Одеської області </t>
  </si>
  <si>
    <t>с. Сичавка, Лиманського району</t>
  </si>
  <si>
    <t xml:space="preserve">Загальноосвітня школа І – ІІІ ступенів </t>
  </si>
  <si>
    <t>Україна, Одеська область, місто Одеса, вул. Бочарова, 21</t>
  </si>
  <si>
    <t>Багатоквартирний житловий будинок                                                                      ОСББ "ОБЕРЕГ-21"</t>
  </si>
  <si>
    <t>Філіппов Евген Геннадійович</t>
  </si>
  <si>
    <t>м. Київ, вул. Вадима Гетьмана, 46</t>
  </si>
  <si>
    <t>Багатоквартирний житловий будинок ОСББ «Караваєве»</t>
  </si>
  <si>
    <t>Жанталай Олександр Анатолійович</t>
  </si>
  <si>
    <t>м. Івано-Франківськ, вул. Пасічна, 7, 9/1, 9/2, 11, 15</t>
  </si>
  <si>
    <t>Багатоквартирний житловий будинок з приміщеннями громадського призначення на вул. Пасічній, 7, 9/1, 9/2, 11, 15 в м. Івано-Франківськ</t>
  </si>
  <si>
    <t>Одеська обл., Лиманський р-н., с. Новомиколаївка, вул. 8 Березня, 23</t>
  </si>
  <si>
    <t>с. Новомиколаївка</t>
  </si>
  <si>
    <t>Новомиколаївська загальноосвітня школа І – ІІ ступенів</t>
  </si>
  <si>
    <t xml:space="preserve">м. Харків, вул. Героїв Праці, 7
</t>
  </si>
  <si>
    <t>ТРЦ «Караван»</t>
  </si>
  <si>
    <t>м. Новий Розділ, вул. Бандери, 3а</t>
  </si>
  <si>
    <t>м.Мостиська, вул. Будзиновського, буд. 4</t>
  </si>
  <si>
    <t>м.Мостиська</t>
  </si>
  <si>
    <t>Мостиське ВП</t>
  </si>
  <si>
    <t xml:space="preserve"> м. Харків, вул. Москалівська, 106 </t>
  </si>
  <si>
    <t xml:space="preserve">АТБ-маркет </t>
  </si>
  <si>
    <t>2007 (реконструкція 2018)</t>
  </si>
  <si>
    <t>м. Харків, вул. Роганська, 100а</t>
  </si>
  <si>
    <t xml:space="preserve"> Магазин продовольчих та непродовольчих товарів</t>
  </si>
  <si>
    <t xml:space="preserve">м. Черкаси, вул. Верхня горова, 65, Черкаська область. </t>
  </si>
  <si>
    <t xml:space="preserve">Дошкільний навчальний заклад №50   </t>
  </si>
  <si>
    <t xml:space="preserve">1989 (Проект капітального ремонту 2019) </t>
  </si>
  <si>
    <t xml:space="preserve">    м. Івано-Франківськ, вул. Калуське шосе, 3, корп. 9</t>
  </si>
  <si>
    <t xml:space="preserve">Багатоквартирний житловий будинок №9 (по генплану) на  вул. Калуське шосе поруч церкви «Преображення Господнього»  (житлова будівля) </t>
  </si>
  <si>
    <t>2019           (нове будівництво)</t>
  </si>
  <si>
    <t>Львівська обл., м. Жовква, вул. С. Петлюри 11А, буд. № 2</t>
  </si>
  <si>
    <t>м. Жовква</t>
  </si>
  <si>
    <t>Зарицький Роман Васильович</t>
  </si>
  <si>
    <t>Львівська обл., м. Жовква, вул. Степана Бандери, 13</t>
  </si>
  <si>
    <t>Жовківське відділення поліції</t>
  </si>
  <si>
    <t>м. Миколаїв, вул. Шосейна, 5</t>
  </si>
  <si>
    <t>ОСББ «Єдність Миколаїв»</t>
  </si>
  <si>
    <t>Швець Олексій Євгенович</t>
  </si>
  <si>
    <t>м. Харків, вул. Героїв Праці, 6</t>
  </si>
  <si>
    <t>Заклад роздрібної торгівлі. АТБ-маркет № 108</t>
  </si>
  <si>
    <t>1976 (реконструкція 2019)</t>
  </si>
  <si>
    <t>Івано-Франківська обл., м. Тисмениця, вул. Липова, 17Б</t>
  </si>
  <si>
    <t>м. Тисмениця</t>
  </si>
  <si>
    <t>Багатоповерховий житловий будинок ОСББ «Файне»</t>
  </si>
  <si>
    <t>Солоджук Віктор Васильович</t>
  </si>
  <si>
    <t>вул. Болотна, 9, м. Камінь-Каширський</t>
  </si>
  <si>
    <t>м. Камінь - Каширський</t>
  </si>
  <si>
    <t xml:space="preserve">Магазин готового одягу </t>
  </si>
  <si>
    <t>Івано-Франківська обл., Галицький р-н, с. Мединя, вул. Чорновола, 104</t>
  </si>
  <si>
    <t>с. Мединя, Галицький р-н</t>
  </si>
  <si>
    <t>Громадська будівля. Міжрегіональний центр соціально-психологічної реабілітації дітей в Івано-Франківській області</t>
  </si>
  <si>
    <t>2 243</t>
  </si>
  <si>
    <t>Адміністративна будівля: Жовківське ВП</t>
  </si>
  <si>
    <t>м. Костопіль, вул. Хмизопільська, 21</t>
  </si>
  <si>
    <t>м. Костопіль</t>
  </si>
  <si>
    <t>Будівля дошкільного навчального закладу</t>
  </si>
  <si>
    <t xml:space="preserve">Нове будівництво </t>
  </si>
  <si>
    <t>м. Дубляни, вул. Володимира Великого, 5</t>
  </si>
  <si>
    <t>будівництво багатоквартирного житлового будинку з підземним паркінгом та нежитловими приміщеннями</t>
  </si>
  <si>
    <t>м. Рівне, вулиця академіка Степана Дем’янчука, буд. №8</t>
  </si>
  <si>
    <t>Житловий будинок. "Будівництво житлових будинків в кварталі малоповерхової житлової забудови по вулиці Данила Галицького в м. Рівне" (м. Рівне, вулиця академіка Степана Дем'янчука, буд. №8, згідно з технічним паспортом на будинок - інвентаризаційна справа № 1157).</t>
  </si>
  <si>
    <t>2019               (нове будівництво)</t>
  </si>
  <si>
    <t>АА000052</t>
  </si>
  <si>
    <t>м. Сєвєродонецьк, вул. Маяковського, 20-а</t>
  </si>
  <si>
    <t>Реконструкція 2019</t>
  </si>
  <si>
    <t>Львівська обл., м. Мостиська, вул. Будзиновського, буд. 6/1</t>
  </si>
  <si>
    <t>м. Мостиська</t>
  </si>
  <si>
    <t>Мостиське відділення поліції</t>
  </si>
  <si>
    <t>Львівська обл., м. Буськ, вул. Київська, 3</t>
  </si>
  <si>
    <t>м. Буськ</t>
  </si>
  <si>
    <t>Буське відділення поліції</t>
  </si>
  <si>
    <t>м. Чернігів, вул. Київська, 23</t>
  </si>
  <si>
    <t>Чернігівський окружний адміністративний суд</t>
  </si>
  <si>
    <t>Приходько В'ячеслав Миколайович</t>
  </si>
  <si>
    <t xml:space="preserve"> с.Синьковичі, вул. Клубна, 17 </t>
  </si>
  <si>
    <t>с.Синьковичі</t>
  </si>
  <si>
    <t xml:space="preserve">м. Дніпро, вул. Тверська 19 </t>
  </si>
  <si>
    <t xml:space="preserve">м. Дніпро </t>
  </si>
  <si>
    <t xml:space="preserve"> ОСББ "Тверська 19"</t>
  </si>
  <si>
    <t>1989, 1990</t>
  </si>
  <si>
    <t>Київська обл., м. Буча, вул. Антонія Михайловського,72Г,Е</t>
  </si>
  <si>
    <t>Житловий будинок на 31 квартиру</t>
  </si>
  <si>
    <t>м. Вінниця, пр. Коцюбинського, 6</t>
  </si>
  <si>
    <t>Навчально-кліничний корпус ВНМУ ім. М.І.Пирогова</t>
  </si>
  <si>
    <t>м. Дрогобич, вул. Стрийська, 22</t>
  </si>
  <si>
    <t>Ізолятор тимчасового тримання №2 ГУНП у Л/о Дрогобицького ВП ГУНП</t>
  </si>
  <si>
    <t>Рівненська обл., м. Рівне, вул. Коновальця, 17а</t>
  </si>
  <si>
    <t>Рівненська обл.</t>
  </si>
  <si>
    <t>Дитячо-юнацька спортивна школа №2</t>
  </si>
  <si>
    <t>Львівська обл., м. Турка, вул. Стуса, б. 14</t>
  </si>
  <si>
    <t>м. Турка</t>
  </si>
  <si>
    <t>Турківський відділ поліції Самбірського відділу поліції ГУНП у Львівській області</t>
  </si>
  <si>
    <t>Львівська обл., 
м. Яворів, вул. Івана Франка, 16</t>
  </si>
  <si>
    <t>м. Яворів</t>
  </si>
  <si>
    <t>Яворівський відділ поліції ГУНП у Львівській області</t>
  </si>
  <si>
    <t>Львівська обл., Жовківській р-н., м. Жовква, вул. Святої Трійці, 10</t>
  </si>
  <si>
    <t>Жовківське відділення Личаківської ОДПІ ГУ ДФС у Львівській області</t>
  </si>
  <si>
    <t>Головне управління ДФС у Львівській області</t>
  </si>
  <si>
    <t xml:space="preserve"> м. Львів, вул. Стрийська, 35</t>
  </si>
  <si>
    <t>м. Запоріжжя, вул. Хакаська, 1, прим. 1</t>
  </si>
  <si>
    <t xml:space="preserve">"Реконструкція нежитлових приміщень,(магазину) літ. А2 </t>
  </si>
  <si>
    <t>1980 (реконструкція 2019)</t>
  </si>
  <si>
    <t>Бережна Ірина Ігорівна</t>
  </si>
  <si>
    <t xml:space="preserve">Волинська обл., м. Горохів, вул. Луцька, 8 </t>
  </si>
  <si>
    <t>м .Горохів</t>
  </si>
  <si>
    <t xml:space="preserve"> 
Житлова будівля, багатоповерховий житловий будинок ОСББ "Луцька, 8" </t>
  </si>
  <si>
    <t xml:space="preserve">просп. Московський (між просп. Архітектора Альошина та просп. Індустріальним) в м. Харків, будинок 3 </t>
  </si>
  <si>
    <t xml:space="preserve">Багатоквартирний житловий будинок </t>
  </si>
  <si>
    <t>м. Харків, 
вул. Академіка Павлова, 158</t>
  </si>
  <si>
    <t>Багатоквартирний будинок з вбудованими нежитловими приміщеннями</t>
  </si>
  <si>
    <t>Пригорнєв Георгій Іванович</t>
  </si>
  <si>
    <t>м. Вінниця, проспект Коцюбинського, 22</t>
  </si>
  <si>
    <t>Будівництво торгового центру</t>
  </si>
  <si>
    <t>м. Львів, вул. Городоцька, 126</t>
  </si>
  <si>
    <t>Адміністративна будівля ГУНП у Львівській області</t>
  </si>
  <si>
    <t xml:space="preserve">  м. Черкаси, вул. Добровольського, 7</t>
  </si>
  <si>
    <t>Дошкільний навчальний заклад №13</t>
  </si>
  <si>
    <t>1960 (Проект капітальний ремонт 2019)</t>
  </si>
  <si>
    <t>м. Київ, вул. Красилівська, 5</t>
  </si>
  <si>
    <t>Офісні приміщення</t>
  </si>
  <si>
    <t>1982 (реконструкція 2019)</t>
  </si>
  <si>
    <t>м. Полтава, 
вул. 9-го травня, 36</t>
  </si>
  <si>
    <t>Дитячо-юнацька спортивна школа  «Олімпійські надії»</t>
  </si>
  <si>
    <t xml:space="preserve"> м. Горішні Плавні, вул. Космонавтів, 10 </t>
  </si>
  <si>
    <t>Вище професійне гірничо-будівельне училище</t>
  </si>
  <si>
    <t>м. Полтава, 
вул. Нечуя-Левицького, 21</t>
  </si>
  <si>
    <t>Житловий будинок ОСББ "Наш дім  - 21"</t>
  </si>
  <si>
    <t>5 та 9</t>
  </si>
  <si>
    <t>м. Полтава, вул. Шевченка, 10</t>
  </si>
  <si>
    <t>КП «Обласна клінічна лікарня відновного лікування та діагностики з обласними центрами планування сім’ї та репродукції людини, медичної генетики Полтавської обласної ради» (будівля поліклініки (А˅-3))</t>
  </si>
  <si>
    <t>м. Київ, вул. Польова, 38 (секція Г)</t>
  </si>
  <si>
    <t>Навчально-житловий комплекс</t>
  </si>
  <si>
    <t>м. Луцьк, вул. Гордіюк, 14Б</t>
  </si>
  <si>
    <t>Реконструкція адміністративної будівлі на вул. Гордіюк, 14Б в м. Луцьку</t>
  </si>
  <si>
    <t>1955 (реконструкція 2019)</t>
  </si>
  <si>
    <t>Кучер Віталій Миколайович</t>
  </si>
  <si>
    <t>м. Хмельнциький, вул. Кам`янецька,119</t>
  </si>
  <si>
    <t>м. Хмельнциький</t>
  </si>
  <si>
    <t>Загальноосвітня школа I-III ступення №18 ім.В.Чорновола</t>
  </si>
  <si>
    <t>1958 (реконструкція 2018</t>
  </si>
  <si>
    <t>Київська обл., м. Переяслав-Хмельницький, вул. Богдана Хмельницького, 70</t>
  </si>
  <si>
    <t>ОСББ  "Молодіжний Переяслав"</t>
  </si>
  <si>
    <t xml:space="preserve">м. Житомир, вул. Гоголівська, 21
</t>
  </si>
  <si>
    <t>ОСББ «Обрій 21»</t>
  </si>
  <si>
    <t>м. Хмельницький, вул. Лісогринівецька, 4/1</t>
  </si>
  <si>
    <t>Рівненська обл., Здолбунівський р-н., м. Здолбунів, вул. С. Бандери, 1</t>
  </si>
  <si>
    <t>м. Здолбунів</t>
  </si>
  <si>
    <t>«Здолбунівська центральна районна лікарня» Пологовий будинок</t>
  </si>
  <si>
    <t>Тарнагурська Оксана Ярославівна</t>
  </si>
  <si>
    <t xml:space="preserve"> м. Южне, просп. Миру, 26 </t>
  </si>
  <si>
    <t xml:space="preserve"> ОСББ "Мирний". - 26" </t>
  </si>
  <si>
    <t>Біловодський район, смт. Біловодськ, вул. Козюменського, 18</t>
  </si>
  <si>
    <t>смт. Біловодськ</t>
  </si>
  <si>
    <t>Спортивний комплекс Біловодської селищної ради</t>
  </si>
  <si>
    <t>Львівська обл., м. Стрий, вул. Зелена, 23Т,Л</t>
  </si>
  <si>
    <t>Торговий комплекс</t>
  </si>
  <si>
    <t>м. Одеса, Приморський р-н, вул. Кузнечна, буд. 55-А</t>
  </si>
  <si>
    <t>Рівненська обл., м. Здолбунів, вул. С. Бандери, 1</t>
  </si>
  <si>
    <t>Здолбунівська центральна районна лікарня (Хірургічний корпус)</t>
  </si>
  <si>
    <t xml:space="preserve">м. Одеса, 
вул. Троїцька, 17
</t>
  </si>
  <si>
    <t>м Одеса</t>
  </si>
  <si>
    <t>ОСББ «Троїцька-17» (А)</t>
  </si>
  <si>
    <t>Керш Володимир Яковлевич</t>
  </si>
  <si>
    <t>ОСББ «Троїцька-17» (Б)</t>
  </si>
  <si>
    <t>Рівненська обл. Здолбунівський район м. Здолбунів вул. С.Бандери,1</t>
  </si>
  <si>
    <t>Заклад охорони здоров’я (громадська будівля) «Здолбунівська центральна районна лікарня» Терапевтичний корпус.</t>
  </si>
  <si>
    <t xml:space="preserve"> вул. Центральна, 23, с. Любохини, Старовижівський район, Волинська область.</t>
  </si>
  <si>
    <t>с. Любохини</t>
  </si>
  <si>
    <t xml:space="preserve">Загальноосвітня школа І – ІІІ ступенів на 198 учнів </t>
  </si>
  <si>
    <t>3; 2</t>
  </si>
  <si>
    <t>м. Харків, 
вул. Академіка Павлова, 130-б</t>
  </si>
  <si>
    <t>Заклад гуртової та роздрібної торгівлі</t>
  </si>
  <si>
    <t>Панченко Руслан Олександрович</t>
  </si>
  <si>
    <t>Волинська обл., Ковельський р-н., с. Сільце, вул. Стара, 3</t>
  </si>
  <si>
    <t>с. Сільце</t>
  </si>
  <si>
    <t>Загальноосвітня школа І – ІІ ст. с. Підліси – філія ООЗ «Велицької загальноосвітньої школи І-ІІІ ст. Велицької сільської ради Ковельського району Волинської області</t>
  </si>
  <si>
    <t>1965 (реконструкція)</t>
  </si>
  <si>
    <t>Тернопільська обл., м. Тернопіль, вул. Бенцаля, б. 7</t>
  </si>
  <si>
    <t>Багатоквартирний житловий будинок з вбудовано-прибудованими приміщеннями громадського призначення та творчими майстернями</t>
  </si>
  <si>
    <t>Матвієнко Євген Іванович</t>
  </si>
  <si>
    <t xml:space="preserve">м. Черкаси, вул. Байди Вишневецького, 68 </t>
  </si>
  <si>
    <t xml:space="preserve">Багатоповерховий житловий будинок із вбудовано-прибудованими приміщеннями (нове будівництво) </t>
  </si>
  <si>
    <t xml:space="preserve">        м. Івано-Франківськ, вул. Калуське шосе, 3, корп. 10 </t>
  </si>
  <si>
    <t xml:space="preserve">Багатоквартирний житловий будинок №10 по вул. Калуське шосе поруч церкви «Преображення Господнього» в м. ІваноФранківську </t>
  </si>
  <si>
    <t xml:space="preserve">        м. Івано-Франківськ, вул. Калуське шосе, 3, корп. 11</t>
  </si>
  <si>
    <t xml:space="preserve">Багатоквартирний житловий будинок №11 (1-2 секція) по вул. Калуське шосе поруч церкви «Преображення Господнього» в м. Івано-Франківську </t>
  </si>
  <si>
    <t>19,142,6</t>
  </si>
  <si>
    <t>м.Дніпро просп.Слобожанський 68</t>
  </si>
  <si>
    <t>Багатоквартирний житловий будинок ОСББ «Слобожанський 68-68а»</t>
  </si>
  <si>
    <t>м.Дніпро просп.Слобожанський 68а</t>
  </si>
  <si>
    <t>Рівненська обл., с. Нова Любомирка, вул. Садова, 18</t>
  </si>
  <si>
    <t>с. Нова Любомирка</t>
  </si>
  <si>
    <t>Новолюбомирський заклад дошкільної освіти</t>
  </si>
  <si>
    <t>Тимошенко Владислав Видимович</t>
  </si>
  <si>
    <t>Дрогобицьке МВ ГУМВС України у Львівській області</t>
  </si>
  <si>
    <t>місто Вінниця, вул. Хмельницьке шосе, 22</t>
  </si>
  <si>
    <t>Громадська будівля. Комунальний заклад. "Вінницький палац дітей та юнацтва Вінницької міської ради"</t>
  </si>
  <si>
    <t>4(5)</t>
  </si>
  <si>
    <t>м. Львів, вул. Городоцька, 124</t>
  </si>
  <si>
    <t>Адміністративна будівля ГУНП у Львівській обл.</t>
  </si>
  <si>
    <t xml:space="preserve">м.Київ, вул. Микільсько-Слобідською та Броварським проспектом у Дніпровському районі  </t>
  </si>
  <si>
    <t xml:space="preserve"> Багатоквартирний житловий будинок №1</t>
  </si>
  <si>
    <t xml:space="preserve">Київська обл., Білоцерківський район, м. Узин, вул. Івана Котляревського, 16-а </t>
  </si>
  <si>
    <t>м. Узин</t>
  </si>
  <si>
    <t xml:space="preserve">Громадська будівля, Адміністративна будівля Узинської міської ради </t>
  </si>
  <si>
    <t>Постоленко Андрій Михайлович</t>
  </si>
  <si>
    <t xml:space="preserve">м. Київ, вул. Академіка Туполєва, 19
</t>
  </si>
  <si>
    <t>ТСЦ №8041, ТСЦ №8042</t>
  </si>
  <si>
    <t>не визначено</t>
  </si>
  <si>
    <t>м.Харків, вул. Професорська, 30, буд.4</t>
  </si>
  <si>
    <t>м.Харків</t>
  </si>
  <si>
    <t>14; 16</t>
  </si>
  <si>
    <t>Рівненська обл., Володимирецький район, м. Вараш, м-н. Перемоги, б. 23/1</t>
  </si>
  <si>
    <t>м. Вараш</t>
  </si>
  <si>
    <t>КНП ВМР «Вараський ЦПМД» Стоматологічна поліклініка</t>
  </si>
  <si>
    <t>м. Вінниця, вул. Пирогова, 131</t>
  </si>
  <si>
    <t>Адмінбудівля №2 ПАТ «Вінницяобленерго»</t>
  </si>
  <si>
    <t>Сивик Степан Миколайович</t>
  </si>
  <si>
    <t>Львівська обл., м. Львів, вул. Щурата, б. 8</t>
  </si>
  <si>
    <t>Багатоповерховий житловий будинок</t>
  </si>
  <si>
    <t>будинок № 2 між вул. Микільсько-Слобідською та Броварським проспектом у Дніпровському районі м. Києва</t>
  </si>
  <si>
    <t>Львівська обл., м. Дрогобич, вул. Бориславська, 1</t>
  </si>
  <si>
    <t>Багатоповерховий житловий будинок ОСББ «Перлина»</t>
  </si>
  <si>
    <t>м. Луцьк, вул. Відродження, 55</t>
  </si>
  <si>
    <t>Нове будывництво</t>
  </si>
  <si>
    <t>м. Київ, вул. Кропивницького 1</t>
  </si>
  <si>
    <t>м.Черкаси, вул. Віталія Вєргая, 3</t>
  </si>
  <si>
    <t>м.Черкаси</t>
  </si>
  <si>
    <t>Чотириповерховий житловий будинок з вбудовано-прибудованими приміщеннями громадського призначення і мансардним поверхом (ІІ черга будівництва)</t>
  </si>
  <si>
    <t>4+1 мансардний</t>
  </si>
  <si>
    <t xml:space="preserve"> м. Пустомити, вул. Шевченка 1 </t>
  </si>
  <si>
    <t>м. Пустомити</t>
  </si>
  <si>
    <t xml:space="preserve">Пустомитівський ВП  ГУМВС України у Львівській області </t>
  </si>
  <si>
    <t xml:space="preserve"> вм. Харків, будинок 4, просп. Московський (між просп. Архітектора Альошина та просп. Індустріальним) </t>
  </si>
  <si>
    <t>12,362,6</t>
  </si>
  <si>
    <t>м. Переяслав-Хмельницький, вул. Новокиївське шоссе, 46</t>
  </si>
  <si>
    <t>Територіальний сервісний центр МВС в Україні №3248</t>
  </si>
  <si>
    <t>Морфологічний корпус ВНМУ ім. М.І.Пирогова</t>
  </si>
  <si>
    <t>м. Бровари, вул. Броварської Сотні, 4а</t>
  </si>
  <si>
    <t>Територіальний сервісний центр МВС України №3243</t>
  </si>
  <si>
    <t>не має даних</t>
  </si>
  <si>
    <t xml:space="preserve">Київська обл., Білоцерківський район, м. Узин, вул. Калинова, 52 </t>
  </si>
  <si>
    <t xml:space="preserve">Стаціонарне відділення комунального некомерційного підприємства “Узинської міської лікарні” Узинської міської ради </t>
  </si>
  <si>
    <t xml:space="preserve">с.Струмівка, Луцький район, Волинська область </t>
  </si>
  <si>
    <t>Нове будівництво багатоквартирних житлових будинків Багатоквартирний житловий будинок № 3  (Блок секції № 6, № 7)</t>
  </si>
  <si>
    <t xml:space="preserve">місто Київ, вул.Озерна, 18-А </t>
  </si>
  <si>
    <t xml:space="preserve">Управління праці та соціального захисту населення Оболонської районої в місті Києві державної адміністрації </t>
  </si>
  <si>
    <t>м. Вишгород, вул. Кургузова, 7А</t>
  </si>
  <si>
    <t>м. Вишгород</t>
  </si>
  <si>
    <t>Територіальний сервісний центр МВС України №3245</t>
  </si>
  <si>
    <t>Нове будівництво багатоквартирних житлових будинків Багатоквартирний житловий будинок № 1  (Блок секції № 1, № 2, №3)</t>
  </si>
  <si>
    <t>Київська обл. с. Баришівка, вул. Польова, 3</t>
  </si>
  <si>
    <t>с. Баришівка</t>
  </si>
  <si>
    <t>Територіальний сервісний центр МВС України №3241</t>
  </si>
  <si>
    <t>Львівська обл., м. Радехів, вул. Львівська, 9а</t>
  </si>
  <si>
    <t>Адміністративна будівля Радехівського ВП ГУНП у Львівській області</t>
  </si>
  <si>
    <t>Київська обл., Ставищенський р-н., с. Винарівка, вул. Лісова, 39</t>
  </si>
  <si>
    <t>с. Винарівка</t>
  </si>
  <si>
    <t>Територіальний сервісний центр МВС України № 3249</t>
  </si>
  <si>
    <t>м. Київ, б-р Тараса Шевченка, 26/4Б</t>
  </si>
  <si>
    <t>Медичний центр</t>
  </si>
  <si>
    <t>Волинська обл., Луцький р-н., с. Струмівка</t>
  </si>
  <si>
    <t>Нове будівництво багатоквартирних житлових будинків Багатоквартирний житловий будинок № 2 (Блок секції № 4, № 5)</t>
  </si>
  <si>
    <t>Одеська обл., м. Теплодар, вул. Польова, б. 248</t>
  </si>
  <si>
    <t>м. Теплодар</t>
  </si>
  <si>
    <t>Проект реконструкції житлової будівлі</t>
  </si>
  <si>
    <t>м. Київ, 
Оболонська набережна, 33</t>
  </si>
  <si>
    <t>Реконструкція житлового будинку під адміністративно-побутову будівлю</t>
  </si>
  <si>
    <t>Івано-Франківська обл., м. Галич, вул. Осмомисла, 7</t>
  </si>
  <si>
    <t>м. Галич</t>
  </si>
  <si>
    <t>Пологовий будинок</t>
  </si>
  <si>
    <t>м. Рівне, вул. Шевченка, 3</t>
  </si>
  <si>
    <t>Будинок побуту</t>
  </si>
  <si>
    <t>1987 (реконструкція 2019)</t>
  </si>
  <si>
    <t>Львівська обл., м. Кам’янка-Бузька, вул. Незалежності, б. 22</t>
  </si>
  <si>
    <t>м. Кам’янка-Бузька</t>
  </si>
  <si>
    <t>Адміністративна будівля Кам’янка-Бузького ВП ГУНП у Львівській області</t>
  </si>
  <si>
    <t>Одеська обл., м. Одеса, вул. Черняховського, б. 11</t>
  </si>
  <si>
    <t>Житлова багатоповерхова будівля, ОСББ «Черняховського 11»</t>
  </si>
  <si>
    <t xml:space="preserve">м. Миргород, вул. Лікарняна, 1В, Полтавська обл. </t>
  </si>
  <si>
    <t xml:space="preserve">Заклад охорони здоров’я (Дитячий лікувальний корпус Миргородської центральної районної лікарні) </t>
  </si>
  <si>
    <t xml:space="preserve">1985 (2019 Проект капітальний ремонт) </t>
  </si>
  <si>
    <t>Волинська обл., м. Горохів, вул. Львівська, 7</t>
  </si>
  <si>
    <t>багатоповерховий житловий будинок ОСББ «Наш дім – Львівська, 7»</t>
  </si>
  <si>
    <t>Івано-Франківська обл., Тисменицький р-н, с.Черніїв, вул.Стасюка, 1</t>
  </si>
  <si>
    <t>с.Черніїв</t>
  </si>
  <si>
    <t>Будівля дитячого дошкільного закладу</t>
  </si>
  <si>
    <t>Паливода Володимир Степанович</t>
  </si>
  <si>
    <t xml:space="preserve">м. Одеса, 
вул. Отрадна, 15
</t>
  </si>
  <si>
    <t>12-ті поверховий житловий будинок</t>
  </si>
  <si>
    <t>Афанасьєв Борис Анатолійович</t>
  </si>
  <si>
    <t>м. Хмельницький, вул. Вінницька, 1/3</t>
  </si>
  <si>
    <t>Будівництво багатоквартирного житлового будинку</t>
  </si>
  <si>
    <t>Кудла Андрій Олегович</t>
  </si>
  <si>
    <t>Одеська обл., м. Южне, проспект Григорівського десанту, 24-А</t>
  </si>
  <si>
    <t>Южненський навчально-виховний комплекс ім. В’ячеслава Чорновола (гімназія-загальноосвітня школа І ступеня)</t>
  </si>
  <si>
    <t>Бондарь Валерій Іванович</t>
  </si>
  <si>
    <t>Львівська обл., м. Стрий, вул. Івасюка, б. 16а</t>
  </si>
  <si>
    <t>Галабіцька Тетяна  Валентинівна</t>
  </si>
  <si>
    <t>Володимирецькийи район  с.Заболоття вул.Соборна,9а</t>
  </si>
  <si>
    <t>с.Заболоття</t>
  </si>
  <si>
    <t>Будинок культури (громадська будівля) с.Заболоття Вараської міської ради Рівненської області.</t>
  </si>
  <si>
    <t xml:space="preserve"> Самбірський район, м. Новий Калинів, пл. Авіації, 19а</t>
  </si>
  <si>
    <t>м. Новий Калинів</t>
  </si>
  <si>
    <t>Дошкільний навчальний заклад "Сонечко"</t>
  </si>
  <si>
    <t>м. Хмельницький, вул. вул. Разіна 1</t>
  </si>
  <si>
    <t xml:space="preserve">Дитяча міська лікарня, Відділення стаціонару </t>
  </si>
  <si>
    <t>Чернюшок Людмила Миколаївна</t>
  </si>
  <si>
    <t>Полтавська обл., Диканський район, с. Балясне, вул. Шкільна, 5а</t>
  </si>
  <si>
    <t>с. Балясне</t>
  </si>
  <si>
    <t>Балясненська ЗОШ І-ІІІ ступенів Диканської районної ради Полтавської області</t>
  </si>
  <si>
    <t>Канєв Василь Олександрович</t>
  </si>
  <si>
    <t xml:space="preserve"> с. Трикрати, вул. Мальченко, 35  Вознесенського району Миколаївської області </t>
  </si>
  <si>
    <t>с. Трикрати</t>
  </si>
  <si>
    <t>Будинок культури  з залом для глядачів на 86 місць</t>
  </si>
  <si>
    <t xml:space="preserve">Дніпропетровська обл., м. Кривий Ріг, вул. Володимира Великого, буд. 51а </t>
  </si>
  <si>
    <t>м. Кривий Ріг</t>
  </si>
  <si>
    <t xml:space="preserve">Заклад гуртової та роздрібної торгівлі (реконструкція будівлі під магазин продовольчих та непродовольчих товарів) </t>
  </si>
  <si>
    <t>2+підвал</t>
  </si>
  <si>
    <t xml:space="preserve"> м. Хмельницький, вул. Карбишева, 1</t>
  </si>
  <si>
    <t>Громадська будівля, будинок культур</t>
  </si>
  <si>
    <t>2008 (Капітальний ремонт 2019)</t>
  </si>
  <si>
    <t>м. Одеса, Миколаївська дорога (Котовського дорога), буд. 170А</t>
  </si>
  <si>
    <t>Реконструкція нежитлової будівлі торговельного центру за адресою: Одеська обл., м. Одеса, Миколаївська дорога (Котовського дорога), буд. 170А</t>
  </si>
  <si>
    <t>1980-і роки (реконструкція 2019)</t>
  </si>
  <si>
    <t>м. Одеса,                                           вул. Косвена. 78 А</t>
  </si>
  <si>
    <t>ОСББ "Затишок"</t>
  </si>
  <si>
    <t>м. Львів, вул. Хвильового М., буд. 27</t>
  </si>
  <si>
    <t>Реконструкція приміщень під магазин продовольчих та непродовольчих товарів</t>
  </si>
  <si>
    <t>Овідіопольський р-н, с. Лиманка,  ж/м «Дружний», масив № 10 земельний ділянки 26/2 та частина ділянки 27, секція 2</t>
  </si>
  <si>
    <t xml:space="preserve"> м. Київ, вул. Стеценка, 75 Е </t>
  </si>
  <si>
    <t xml:space="preserve">Житловий будинок № 8,  ІІ-га черга будівництва </t>
  </si>
  <si>
    <t>Сунко Сергій Анатолійович</t>
  </si>
  <si>
    <t>м. Івано-Франківськ, пров. Зелений, 1</t>
  </si>
  <si>
    <t>Стаціонар СОЗ</t>
  </si>
  <si>
    <t>Чернігівська обл., смт. Короп, вул. Горького, 5</t>
  </si>
  <si>
    <t>смт. Короп</t>
  </si>
  <si>
    <t>Торгівельний павільйон</t>
  </si>
  <si>
    <t>м. Київ, вул. Ф. Ернста, 3</t>
  </si>
  <si>
    <t>Департамент патрульної поліції (літ. «Ж»)</t>
  </si>
  <si>
    <t xml:space="preserve"> Департамент патрульної поліції  (Літ. «Д»)</t>
  </si>
  <si>
    <t>м. Івано-Франківськ, пров. Зелений, 3</t>
  </si>
  <si>
    <t>Адміністративне приміщення</t>
  </si>
  <si>
    <t>Літ. «З» Департаменту патрульної поліції</t>
  </si>
  <si>
    <t>Літ. «Е» Департаменту патрульної поліції</t>
  </si>
  <si>
    <t>м. Харків, вул. Плиткова, 132</t>
  </si>
  <si>
    <t>Нове будівництво багатофункціональної будівлі по вул. Плитковій,132 у м. Харкові</t>
  </si>
  <si>
    <t>Рівненська обл., м. Острог, просп. Незалежності, 3 (№ 1 на плані)</t>
  </si>
  <si>
    <t>Нове будівництво Навчальний корпус Національного університету «Острозька академія»</t>
  </si>
  <si>
    <t>м. Київ, вул. Берковецька, 6</t>
  </si>
  <si>
    <t>Торговельний павільйон</t>
  </si>
  <si>
    <t xml:space="preserve">вул. Володимира Великого, 30, м. Борислав, Львівська обл. </t>
  </si>
  <si>
    <t>м. Борислав</t>
  </si>
  <si>
    <t>Адміністративна будівля Бориславського ВП ГУНП у Львівській області</t>
  </si>
  <si>
    <t>-           (Техпасспорт 2008 року)</t>
  </si>
  <si>
    <t>с. Олександрія, вул. Санаторна, 3,</t>
  </si>
  <si>
    <t xml:space="preserve">Лікувальний корпус КЗ «Рівненський обласний центр комплексної реабілітації інвалідів» </t>
  </si>
  <si>
    <t xml:space="preserve"> вул. Володимира Великого, 43, м. Борислав</t>
  </si>
  <si>
    <t>Одеська обл., м. Теплодар, вул. Польова, 225</t>
  </si>
  <si>
    <t>Проект «Капітальний ремонт житлового будинку(утеплення фасаду)»</t>
  </si>
  <si>
    <t>м. Хмельницький, вул. Свободи, 16/1А</t>
  </si>
  <si>
    <t>м. Теплодар,                         вул. Польова буд. 226</t>
  </si>
  <si>
    <t>Капітальний ремонт житлового будинку (утеплення фасаду)</t>
  </si>
  <si>
    <t>вул.Рівненська, 113, м. Луцьк</t>
  </si>
  <si>
    <t xml:space="preserve">Багатоквартирний житловий будинок №1 </t>
  </si>
  <si>
    <t xml:space="preserve">м.Вінниця, вул. Хмельницьке шосе, №7 </t>
  </si>
  <si>
    <t xml:space="preserve">Адміністративна будівля </t>
  </si>
  <si>
    <t>м. Чернівці, вул. Руська,235</t>
  </si>
  <si>
    <t xml:space="preserve">Будівництво багатоквартирного житлового будинку </t>
  </si>
  <si>
    <t>м. Львів вул. Карманського, 21</t>
  </si>
  <si>
    <t>Нове будівництво
згідно проекту</t>
  </si>
  <si>
    <t>Одеська область, Овідіопольський р-н, с. Лиманка, ж/м «Дружний», масив № 10 земельної ділянки 26/2 та частина ділянки 27, секція 3.</t>
  </si>
  <si>
    <t>16(17)</t>
  </si>
  <si>
    <t>Одеська обл., м. Теплодар, вул. Піонерна, 28</t>
  </si>
  <si>
    <t>Проект: «Капітальний ремонт житлового будинку (утеплення фасаду)»</t>
  </si>
  <si>
    <t>м. Миколаїв, вул. Шевченко, 65А</t>
  </si>
  <si>
    <t>Молодіжний центр в складі житлового будинку</t>
  </si>
  <si>
    <t>Хмельницька обл., м. Хмельницький, вул. Прибузька, б. 8</t>
  </si>
  <si>
    <t>Музичне училище в комплексі з музичною школою</t>
  </si>
  <si>
    <t xml:space="preserve">м. Луцьк, вул. Конякіна, 22
</t>
  </si>
  <si>
    <t>Торгово-адміністративні приміщення</t>
  </si>
  <si>
    <t>Рівненська  обл., м. Рівне, вул. Павлюченка, 18</t>
  </si>
  <si>
    <t>Житловий будинок. ОСББ "Павлюченка 18"</t>
  </si>
  <si>
    <t>1989-1992</t>
  </si>
  <si>
    <t xml:space="preserve">м. Луцьк, вул. Чернишевського, 114 б
</t>
  </si>
  <si>
    <t>Лікарня з поліклінікою</t>
  </si>
  <si>
    <t>м. Кривий Ріг, вул. Мелашкіна, 27</t>
  </si>
  <si>
    <t>Криворізька</t>
  </si>
  <si>
    <t>Учбовий корпус ОКЗО «Криворізька загальноосвітня санаторна школа – інтернат №7 І-ІІ ступенів»</t>
  </si>
  <si>
    <t>Ширяєв Олексій Васильович</t>
  </si>
  <si>
    <t>м. Хмельницький, вул. Зарічанська, 3/1</t>
  </si>
  <si>
    <t>Туристичний комплекс з закладом громадського харчування</t>
  </si>
  <si>
    <t>Сенчук Кирило Богданович</t>
  </si>
  <si>
    <t>с. Княгининок, вул. Соборна, 92 Луцького району Волинської області</t>
  </si>
  <si>
    <t>НВК «Згальноосвітня школа І-ІІІ ступенів – дошкільний навчальний заклад» (реконструкція)</t>
  </si>
  <si>
    <t xml:space="preserve">Дутко Василь Васильович </t>
  </si>
  <si>
    <t>Волинська обл., Ратнівський р-н., с. Броди, вул. Озерна, 4</t>
  </si>
  <si>
    <t>с. Броди</t>
  </si>
  <si>
    <t>Навчально-виховний комплекс «Загальноосвітня школа І-ІІІ ступенів – дитячий садок»</t>
  </si>
  <si>
    <t xml:space="preserve">Дубенський район  с. Рачин вул.Шкільна,2 </t>
  </si>
  <si>
    <t>с. Рачин</t>
  </si>
  <si>
    <t xml:space="preserve">Рачинська гімназія, Дубенського району Рівненської області </t>
  </si>
  <si>
    <t>Рівненська обл. Володмирецький район, смт. Володимирець, вул. Соборна, б. 36</t>
  </si>
  <si>
    <t>смт Володимирець</t>
  </si>
  <si>
    <t>Магазин «Побут»</t>
  </si>
  <si>
    <t>1968,2014- рек</t>
  </si>
  <si>
    <t>Рівненська обл. Дубенський район, с. Тараканів, вул. Зелена, б. 1</t>
  </si>
  <si>
    <t>с. Тараканів</t>
  </si>
  <si>
    <t>Заклад освіти (громадська будівля) Тараканівський ліцей, Дубенського району Рівненської області</t>
  </si>
  <si>
    <t>Житомирська обл., м. Житомир, вул. Київська, б. 47</t>
  </si>
  <si>
    <t>Багатоквартирний житловий будинок (ОСББ «Київська 47»)</t>
  </si>
  <si>
    <t>м. Івано-Франківськ, вул. Єпископа І. Лятишевського, 4</t>
  </si>
  <si>
    <t xml:space="preserve">м. Чернівці, вул. Фастівська, 2
</t>
  </si>
  <si>
    <t>Лікарня швидкої медичної допомоги</t>
  </si>
  <si>
    <t>м. Запоріжжя, вул. Товариська, 58 (підїзди 3, 4, 5)</t>
  </si>
  <si>
    <t>Запорізська</t>
  </si>
  <si>
    <t>Багатоквартирний будинок, ОСББ «ПЕРСПЕКТИВА-58»</t>
  </si>
  <si>
    <t xml:space="preserve"> с. Олександрія, вул. Санаторна, 3, Рівненська обл. </t>
  </si>
  <si>
    <t xml:space="preserve">  Спальний корпус №3 КЗ "Рівненський обласний центр комплексної реабілітації інвалідів" </t>
  </si>
  <si>
    <t xml:space="preserve">Київська обл., Києво-Святошинський р-н, с. Мила, вул. Спортивна, 20 </t>
  </si>
  <si>
    <t xml:space="preserve"> с. Мила</t>
  </si>
  <si>
    <t xml:space="preserve">Київська </t>
  </si>
  <si>
    <t xml:space="preserve">Житловий багатоквартирний будинок </t>
  </si>
  <si>
    <t xml:space="preserve"> 4, мансарда </t>
  </si>
  <si>
    <t>м. Вінниця, вул. Порика, б/н</t>
  </si>
  <si>
    <t>Житловий будинок (№ 5 по проекту)</t>
  </si>
  <si>
    <t>м. Львів, Сихівський р-н., вул. Стрийська, 121, 131 (будівельна адреса)</t>
  </si>
  <si>
    <t>Житлова будівля, Будівництво багатоквартирного житлового комплексу з вбудовано-прибудованими приміщеннями громадського призначення, 1-ша черга будівництва (1-ша секція)</t>
  </si>
  <si>
    <t xml:space="preserve">Черкаська  обл., м. Черкаси, вул. Нижня Горова, б. 44 </t>
  </si>
  <si>
    <t>ОСББ "НИЖНЯ ГОРОВА, 44"</t>
  </si>
  <si>
    <t>м. Дрогобич, вул. 22 Січня,30</t>
  </si>
  <si>
    <t xml:space="preserve">Відділ поліції головного Управління національної поліції. </t>
  </si>
  <si>
    <t>м. Чернігів, проспект Перемоги, 110</t>
  </si>
  <si>
    <t>м .Чернігів</t>
  </si>
  <si>
    <t>Підтрибунні приміщення спортивного призначення стадіону Спеціалізованої дитячо-юнацької школи олімпійського резерву з футболу «Юність</t>
  </si>
  <si>
    <t>1975 (2019 - реконструкція)</t>
  </si>
  <si>
    <t>Черкаська обл., м. Золотоноша, вул. Незалежності, 18</t>
  </si>
  <si>
    <t>ЦНАП</t>
  </si>
  <si>
    <t>2019 (проект реконструкції 2016)</t>
  </si>
  <si>
    <t>м. Харків, вул. Академіка Павлова, 44-Б</t>
  </si>
  <si>
    <t>Громадський будинок з господарськими (допоміжними) будівлями та спорудами</t>
  </si>
  <si>
    <t>Булгаков Олексій Віталійович</t>
  </si>
  <si>
    <t>Локачинський р-н, с. Холопичі, вул. Кисилинська, 32</t>
  </si>
  <si>
    <t>с. Холопичі</t>
  </si>
  <si>
    <t>м. Миргород, вул. Данила Апостола, 19</t>
  </si>
  <si>
    <t>2019(Нове будівництво)</t>
  </si>
  <si>
    <t xml:space="preserve">м. Луцьк, вул. Прасолів, 2 </t>
  </si>
  <si>
    <t>новобудова</t>
  </si>
  <si>
    <t>Шиба Богдан Павлович</t>
  </si>
  <si>
    <t>ЕЕ-028-02-19</t>
  </si>
  <si>
    <t xml:space="preserve"> м. Перемишляни, вул. Галицька, 29-31, Львівська обл.</t>
  </si>
  <si>
    <t>м. Перемишляни</t>
  </si>
  <si>
    <t xml:space="preserve"> Районний відділ управління міністерства внутрішніх справ </t>
  </si>
  <si>
    <t>Донецька обл., м. Волноваха, вул. Ювілейна, б. 29</t>
  </si>
  <si>
    <t>м.Волноваха</t>
  </si>
  <si>
    <t>Волноваський районний суд Донецької області</t>
  </si>
  <si>
    <t>Шамріна Галина Вікторівна</t>
  </si>
  <si>
    <t>Хмельницька обл., м. Хмельницький, вул. Пілотська, б. 1</t>
  </si>
  <si>
    <t>Хмельницький обласний онко диспансер (радіологічне відділення)</t>
  </si>
  <si>
    <t>1966 (технічне переоснащення 2019)</t>
  </si>
  <si>
    <t>м. Львів, вул. Струмок-Т. Масарика, 7</t>
  </si>
  <si>
    <t>Багатоквартирний житловий будинок з приміщеннями громадського призначення та підземним паркінгом на вул. Струмок-Т. Масарика, 7 у м. Львові</t>
  </si>
  <si>
    <t>м. Київ, Подільський р-н., просп. Правди, 47</t>
  </si>
  <si>
    <t>ТРЦ «РЕТРОВІЛЬ»</t>
  </si>
  <si>
    <t>Гречкосій Костянтин Романович</t>
  </si>
  <si>
    <t>Одеська обл., Ширяївський р-н., с. Новоєлизаветівка, вул. Шкільна, 1</t>
  </si>
  <si>
    <t>с. Новоєлизаветівка</t>
  </si>
  <si>
    <t>Новоєлизаветівська загальноосвітня школа І-ІІІ ступенів Ширяївської районної ради Одеської області</t>
  </si>
  <si>
    <t>1980, нове будівництво 2018 - 2019</t>
  </si>
  <si>
    <t>Швець Сергій Гаврилович</t>
  </si>
  <si>
    <t>Волинська область, м. Луцьк, вул. Тімірязєва, 1</t>
  </si>
  <si>
    <t>Комунальне підприємство "Волинський обласний медичний центр онкології"</t>
  </si>
  <si>
    <t>1972, капремонт 2019</t>
  </si>
  <si>
    <t>Волинська область, м. Луцьк, вул. Шевченка, буд. 17</t>
  </si>
  <si>
    <t>м.Луцьк</t>
  </si>
  <si>
    <t xml:space="preserve">Адміністративна будівля:Державна установа «Територіальне медичне об’єднання МВС України по Волинській області» </t>
  </si>
  <si>
    <t>Львівська область, м. Львів, вул. Пулюя, 9</t>
  </si>
  <si>
    <t>Київська область, м. Бровари, вул. Сергія Москаленка, буд. 53     (житловий будинок    № 11)</t>
  </si>
  <si>
    <t>Проект (ІІ черга будівництва)</t>
  </si>
  <si>
    <t xml:space="preserve">вул. Сумсько-Київських дивізій, 20 в м. Суми </t>
  </si>
  <si>
    <t>"Реконструкція нежилого приміщення банку під магазин продовольчих та непродовольчих товарів по вул. СумськоКиївських дивізій, 20 в м. Суми"</t>
  </si>
  <si>
    <t>Київська обл., Києво-Святошинський р-н., м. Вишневе, вул. Ватутіна</t>
  </si>
  <si>
    <t>м. Вишневе</t>
  </si>
  <si>
    <t>Житловий будинок з громадськими приміщеннями (секція Д-11, 4-а черга будівництва, 3-й пусковий комплекс)</t>
  </si>
  <si>
    <t>м. Бровари, вул. Сергія Москаленка, буд. 53 (житловий будинок № 10)</t>
  </si>
  <si>
    <t>Житловий будинок  на 196 квартир</t>
  </si>
  <si>
    <t>№ОРІ-АВ00010</t>
  </si>
  <si>
    <t>м. Кропивницький, вул. Миколи Левитського, 71/24</t>
  </si>
  <si>
    <t xml:space="preserve">м .Кропивницький </t>
  </si>
  <si>
    <t>Амбулаторія загальної практики міста сімейної медицини №8</t>
  </si>
  <si>
    <t>Волинська обл., м. Луцьк, вул. Тімірязєва, 1</t>
  </si>
  <si>
    <t>Комунальне підприємство «Волинський обласний медичний центр онкології» (Радіологічний корпус)</t>
  </si>
  <si>
    <t>1972 (проект реконструкції 2019)</t>
  </si>
  <si>
    <t xml:space="preserve">вул. Костанді, 102-104, м. Одеса, Одеської області </t>
  </si>
  <si>
    <t xml:space="preserve">Багатоповерховий житловий будинок № 1 </t>
  </si>
  <si>
    <t>вул. Костанді, 102-104, м. Одеса, Одеської обл.</t>
  </si>
  <si>
    <t xml:space="preserve">Багатоповерховий житловий будинок № 2 </t>
  </si>
  <si>
    <t>Рівненська обл., Костопільський р-н., с. Жалин, вул. Набережна, 78</t>
  </si>
  <si>
    <t>с. Жалин</t>
  </si>
  <si>
    <t>Громадська будівля (Клуб)</t>
  </si>
  <si>
    <t>1958 (проект капітального ремонту)</t>
  </si>
  <si>
    <t xml:space="preserve">м. Острог, просп. Незалежності, 3
</t>
  </si>
  <si>
    <t>НУ «Острозька академія»</t>
  </si>
  <si>
    <t>м. Черкаси, пров. Черкаський, 12</t>
  </si>
  <si>
    <t>Дошкільний навчальний заклад № 23 «Струмок»</t>
  </si>
  <si>
    <t xml:space="preserve">м. Луцьк, вул. Конякіна, 3б
</t>
  </si>
  <si>
    <t>Нове будівництво житлового кварталу</t>
  </si>
  <si>
    <t>Данкевич Микола Володимирович</t>
  </si>
  <si>
    <t>Одеська обл., Лиманський район, с. Дмитрівка, вул. Шкільна,35</t>
  </si>
  <si>
    <t>Рівненська обл., c. Біла Криниця, вул. Радгоспна, 44</t>
  </si>
  <si>
    <t>с.Біла Криниця</t>
  </si>
  <si>
    <t>Громадська будівля (будинок культури)</t>
  </si>
  <si>
    <t>1985 (проект капітального ремонту)</t>
  </si>
  <si>
    <t>Хмельницька область, Чемеровецький район, смт. Чемерівці, вул. Пирогова, 1</t>
  </si>
  <si>
    <t>смт. Чемерывцы</t>
  </si>
  <si>
    <t>Чемеровецька центральна районна лікарня</t>
  </si>
  <si>
    <t>2019 (реконструкція з добудовою)</t>
  </si>
  <si>
    <t xml:space="preserve">  с. Мирне, вул. Центральна, 53</t>
  </si>
  <si>
    <t>с. Мирне</t>
  </si>
  <si>
    <t>Мирненський ліцей Малолюбашанської сільської ради Костопільського району Рівненської області</t>
  </si>
  <si>
    <t>1976 (Проект капітальнного ремонту)</t>
  </si>
  <si>
    <t>м. Харків, вул. Шевченка, 62, літ. А-2</t>
  </si>
  <si>
    <t>Регіональний сервісний центр МВС В Харківській області</t>
  </si>
  <si>
    <t>Регіональний сервісний центр МВС в Харківській області</t>
  </si>
  <si>
    <t>вул.Філатова, 14, м.Ківерці</t>
  </si>
  <si>
    <t xml:space="preserve">Квартирний (багатоповерховий) житловий будинок </t>
  </si>
  <si>
    <t>м. Київ, 
вул. Академіка Заболотного, 15, буд № 2</t>
  </si>
  <si>
    <t>Будівництво житлового комплексу з вбудовано-прибудинковими нежитловими приміщеннями та паркінгом на вул. Академіка Заболотного, 15 у Голосіївському районі м. Києва (ІІ черга будівництва)</t>
  </si>
  <si>
    <t>м. Київ, 
вул. Академіка Заболотного, 15, буд № 2А</t>
  </si>
  <si>
    <t>Будівництво житлового комплексу з вбудовано-прибудинковими нежитловими приміщеннями та паркінгом на вул. Академіка Заболотного, 15 у Голосіївському районі м. Києва (ІІІ черга будівництва)</t>
  </si>
  <si>
    <t>Хмеьницька обл.,  м. Хмельницький, вул. Озерна, 6/1</t>
  </si>
  <si>
    <t>Багатоквартирний житловий будинок (1-ша черга)</t>
  </si>
  <si>
    <t>Рівненська обл., с. Біла Криниця, вул. Грушевського, 1</t>
  </si>
  <si>
    <t>с. Біла Криниця</t>
  </si>
  <si>
    <t>Білокриницький дошкільний навчальний заклад «ясла-садок»</t>
  </si>
  <si>
    <t>1979(2016 Проект капітальний ремонт)</t>
  </si>
  <si>
    <t xml:space="preserve">м. Житомир, вул. В. Бердичівська, 69
</t>
  </si>
  <si>
    <t>ОСББ «Автоном-69»</t>
  </si>
  <si>
    <t>Рівненська область, м. Рівне, вул. Костромська 83</t>
  </si>
  <si>
    <t>Гіроль  Андрій Миколайович</t>
  </si>
  <si>
    <t>Вінницька обл., м. Козятин, вул. Незалежності,75</t>
  </si>
  <si>
    <t>м. Козятин</t>
  </si>
  <si>
    <t>Комунальне підприємство "Козятинський міський центр первинної медико- санітарної допомоги Козятинської міської ради"</t>
  </si>
  <si>
    <t>Волинська обл., смт. Ратне, вул. Цетральна 28а</t>
  </si>
  <si>
    <t>Новобудова - Торговий центр</t>
  </si>
  <si>
    <t>Чернівецька обл., м. Чернівці, вул. Щербанюка, б. 79</t>
  </si>
  <si>
    <t>«Будівництво багатоквартирних житлових будинків з приміщеннями громадського обслуговування та підземним паркінгом по вул. О.Щербанюка, 79 в м. Чернівці» (перший пусковий комплекс – блок-секція 1)</t>
  </si>
  <si>
    <t>Вінницька обл., м. Вінниця, вул. С. Зулінського, б/н</t>
  </si>
  <si>
    <t>Проект «Будівництво багатоквартирного житлового будинку по вул. С. Зулінського, б/н в м. Вінниця»</t>
  </si>
  <si>
    <t>м. Чернівці, вул. Зарожанська, 12-А</t>
  </si>
  <si>
    <t>Реконструкція складських приміщень під торгові приміщення, спортзал та переукарню по вул. Зарожанській, 12-А в м. Чернівці</t>
  </si>
  <si>
    <t>2016 (реконструкція 2019)</t>
  </si>
  <si>
    <t>м. Харків, вул. Шевченка, 26, лит. А-3</t>
  </si>
  <si>
    <t>вул. І. Мазепи, 19а, м. Трускавець</t>
  </si>
  <si>
    <t xml:space="preserve">(Адміністративна будівля Трускавецького ВП ГУНП у Львівській області) </t>
  </si>
  <si>
    <t>Львівська обл., м. Дрогобич, вул. М. Грушевського, 34</t>
  </si>
  <si>
    <t>ОСББ "Соломія - 2016"</t>
  </si>
  <si>
    <t>Львівська обл., м.Львів, вул. Стрийська, б. 121, 131 (будівельна адреса)</t>
  </si>
  <si>
    <t>Будівництво багатоквартирного житлового комплексу з вбудовано-прибудованими приміщеннями громадського призначення, 2-га черга будівництва (2-га секція)</t>
  </si>
  <si>
    <t xml:space="preserve"> Пустомитівський р-н, с.Солонка, вул.Орлика, 1Б </t>
  </si>
  <si>
    <t>с.Солонка</t>
  </si>
  <si>
    <t xml:space="preserve"> Багатоквартирний двосекційний житловий будинок </t>
  </si>
  <si>
    <t>Питель Богдан Михайлович</t>
  </si>
  <si>
    <t>ОД02071010/0300-19</t>
  </si>
  <si>
    <t>вул. Львівська, 11, м. Тернопіль</t>
  </si>
  <si>
    <t xml:space="preserve"> Навчальний корпус №1. Тернопільський національний економічний університет </t>
  </si>
  <si>
    <t xml:space="preserve"> Білоцерківський район, м. Узин, вул. Лесі Українки, 64-а </t>
  </si>
  <si>
    <t>Узинська загальноосвітня школа І-Ш ступенів №2 Узинської міської ради Київської області</t>
  </si>
  <si>
    <t>м. Канів, вул. Шевченка 11</t>
  </si>
  <si>
    <t>Житловий багатоповерховий будинок</t>
  </si>
  <si>
    <t>Львівська обл., м.Рава-Руська, вул. Львівська, 68</t>
  </si>
  <si>
    <t>м.Рава-Руська</t>
  </si>
  <si>
    <t>Корпус №2 Рава-Руського ліцею Жовківської районної ради</t>
  </si>
  <si>
    <t xml:space="preserve">Лака Євген Іванович </t>
  </si>
  <si>
    <t>Волинська обл., с. Піддубці, вул. Вернигори, 1</t>
  </si>
  <si>
    <t>Амбулаторія загальної практики сімейної медицини</t>
  </si>
  <si>
    <t>Вінницька обл., м. Вінниця, вул. Василя Стуса, 2</t>
  </si>
  <si>
    <t>Учбовий корпус №2 ВНМУ ім. М.І. Пирогова</t>
  </si>
  <si>
    <t>м. Київ, вул. Маршала Гречка, 10б</t>
  </si>
  <si>
    <t>Будівництво житлового комплексу з об'єктами соціально-громадського призначення</t>
  </si>
  <si>
    <t>14-16</t>
  </si>
  <si>
    <t>Волинська обл., с. Луцький район, с. Чаруків, вул. Поштова, 36.</t>
  </si>
  <si>
    <t>с. Чаруків</t>
  </si>
  <si>
    <t xml:space="preserve"> .Здолбунівський район  м.Здолбунів вул.Міцкевича,36 </t>
  </si>
  <si>
    <t>м. Здолобунів</t>
  </si>
  <si>
    <t>ЗОШ І-ІІІ ст.№ 5 м.Здолбунів, Здолбунівської районної ради  Рівненської області</t>
  </si>
  <si>
    <t>Львівська обл., м. Сокаль, вул. Міцкевича, 9</t>
  </si>
  <si>
    <t>м. Сокаль</t>
  </si>
  <si>
    <t>Адміністративна будівля Сокальського ВП ГУНП у Львівській області</t>
  </si>
  <si>
    <t>м. Львів, вул. Любінська, 164</t>
  </si>
  <si>
    <t>Волинська обл., Луцький р-н., с. Зміїнець, вул. Медична 26Б</t>
  </si>
  <si>
    <t>с. Зміїнець</t>
  </si>
  <si>
    <t>Амбулаторія загальної практики сімейної медицини с. Зміїнець Луцького району Волинської області (реконструкція)</t>
  </si>
  <si>
    <t>м. Хмельницький, вул. Озерна 6/1</t>
  </si>
  <si>
    <t>Багатоквартирний житловий будинок (2-га черга)</t>
  </si>
  <si>
    <t>м. Київ, Дарницький район, ж/м Позняки, 4-й мікрорайон, ділянка № 85, буд. 1</t>
  </si>
  <si>
    <t>позняки буд 1</t>
  </si>
  <si>
    <t>м. Київ, Дарницький район, ж/м Позняки, 4-й мікрорайон, ділянка № 85, буд. 2</t>
  </si>
  <si>
    <t>позняки буд 2</t>
  </si>
  <si>
    <t>м. Черкаси, вул.Вячеслава Чорновола,157</t>
  </si>
  <si>
    <t>м. Київ, просп. Героїв Сталінграду, 8</t>
  </si>
  <si>
    <t xml:space="preserve">Багатоповерховий житловий будинок ОСББ "Оазис 2016" </t>
  </si>
  <si>
    <t>8-15</t>
  </si>
  <si>
    <t>Львівська обл., Пустомитівський р-н., с. Горішній, вул. Бережанська 18</t>
  </si>
  <si>
    <t>с. Горішній</t>
  </si>
  <si>
    <t>Житлова багатоквартирна будівля (2 черга будівництва – 3,4,5 секція)</t>
  </si>
  <si>
    <t>Рівненська обл., м. Рівне, вул. С.Петлюри. 13</t>
  </si>
  <si>
    <t>Капітальний ремонт будівлі Головного управління Державної казначейської служби України у Рівненській області</t>
  </si>
  <si>
    <t>Іванюк Андрій Михайлович</t>
  </si>
  <si>
    <t>Харківська обл., м. Ізюм, вул. Правди, 2А</t>
  </si>
  <si>
    <t>м. Ізюм</t>
  </si>
  <si>
    <t>м. Київ, вул. Зоологічна, буд. 3г</t>
  </si>
  <si>
    <t>Медичний комплекс</t>
  </si>
  <si>
    <t>11 (в тому числі 3 підземних)</t>
  </si>
  <si>
    <t>Волинська обл., смт Ратне, вул. Центральна, 2</t>
  </si>
  <si>
    <t>смт Ратне</t>
  </si>
  <si>
    <t>Житлова будівля, Нове будівництво житлового будинку з вбудовано-прибудованими приміщеннями (ІІ черга)</t>
  </si>
  <si>
    <t>Львівська область,    м. Львів, вул. Кучера, буд. 5</t>
  </si>
  <si>
    <t>Адміністративна будівля ГУНП у Львівській обл. Шевченківський ВП</t>
  </si>
  <si>
    <t xml:space="preserve">Харківська обл.,       м. Харків, просп. Гагаріна (біля житлового будинку №170/1) </t>
  </si>
  <si>
    <t>Багатоповерховий житловий будинок з вбудованими  приміщеннями торгово-побутового призначення (2 черга)</t>
  </si>
  <si>
    <t>Київська обл., м. Бровари, вул. Симоненко Василя, 105</t>
  </si>
  <si>
    <t>Житловий будинок на 247 квартир</t>
  </si>
  <si>
    <t>Київська обл., м. Бровари, вул. Симоненко Василя, 107-б</t>
  </si>
  <si>
    <t>Львівська обл., м. Львів, вул. Кругла, 201</t>
  </si>
  <si>
    <t xml:space="preserve">с.Молодаво Третє вул.Перемоги,55 </t>
  </si>
  <si>
    <t>с.Молодаво</t>
  </si>
  <si>
    <t xml:space="preserve">Заклад культури (громадська будівля) будівля клубу </t>
  </si>
  <si>
    <t xml:space="preserve">м. Харків, вул. Клочківська, 98-А (корпус 1) </t>
  </si>
  <si>
    <t xml:space="preserve"> Багатофункціональний житловий комплекс </t>
  </si>
  <si>
    <t xml:space="preserve">м. Харків, вул. Клочківська, 98-А (корпус 2) </t>
  </si>
  <si>
    <t>Харківська обл., м. Харків, вул. Культури 4В</t>
  </si>
  <si>
    <t>Івано-Франківська обл., м. Івано-Франківська, вул. Вовчинецька, буд 185</t>
  </si>
  <si>
    <t>Магазин продовольчих та непродовольчих товарів</t>
  </si>
  <si>
    <t>1974, реконструкція</t>
  </si>
  <si>
    <t>Харківська обл., м. Харків, пр-т. Правди, 13</t>
  </si>
  <si>
    <t>Поліклінічне відділення Літ. Ж-5 КЗОЗ «Обласної клінічної лікарні - Центру екстренної медичної допомоги та медецини катастроф»</t>
  </si>
  <si>
    <t>Григорук Косянтин Антонович</t>
  </si>
  <si>
    <t>Львівська область, м. Стебник, майдан Шевченка,5</t>
  </si>
  <si>
    <t>Реконструкція нежитлової будівлі під магазин продовольчих та непродовольчих товарів</t>
  </si>
  <si>
    <t xml:space="preserve">м. Рівне, вул. Жуковського, 39 </t>
  </si>
  <si>
    <t>Івано-Франківська обл., м. Долина, вул. Промислова, 5</t>
  </si>
  <si>
    <t>Громадська будівля адміністративного призначення</t>
  </si>
  <si>
    <t>1965 (Капітальний ремонт)</t>
  </si>
  <si>
    <t>м. Харків, вул. Шевченка, 26 (літ. Б-4, В-3)</t>
  </si>
  <si>
    <t>м. Устилуг,  вул. Володимирська, 40 В-Волинського району Волинської області</t>
  </si>
  <si>
    <t>м. Устилуг</t>
  </si>
  <si>
    <t xml:space="preserve"> будівля Устилузької міської ради </t>
  </si>
  <si>
    <t xml:space="preserve"> м. Хмельницький, вул. Молодіжна 8/5а, Хмельницька обл. </t>
  </si>
  <si>
    <t xml:space="preserve">Семиповерховий 35-квартирний житловий будинок з вбудованими нежитловими приміщеннями та спортивним залом.   </t>
  </si>
  <si>
    <t xml:space="preserve">новобудова  2019 </t>
  </si>
  <si>
    <t>Шпак Олександр Леонідович</t>
  </si>
  <si>
    <t>с. Токарі,  Лохвицького району Полтавської області , вул. Г. І. Андрусенка, 9</t>
  </si>
  <si>
    <t>с. Токарі</t>
  </si>
  <si>
    <t xml:space="preserve">Полтавська </t>
  </si>
  <si>
    <t>Адміністративна будівля «Центру громадської безпеки с.Токарі, Лохвицького району Полтавської області»</t>
  </si>
  <si>
    <t>нове будівництво (проект)</t>
  </si>
  <si>
    <t>Львівська обл., м. Львів, вул. Б.Хмельницького</t>
  </si>
  <si>
    <t>Адміністративна будівля Шевченківського ВП ГУНП у Львівській області</t>
  </si>
  <si>
    <t>техпаспорт 2004 року</t>
  </si>
  <si>
    <t>Чернігівська обл., с.Вертіївка, вул. Миру, 143Б</t>
  </si>
  <si>
    <t>с.Вертіївка</t>
  </si>
  <si>
    <t>Адміністративна та громадська будівля</t>
  </si>
  <si>
    <t>Вакулик Микола Григорович</t>
  </si>
  <si>
    <t>Харківська обл., м. Лозова, вул. Свободи 12/1</t>
  </si>
  <si>
    <t>м. Лозова</t>
  </si>
  <si>
    <t>Одеська обл., с.Дмитрівка, вул. Шкільна №33а</t>
  </si>
  <si>
    <t>с.Дмитрівка</t>
  </si>
  <si>
    <t>Дмитрівський НВК загальноосвітня школа І-ІІ ступенів</t>
  </si>
  <si>
    <t>м. Київ, вул. Спаська, 39, Київська обл</t>
  </si>
  <si>
    <t>Офісно-торгівельна будівля</t>
  </si>
  <si>
    <t xml:space="preserve">м. Рівне, вул. Князя Острозького, 20 </t>
  </si>
  <si>
    <t xml:space="preserve">Рівненська загальноосвітня школа І-ІІІ ступенів № 8 </t>
  </si>
  <si>
    <t>Львівська обл., 
м. Сколе, вул. Ів. Франка, 2А, літ. «А-2»</t>
  </si>
  <si>
    <t>м. Сколе</t>
  </si>
  <si>
    <t>Адміністративна будівля Сколівського ВП ГУНП у Львівській області</t>
  </si>
  <si>
    <t>Львівська обл., 
м. Сколе, вул. Ів. Франка, 2А, літ. «В-2»</t>
  </si>
  <si>
    <t>м. Київ, вул. Велика Житомирська, 34б, 34в</t>
  </si>
  <si>
    <t>Адміністративно-офісна будівля</t>
  </si>
  <si>
    <t>до 1900 (проект реконструкції)</t>
  </si>
  <si>
    <t>Мартинюк Галина  Миколаївна</t>
  </si>
  <si>
    <t>м. Львів, вул. Генерала Чупринки, 69</t>
  </si>
  <si>
    <t>Адміністративна будівля ГУНП у Львівській обл. Франківській ВП</t>
  </si>
  <si>
    <t>м. Львів, вул. Генерала Чупринки, 67</t>
  </si>
  <si>
    <t>5 (в тму числі 1 мансардний)</t>
  </si>
  <si>
    <t>м. Івано-Франківськ, вул. Г.Мазепи, 144</t>
  </si>
  <si>
    <t>Будівництво багатоквартирного житлового будинку №6 з приміщеннями соціально-побутового призначення</t>
  </si>
  <si>
    <t xml:space="preserve"> м. Львів,     вул. Генерала Чупринки , буд. 65 </t>
  </si>
  <si>
    <t xml:space="preserve"> м. Золотоноша, вул. Незалежності, 40</t>
  </si>
  <si>
    <t>проект, реконструкція 2019</t>
  </si>
  <si>
    <t>м. Харків, вул. Шевченка. 26 літ. Д-1 ти Ж-1.</t>
  </si>
  <si>
    <t>1987, 2000</t>
  </si>
  <si>
    <t xml:space="preserve">Київська обл., Києво-Святошинський р-н, с. Мила, вул. Спортивна, 22 </t>
  </si>
  <si>
    <t>с. Мила</t>
  </si>
  <si>
    <t>Нове будівництво.  Проект</t>
  </si>
  <si>
    <t>Львівська обл., 
м. Жидачів, вул. Садова, 4</t>
  </si>
  <si>
    <t>м. Жидачів</t>
  </si>
  <si>
    <t>Жидачівське відділення поліції Стрийського відділу поліції ГУНП у Львівській області</t>
  </si>
  <si>
    <t>Львівська обл., м. Дубляни, вул. Володимира Великого, б.5</t>
  </si>
  <si>
    <t>Будівництво багатоквартирних житлових будинків з підземним паркінгом та нежитловими приміщеннями у Львівській області, Жовківського району в м. Дубляни на вул. Володимира Великого, 5. (Друга черга будівництва)</t>
  </si>
  <si>
    <t>нове будівництво, проект</t>
  </si>
  <si>
    <t>Житомирська обл., м. Новоград-Волинський, вул. Герцена, б. 63</t>
  </si>
  <si>
    <t>м. Новоград-Волинський</t>
  </si>
  <si>
    <t>Будівля  Новоград-Волинського медичного коледжу Житомирської обласної ради</t>
  </si>
  <si>
    <t>Волинська обл., м. Любомль, вул. Шкільна, 3</t>
  </si>
  <si>
    <t>м. Любомль</t>
  </si>
  <si>
    <t>«Заклад загальної середньої освіти І-ІІІ ступенів-гімназія» імені Наталії Ужвій Любомльської міської ради</t>
  </si>
  <si>
    <t>м. Новгород -Волинський, вул.Косачів, 6 Б</t>
  </si>
  <si>
    <t>м. Новгород -Волинський</t>
  </si>
  <si>
    <t>Будівля гуртожитку Новгород -Волонського медичного коледжу</t>
  </si>
  <si>
    <t>Луганська обл., м. Кремінна, площа Красна, 6</t>
  </si>
  <si>
    <t>м. Кремінна</t>
  </si>
  <si>
    <t>Луганкська</t>
  </si>
  <si>
    <t>Житлова багатоповерхова будівля</t>
  </si>
  <si>
    <t>м. Черкаси, 
вул. Небесної Сотні, 30</t>
  </si>
  <si>
    <t xml:space="preserve">м. Черкаси </t>
  </si>
  <si>
    <t>Будівля з торгово-офісними приміщеннями</t>
  </si>
  <si>
    <t xml:space="preserve"> м. Львів, вул. Героїв УПА, 73, корпус №7 </t>
  </si>
  <si>
    <t xml:space="preserve">«Реконструкція нежитлових приміщень корпусу № 7 з розширенням за рахунок прибудови та надбудови на вул. Героїв УПА, 73 під адміністративно-офісний центр» у м. Львові. </t>
  </si>
  <si>
    <t>реконструкція, проект</t>
  </si>
  <si>
    <t>8+мезонін</t>
  </si>
  <si>
    <t>Сумська область, м. Лебедин, площа Соборна,11</t>
  </si>
  <si>
    <t>м. Лебедин</t>
  </si>
  <si>
    <t xml:space="preserve">Навчальний заклад. Комунальний заклад Сумської обласної ради «Лебединське медичне училище імені професора М.І. Сітенка», будівля «Спортивна зала» </t>
  </si>
  <si>
    <t>Львівська обл., м. Новояворівськ, вул. Липи, б. 2</t>
  </si>
  <si>
    <t>Багатоповерховий житловий будинок ОСББ «Липи 2»</t>
  </si>
  <si>
    <t>1992, Проект капітальний ремонт</t>
  </si>
  <si>
    <t>м. Київ, вул. Євгена Сверстюка, б. 4</t>
  </si>
  <si>
    <t>Житлова будівля з вбудованими нежитловими приміщеннями (ІV черга будівництва)</t>
  </si>
  <si>
    <t xml:space="preserve">Довгий Святослав Сергійович </t>
  </si>
  <si>
    <t>2,25,26</t>
  </si>
  <si>
    <t>«Будівництво багатоквартирних житлових будинків з приміщеннями громадського обслуговування та підземним паркінгом по вул. О. Щербанюка, 79 в м. Чернівці» (другий пусковий комплекс – блок-секція 2)</t>
  </si>
  <si>
    <t>цок, 9, манс</t>
  </si>
  <si>
    <t>Тернопільська обл., м. Кременець, вул. С.Петлюри,4Б</t>
  </si>
  <si>
    <t>м. Кременець</t>
  </si>
  <si>
    <t>м. Луцьк, майдан Привокзальний, буд. 1</t>
  </si>
  <si>
    <t>Спеціальні магазини по продажу будівельних матеріалів і виробів з офісними приміщеннями</t>
  </si>
  <si>
    <t>м. Харків, вул. Шевченка, 26, літ. Г-3, літ. К-1</t>
  </si>
  <si>
    <t>Львівська обл., м. Львів, вул. Балтійська, 19</t>
  </si>
  <si>
    <t>Багатоповерховий будинок з підземним паркінгом</t>
  </si>
  <si>
    <t>Нове будівництво. Проект</t>
  </si>
  <si>
    <t>Сумська обл., м. Суми, Івана Сірка, 34/2, буд. 5</t>
  </si>
  <si>
    <t>Багатоквартирний житовий будинок</t>
  </si>
  <si>
    <t>Нове будівництво.</t>
  </si>
  <si>
    <t>м. Черкаси,  бул. Шевченка, 196</t>
  </si>
  <si>
    <t>Будинок з добудовою та надбудовою мансардного поверху під кафе, бар, житлові та офісні приміщення (громадська будівля, реконструкція)</t>
  </si>
  <si>
    <t>1917,
 2019 (реконструкція)</t>
  </si>
  <si>
    <t>Харківська обл., м. Харків. вул. Культури, 4</t>
  </si>
  <si>
    <t>Львівська обл., м. Самбір, вул. Коперника, 14</t>
  </si>
  <si>
    <t>м. Самбір</t>
  </si>
  <si>
    <t>Капітальний ремонт поліклінічного відділення КНП Самбірської міської ради та Самбірської районної ради «Самбірська центральна районна лікарня»</t>
  </si>
  <si>
    <t>1979. Проект, капітальний ремонт</t>
  </si>
  <si>
    <t>Пришляк Юрій Васильович</t>
  </si>
  <si>
    <t>Харківська область, місто Лозова, вул. Благовіщенська, 10а</t>
  </si>
  <si>
    <t xml:space="preserve">Нежитлова будівля магазину промислових товарів </t>
  </si>
  <si>
    <t>Бакаєв Ігор Вікторович</t>
  </si>
  <si>
    <t xml:space="preserve">3+опалювальний цокольний поверх </t>
  </si>
  <si>
    <t>м. Одеса, вул. Запорізька, 21</t>
  </si>
  <si>
    <t>Житловий будинок на 48 квартир</t>
  </si>
  <si>
    <t>м. Львів, вул. Повітряна 92</t>
  </si>
  <si>
    <t>Житлова багатоквартирна будівля ОСББ «Повітряна 92»</t>
  </si>
  <si>
    <t>Одеська обл., Лиманський р-н., с. Старі Шомполи, вул. Шкільна, 9</t>
  </si>
  <si>
    <t>с. Старі Шомполи</t>
  </si>
  <si>
    <t>Шомполівський НВК загальноосвітньої школи І – ІІ ступенів - ДНЗ</t>
  </si>
  <si>
    <t xml:space="preserve">м. Вінниця, вул. Єрмака, 2-а
</t>
  </si>
  <si>
    <t>Волинська обл., м. Луцьк, пр. Волі, б. 68</t>
  </si>
  <si>
    <t xml:space="preserve">Волинська </t>
  </si>
  <si>
    <t>5-ти поверховий 4-секційний житловий будинок, ЖБК «Світанок»</t>
  </si>
  <si>
    <t>1968 (проект капітальний ремонт)</t>
  </si>
  <si>
    <t>м. Черкаси, вул. Нарбутівська, 117</t>
  </si>
  <si>
    <t>Дошкільний навчальний заклад (ясла-садочок) №59 "Петрушка"</t>
  </si>
  <si>
    <t>Рівненська обл.,          с. Мирогоща ІІ, вул. Патолічева, 11А</t>
  </si>
  <si>
    <t>с. Мирогоща ІІ</t>
  </si>
  <si>
    <t>Житловий корпус №3 «Мирогощанського дитячого будинку-інтернату»</t>
  </si>
  <si>
    <t xml:space="preserve"> Дубенський р-он с. Мирогоща ІІ, вул. Патолічева, 11А </t>
  </si>
  <si>
    <t>Житловий корпус №2 Комунального закладу «Мирогощанський дитячий будинок - інтернат» Рівненської обласної ради</t>
  </si>
  <si>
    <t xml:space="preserve">м. Вінниця, вул. Пирогова, 48 </t>
  </si>
  <si>
    <t>Учбовий корпус. Аудиторія №6 Вінницького національного медичного університету ім. М.І. Пирогова</t>
  </si>
  <si>
    <t xml:space="preserve">м. Переяслав-Хмельницький, вул. Покровська, 41 </t>
  </si>
  <si>
    <t>м. Переяслав-Хмельницький,</t>
  </si>
  <si>
    <t xml:space="preserve">Магазин продовольчих та непродовольчих товарів (громадська будівля, нове будівництво) </t>
  </si>
  <si>
    <t>Одеська обл., м. Южне, пр. Миру, б. 16</t>
  </si>
  <si>
    <t>ОСББ «Кондомінімум 16»</t>
  </si>
  <si>
    <t>Сумська обл., м. Лебедин, вул. Першогвардійська, буд. 18</t>
  </si>
  <si>
    <t>Комунальний заклад Сумської обласної ради «Лебединське медичне училище імені професора М.І. Сітенка», корпус вул. Першогвардійська,18</t>
  </si>
  <si>
    <t>м. Львів, 
вул. Малоголосківська</t>
  </si>
  <si>
    <t>Будівництво житлового будинку (№2 на генплані) та трансформаторної підстанції на вул. Малоголосківська в м. Львові</t>
  </si>
  <si>
    <t>Рівненська обл., м. Костопіль, вул. Данила Галицького, 7</t>
  </si>
  <si>
    <t>Комунальний заклад «Костопільський ліцей-інтернат спортивного профілю ІІ-ІІІ ступенів» Рівненської області (гуртожиток)</t>
  </si>
  <si>
    <t xml:space="preserve">вул. Добровольського 77, м. Горішні Плавні, Полтавської області </t>
  </si>
  <si>
    <t xml:space="preserve">Житловий будинок, Об’єднання співвласників багатоквартирго будинку «Добровольського 77» </t>
  </si>
  <si>
    <t>Вірченко Артем Валентинович,</t>
  </si>
  <si>
    <t xml:space="preserve">м. Львів, вул. А.Монастирського, 2 </t>
  </si>
  <si>
    <t xml:space="preserve">Нове будівництво багатоквартирного житлового будинку з вбудованими приміщеннями громадського призначення та підземним паркінгом на вул. А.Монастирського, 2  в м. Львові зі знесенням існуючої споруди (будинок №02 на генплані) </t>
  </si>
  <si>
    <t xml:space="preserve">«Нове будівництво. Проект» </t>
  </si>
  <si>
    <t>Закарпатська обл., м. Берегове, вул. Мужайська (вул. Червоної армії), буд. 54А</t>
  </si>
  <si>
    <t>м. Берегове</t>
  </si>
  <si>
    <t>Реконструкція будівлі магазина "Мебель" під магазин продовольчих та непродовольчих товарів за адресою: Закарпатська обл.,                 м. Берегове, вул. Мужайська (вул. Червоної армії), буд. 54А</t>
  </si>
  <si>
    <t>Житомирська обл., м. Бердичів, вул. Європейська, 52</t>
  </si>
  <si>
    <t>м. Бердичів</t>
  </si>
  <si>
    <t>КНП «Госпіталь ветеранів війни» Житомирської обласної ради будівлі літ. В-3 корпусу фізіотерапевтичного та гастроентерологічного відділення</t>
  </si>
  <si>
    <t>м. Львів, вул. Стрийська, 99А (секція 5, 6, 7)</t>
  </si>
  <si>
    <t>Будівництво багатоквартирного житлового будинку з вбудованими приміщеннями громадського призначення та підземним паркінгом на вул. Стрийській, 99А у м. Львові зі знесенням існуючих будівель(другий пусковий комплекс - секція 5, 6, 7)</t>
  </si>
  <si>
    <t>Сумська обл.,                  м. Суми, вул. Привокзальна, 31</t>
  </si>
  <si>
    <t>Обласний комунальний заклад  «Сумський обласний клінічний онкологічний диспансер», головний корпус</t>
  </si>
  <si>
    <t>Вінницька обл., м. Ямпіль, вул. Пирогова, 1</t>
  </si>
  <si>
    <t>м. Ямпіль</t>
  </si>
  <si>
    <t>Ямпільська центральна районна лікарня. Головний корпус</t>
  </si>
  <si>
    <t>1970 (2017р. проект реконструкції)</t>
  </si>
  <si>
    <t xml:space="preserve">м. Харків, проспект Льва Ландау, 52 (будинок №1). </t>
  </si>
  <si>
    <t xml:space="preserve">м. Харків, проспект Льва Ландау, 52 (будинок №2). </t>
  </si>
  <si>
    <t>м. Чернігів, 
мікрорайон «Масани»</t>
  </si>
  <si>
    <t>Будівництво багатоповерхового житлового будинку №7 в третьому мікрорайоні житлового району «Масани»</t>
  </si>
  <si>
    <t xml:space="preserve">місто Вінниця, вулиця Козицького16 </t>
  </si>
  <si>
    <t xml:space="preserve">«Будівництво адміністративно-побутового комплексу готелю по вул. Козицького, 16»   </t>
  </si>
  <si>
    <t xml:space="preserve">Нове                                                                будівництво </t>
  </si>
  <si>
    <t xml:space="preserve">Неволя Ліна Ігорівна </t>
  </si>
  <si>
    <t xml:space="preserve">Волинська обл., м. Луцьк, вул. Рівненська, 118 </t>
  </si>
  <si>
    <t xml:space="preserve">Нове будівництво. Проект </t>
  </si>
  <si>
    <t>Львівська обл., м. Львів, вул. Малогосківська</t>
  </si>
  <si>
    <t>Загальна пояснювальна записка Будівництво комплексу житлових будинків "Північний пагорб" з приміщеннями громадського призначення та паркінгом відкритого типу на вул. Малогосоківській (Будинок П5 згідно з генпланом) 3-я черга</t>
  </si>
  <si>
    <t>Козяр  Андрій Іванович</t>
  </si>
  <si>
    <t>Львівська обл., м. Львів, вул. Антонича, б. 32</t>
  </si>
  <si>
    <t>м. Запоріжжя, вул. Шкільна, 25</t>
  </si>
  <si>
    <t>Запорізьська</t>
  </si>
  <si>
    <t>Багатоквартирний будинок ОСББ "ПЕНТАГОН"</t>
  </si>
  <si>
    <t>1980/1981</t>
  </si>
  <si>
    <t xml:space="preserve">Рівненська обл., Дубенський р-он с. Мирогоща ІІ, вул. Патолічева, 11А </t>
  </si>
  <si>
    <t xml:space="preserve">Баня – пральня Комунального закладу «Мирогощанський дитячий будинок - інтернат» Рівненської обласної ради» </t>
  </si>
  <si>
    <t>Київська обл., Обухівський р-н, м. Українка, вул. Соснова, 4 (секції 1-4)</t>
  </si>
  <si>
    <t>Житловий багатоповерховий будиноккція  (секції 1-4), ОСББ «Соснячок»</t>
  </si>
  <si>
    <t>Київська обл., Обухівський р-н, м. Українка, вул. Соснова, 4 (секції 5-6)</t>
  </si>
  <si>
    <t>Житловий багатоповерховий будиноккція  (секції 5-6), ОСББ «Соснячок»</t>
  </si>
  <si>
    <t>Харківська обл., м. Харків, просп. Льва Ландау, 52, будинок №3</t>
  </si>
  <si>
    <t>Пригорнєв Георгій Івановіч</t>
  </si>
  <si>
    <t>Львівська обл., м. Старий Самбір, вул. Д.Галицького, 41</t>
  </si>
  <si>
    <t>м. Старий Самбір</t>
  </si>
  <si>
    <t>Старосамбірське ВП ГУНП у Львівській області</t>
  </si>
  <si>
    <t>Рівненська обл., Дубенський район, с. Мирогоща ІІ, вул. Патолічева, б. 11А</t>
  </si>
  <si>
    <t>Адміністративний корпус Комунального закладу «Мирогощанський дитячий будинок-інтернат» Рівненської обласної ради»</t>
  </si>
  <si>
    <t>вул. Грубника 27, смт. Доброслав, Лиманської районної ради</t>
  </si>
  <si>
    <t>смт. Доброслав</t>
  </si>
  <si>
    <t xml:space="preserve"> Поліклінічне відділення КНП «Лиманська центральна районна лікарня»</t>
  </si>
  <si>
    <t>м. Южне, просп. Григорівського десанту буд. 24-А</t>
  </si>
  <si>
    <t>Комунальний заклад "Южненський навчальновиховний комплекс імені В'ячеслава Чорновола (гімназія-загальноосвітня школа І ступеня) Южненської міської ради Одеської області</t>
  </si>
  <si>
    <t xml:space="preserve">м. Запоріжжя, вул. Культурна, 177-А </t>
  </si>
  <si>
    <t>Корпус блоку дистанційної променевої терапії комунальної установи «Запорізький обласний клінічний онкологічний диспансер»</t>
  </si>
  <si>
    <t>Нове будівництво (проект)</t>
  </si>
  <si>
    <t xml:space="preserve">м. Харків, просп. Льва Ландау, 52 (будинок №5) </t>
  </si>
  <si>
    <t>м.Стрий , вул. Г.Коссака, 11</t>
  </si>
  <si>
    <t>Стрийській відділ поліції головного управління національної поліції у Львівській області</t>
  </si>
  <si>
    <t>Сумська область, м. Лебедин, вул. Першогвардійська, 17</t>
  </si>
  <si>
    <t>Навчальний заклад. Комунальний заклад Сумської обласної ради «Лебединське медичне училище імені професора М.І. Сітенка», корпус вул. Першогвардійська, 17</t>
  </si>
  <si>
    <t>м. Миколаїв, вул. Архітектора Старова, 2-Д (секція 2)</t>
  </si>
  <si>
    <t>Житловий будинок на 72 квартири</t>
  </si>
  <si>
    <t>Рівненська обл., м. Здолбунів, вул. Мазепи, 20</t>
  </si>
  <si>
    <t>Багатоквартирний житловий будинок (ОСББ «Г. Мазепи-20»)</t>
  </si>
  <si>
    <t>м. Луцьк, вул. Кравчука, 30</t>
  </si>
  <si>
    <t>Будівля луцького навчально-виховного комплексу № 26</t>
  </si>
  <si>
    <t>Рівненська обл., Дубенський р-н., с. Мирогоща ІІ, вул. Патолічева, 11А</t>
  </si>
  <si>
    <t>Столова–кухня комунального закладу «Мирогощанський дитячий будинок - інтернат» Рівненської обласної ради</t>
  </si>
  <si>
    <t>Запорізька обл., м. Пологи, вул. Щаслива, 83 (корпус 1)</t>
  </si>
  <si>
    <t>м. Пологи</t>
  </si>
  <si>
    <t xml:space="preserve">КУ «Пологівська гімназія «Основа»» Пологівської районної ради (корпус 1) </t>
  </si>
  <si>
    <t>Запорізька обл., м. Пологи, вул. Щаслива, 83 (корпус 2)</t>
  </si>
  <si>
    <t xml:space="preserve">КУ «Пологівська гімназія «Основа»» Пологівської районної ради (корпус 2) </t>
  </si>
  <si>
    <t>м. Суми, вул. Привокзальна, 33</t>
  </si>
  <si>
    <t>Обласний комунальний заклад «Сумський обласний клінічний онкологічний диспансер». Клінічна діагностична лабораторія</t>
  </si>
  <si>
    <t>Рівненська обл., м. Острог, вул. Татарська, 122а</t>
  </si>
  <si>
    <t>Корпус теоретичних знань Острозького вищого професійного училища</t>
  </si>
  <si>
    <t>Львівська обл., м. Львів, вул. Антоновича, 26</t>
  </si>
  <si>
    <t>Львівська обл., Пустомитівський р-н., с.Сокільники</t>
  </si>
  <si>
    <t>Комплекс дорожнього сервісу з торговими приміщеннями і об’єктами транспортної інфраструктури (нове будівництво)</t>
  </si>
  <si>
    <t>Запорізька обл., м. Пологи, вул. Волошкова, 7</t>
  </si>
  <si>
    <t>КУ "Пологівська ЗОШ І-ІІІ ступенів №6"</t>
  </si>
  <si>
    <t>Сумська обл., м. Суми, вул. Привокзальна, б. 33</t>
  </si>
  <si>
    <t>Обласний комунальний заклад «Сумський обласний клінічний онкологічний диспансер». Адмінбудівля</t>
  </si>
  <si>
    <t>Харківська обл., Красноградський район, с. Миколо-Камишувате, вул. Українська, б. 6</t>
  </si>
  <si>
    <t>с. Миколо-Камишувате</t>
  </si>
  <si>
    <t>Амбулаторія загальної практики – сімейної медицини</t>
  </si>
  <si>
    <t xml:space="preserve">Дубенський р-н, с. Мирогоща ІІ, вул. Патолічева, 11А </t>
  </si>
  <si>
    <t>Житловий корпус №1  Комунального закладу «Мирогощанський дитячий будинок - інтернат» Рівненської обласної ради»</t>
  </si>
  <si>
    <t>Журавська Галина Юріївна</t>
  </si>
  <si>
    <t>Пологівський р-н, с. Новокарлівка, вул. Конєва, 11а</t>
  </si>
  <si>
    <t>с. Новокарлівка</t>
  </si>
  <si>
    <t>КУ "Новокарлівська ЗОШ І-ІІІ ступенів." Пологівської районої ради</t>
  </si>
  <si>
    <t>м.Хмельницький, вул.Панаса Мирного,1/4</t>
  </si>
  <si>
    <t xml:space="preserve"> Молодіжно-розважальний центр </t>
  </si>
  <si>
    <t>м. Острог, вул. Татарська, 122а</t>
  </si>
  <si>
    <t>Суспільно-побутовий корпус острозького вищого професійного училища</t>
  </si>
  <si>
    <t xml:space="preserve">Хмельницька область, м. Хмельницький, вулиця Львiвське шосе, будинок 41 </t>
  </si>
  <si>
    <t xml:space="preserve">Будівля торгівлі. «Реконструкцiя окремого iндивiдуально визначеного майна - нежитлового примiщення пiд магазин продовольчих та непродовольчих товарiв за адресою: Хмельницька область, м. Хмельницький, вулиця Львiвське шосе, будинок 41»  </t>
  </si>
  <si>
    <t>Запорізька обл., Пологівський р-н, с. Інженерне, вул. Центральна, 93Б</t>
  </si>
  <si>
    <t>с. Інженерне</t>
  </si>
  <si>
    <t>КУ "Інженерська ЗОШ І-ІІІ ступенів" Пологівської районної ради</t>
  </si>
  <si>
    <t xml:space="preserve">Київська область, селищі Коцюбинське, вул. Доківська, буд.10 (корпус №8, 9, 10, 11); </t>
  </si>
  <si>
    <t>селище Коцюбинське</t>
  </si>
  <si>
    <t>Житловий будинок на 892 квартири</t>
  </si>
  <si>
    <t>м. Суми, вул. Привокзальна, буд. 3</t>
  </si>
  <si>
    <t>Обласний комунальний заклад "Сумський обласний клінічний онкологічний диспансер". Променеве відділення № 1 (Літ. М-1)</t>
  </si>
  <si>
    <t>м. Львів, вул. Драгана, 8</t>
  </si>
  <si>
    <t>Запорізька обл., Пологівський р-н., с. Семенівка, вул. Кирилівська, 5</t>
  </si>
  <si>
    <t>с. Семенівка</t>
  </si>
  <si>
    <t>КУ «Семенівський НВК» Пологівської районної ради</t>
  </si>
  <si>
    <t>Обласний комунальний заклад «Сумський обласний клінічний онкологічний диспансер». Променеве відділення № 2 (Літ. Л-II)</t>
  </si>
  <si>
    <t>Харківська обл., Красноградський р-н., с. Петрівка, вул. Перемоги, 1А</t>
  </si>
  <si>
    <t>с. Петрівка</t>
  </si>
  <si>
    <t>Одеська обл., м. Ізмаїл, пр. Миру, б. 11/2 (секція А)</t>
  </si>
  <si>
    <t>м. Ізмаїл</t>
  </si>
  <si>
    <t>Запорізька обл., Пологівський район, с. Тарасівка, вул. Миру, б. 78</t>
  </si>
  <si>
    <t>с. Тарасівка</t>
  </si>
  <si>
    <t>КУ «Тарасівська ЗОШ І-ІІ ступенів» Пологівської районної ради</t>
  </si>
  <si>
    <t>Запорізька обл., Пологівський район, с. Басань, вул. Шкільна, б. 1</t>
  </si>
  <si>
    <t>с. Басань</t>
  </si>
  <si>
    <t>КУ «Басанська ЗОШ І-ІІІ ступенів» Пологівської районної ради</t>
  </si>
  <si>
    <t>Чернівецька обл., м. Чернівці, вул. Героїв Майдану, б. 228</t>
  </si>
  <si>
    <t>Поліклініка (будівля літ."А")</t>
  </si>
  <si>
    <t>Одеська обл., м. Ізмаїл, пр. Миру, 11/2 (Секція В)</t>
  </si>
  <si>
    <t>Запорізька обл., м. Пологи, вул. Героя України Сацького В.А., 5</t>
  </si>
  <si>
    <t xml:space="preserve">Запорізька </t>
  </si>
  <si>
    <t xml:space="preserve">КУ «ДЮСШ» Пологівської районної ради </t>
  </si>
  <si>
    <t>Запорізька обл., с. Новофедорівка, вул. Молодіжна, 100</t>
  </si>
  <si>
    <t>с. Новофедорівка</t>
  </si>
  <si>
    <t>КУ «Новофедорівська ЗОШ І-ІІ ступенів» Пологівської районної ради</t>
  </si>
  <si>
    <t>м. Харків, вул. Зернова</t>
  </si>
  <si>
    <t>Багатоповерховий житловий будинок з об’єктами обслуговування, торгівельними та офісними приміщеннями (1 пусковий комплекс, секція В)</t>
  </si>
  <si>
    <t>Тернопільська обл., м. Теребовля, вул. Шевченка, 1</t>
  </si>
  <si>
    <t>м. Теребовля</t>
  </si>
  <si>
    <t>Будівля навчального закладу</t>
  </si>
  <si>
    <t>Запорізька обл., Пологівський р-н, с. Костянтинівка, вул. Перемоги, 44</t>
  </si>
  <si>
    <t>с. Костянтинівка</t>
  </si>
  <si>
    <t xml:space="preserve">КУ "Костянтинівська ЗОШ I-III ступенів" Пологівської
районної ради
</t>
  </si>
  <si>
    <t>Запорізька обл., Пологівський р-н, с. Федорівка, вул. Шкільна, 42</t>
  </si>
  <si>
    <t>с. Федорівка</t>
  </si>
  <si>
    <t xml:space="preserve">КУ "Федорівська ЗОШ I-III ступенів" Пологівської
районної ради (Корпус 1)
</t>
  </si>
  <si>
    <t>Одеська обл., смт. Доброслав, вул. Грубника, 27</t>
  </si>
  <si>
    <t>Дитяче, гінекологічне, полове, реанімаційне та приймальне відділення (літ. И, И1, И2) КНП «Лиманська центральна районна лікарня»,</t>
  </si>
  <si>
    <t>Відділення Хірургія - Терапія (літ. З) КНП «Лиманська центральна районна лікарня»</t>
  </si>
  <si>
    <t>c. Велика Омеляна, вул. Шевченка,79</t>
  </si>
  <si>
    <t>c. Велика Омеляна</t>
  </si>
  <si>
    <t>Сільська рада</t>
  </si>
  <si>
    <t>Пологівський р-н, с. Шевченкове, вул. Горького, 34а</t>
  </si>
  <si>
    <t>с. Шевченкове</t>
  </si>
  <si>
    <t xml:space="preserve">КУ "Шевченківська ЗОШ І-ІІІ ступенів" Пологівської районної ради
</t>
  </si>
  <si>
    <t>вул. Центральна, 120, с. Прилиманське, Овідіопольського району</t>
  </si>
  <si>
    <t>с. Прилиманське</t>
  </si>
  <si>
    <t xml:space="preserve">
КЗ "Прилиманський будинок культури та мистецтв"
</t>
  </si>
  <si>
    <t>1981, реконструкція 2019</t>
  </si>
  <si>
    <t>Запорізька обл., Пологівський р-н, с. Вербове, вул. Миру, 155</t>
  </si>
  <si>
    <t>с. Вербове</t>
  </si>
  <si>
    <t>КУ "Вербівська ЗОШ І-ІІІ ступенів" Пологівської районної ради</t>
  </si>
  <si>
    <t>м. Чернівці, вул. Героїв Майдану, 228</t>
  </si>
  <si>
    <t>м. Чернівц</t>
  </si>
  <si>
    <t>Ченівецька</t>
  </si>
  <si>
    <t>Стаціонар (будівля літ."Б")</t>
  </si>
  <si>
    <t xml:space="preserve">н/в </t>
  </si>
  <si>
    <t xml:space="preserve">   Вінницька обл., Томашпільський р-н, смт. Вапнярка,  вул. Незалежності, буд 116 </t>
  </si>
  <si>
    <t>смт. Вапнярка</t>
  </si>
  <si>
    <t xml:space="preserve"> Вінницька</t>
  </si>
  <si>
    <t>Торгівельний центр</t>
  </si>
  <si>
    <t>м. Чернівці, вул. С. Воробкевича, 33</t>
  </si>
  <si>
    <t>Будівництво багатоквартирних житлових будинків з підземним паркінгом (блоки № 17, № 18) по вул. С. Воробкевича, 33 в м. Чернівці</t>
  </si>
  <si>
    <t>Івано-Франківська обл., м. Галич, вул. Кардинала Любомира Гузара, 5</t>
  </si>
  <si>
    <t>Культурно-розважальний комплекс «Княжий Галич»</t>
  </si>
  <si>
    <t>Одеська обл., м. Ізмаїл, просп. Миру, 11/2 (секція Б)</t>
  </si>
  <si>
    <t>Запорізька обл., м. Пологи, вул. Привокзальна, 23</t>
  </si>
  <si>
    <t>КУ "МНВК" Пологівської районної ради (Корпус 1)</t>
  </si>
  <si>
    <t>Волинська область, Маневицький район, с. Костюхнівка, вул. Молодіжна, 10</t>
  </si>
  <si>
    <t>с. Костюхнівка</t>
  </si>
  <si>
    <t xml:space="preserve">Загальноосвітня школа I-III ступенів с. Костюхнівка Маневицького району, Волинської області
</t>
  </si>
  <si>
    <t>Рівненська обл., с. Бараховичі, вул. Єршова, 13</t>
  </si>
  <si>
    <t>с. Бараховичі</t>
  </si>
  <si>
    <t>1964. Проект. Капітальний ремонт. 2019</t>
  </si>
  <si>
    <t>Крупко Валентина Іванівна</t>
  </si>
  <si>
    <t>Багатоповерховий житловий будинок ОСББ «ТВК Україна»</t>
  </si>
  <si>
    <t>1098.8</t>
  </si>
  <si>
    <t>м. Харків, пров. Шевченківський, 40</t>
  </si>
  <si>
    <t>11+опалювальний техповерх</t>
  </si>
  <si>
    <t>м. Тернопіль, 
вул. Львівська 11А</t>
  </si>
  <si>
    <t>Навчальний корпус № 11, Тернопільський національний економічний університет</t>
  </si>
  <si>
    <t>Цукорник Сергій Володимирович</t>
  </si>
  <si>
    <t>м. Одеса, Малиновський р-н., вул. Михайлівська, 8 (житловий будинок №6)</t>
  </si>
  <si>
    <t>Багатоповерховий житловий будинок на 115 квартир</t>
  </si>
  <si>
    <t xml:space="preserve">м. Харків, вул. Бестужева,11 </t>
  </si>
  <si>
    <t>Хмельницька обл., м. Славута, вул. Миру, б. 22</t>
  </si>
  <si>
    <t>м. Славута</t>
  </si>
  <si>
    <t>Реконструкція нежитлової будівлі під магазин промтоварів</t>
  </si>
  <si>
    <t>1973. Проект, реконструкція</t>
  </si>
  <si>
    <t>Запорізька обл., м. Пологи, вул. Шкільна, б. 29</t>
  </si>
  <si>
    <t>КУ «Пологівська СРШ №2»</t>
  </si>
  <si>
    <t>1963/1988</t>
  </si>
  <si>
    <t>1- 2- 3</t>
  </si>
  <si>
    <t>Запорізька обл., Пологівський район, с. Григорівка, вул. Миру, б. 144-А</t>
  </si>
  <si>
    <t>с. Григорівка</t>
  </si>
  <si>
    <t>КУ «Григорівська ЗОШ І-ІІІ ступенів» Пологівської районної ради</t>
  </si>
  <si>
    <t>Дніпропетровська обл., м. Дніпро. вул. Б. Хмельницького, 11А</t>
  </si>
  <si>
    <t>10-поверхова житлова будівля з нежитловими приміщеннями на першому поверсі (ІІ черга будівництва)</t>
  </si>
  <si>
    <t>Харківська обл.. м. Харків. вул, Клочківська, 117</t>
  </si>
  <si>
    <t>Житловий комплекс (1 черга будівництва, 5 пусковий комплекс)</t>
  </si>
  <si>
    <t>Запорізька обл., м. Пологи, вул. Героя України Сацького В.А., 3</t>
  </si>
  <si>
    <t xml:space="preserve">КУ «Пологівська ЗОШ І - ІІІ ступенів №4» </t>
  </si>
  <si>
    <t>1955/1973</t>
  </si>
  <si>
    <t>Рівненська обл., Гощанський р-н., с. Бабин, вул. Пушкіна, 19</t>
  </si>
  <si>
    <t>с. Бабин</t>
  </si>
  <si>
    <t>Реконструкція нежитлового приміщенняпід АЗПСМ</t>
  </si>
  <si>
    <t>невідомий</t>
  </si>
  <si>
    <t>281.28</t>
  </si>
  <si>
    <t xml:space="preserve"> місто Вінниця, вулиця Миколи Оводова, буд. 63 </t>
  </si>
  <si>
    <t xml:space="preserve">«Нове будівництво торгово-офісної будівлі з кафе по вул. Миколи Оводова, 63 в м. Вінниця» </t>
  </si>
  <si>
    <t xml:space="preserve">м. Пологи, вул. Державна, 18
</t>
  </si>
  <si>
    <t>КУ «Пологівський колегіум № 1»</t>
  </si>
  <si>
    <t xml:space="preserve">м. Харків, просп. Льва Ландау (колишній просп. П'ятдесятичіччя СРСР), кут просп. Московського
</t>
  </si>
  <si>
    <t>Багатоквартирний житловий будинок з вбудованими приміщеннями громадського призначення. ЖК "Пролісок" 1-ша черга будівництва.</t>
  </si>
  <si>
    <t>Заїка Володимир Євгенійович</t>
  </si>
  <si>
    <t>м. Городня,  вул. Чернігівська, 5</t>
  </si>
  <si>
    <t>Магазин продовольчих та непродовольчих товарів (громадська будівля, нове будівництво)</t>
  </si>
  <si>
    <t>Запорізька обл., Пологівський р-н., с. Пологи, вул. Центральна, 188</t>
  </si>
  <si>
    <t>с. Пологи</t>
  </si>
  <si>
    <t>КУ «Пологівський ЗЗСО І-ІІІ ступенів № 5»</t>
  </si>
  <si>
    <t>Донецька обл., м. Маріуполь, б-р Шевченка, 353</t>
  </si>
  <si>
    <t>м. Маріуполь</t>
  </si>
  <si>
    <t>Службово-адміністративна будівля спортивного комплексу під відкритим небом на базі футбольного поля при ЗОШ № 67</t>
  </si>
  <si>
    <t>Запорізька обл., с. Новоселівка, вул. Гагаріна, 81</t>
  </si>
  <si>
    <t>с. Новоселівка</t>
  </si>
  <si>
    <t>КУ «Новоселівська ЗОШ І-ІІІ ступенів»</t>
  </si>
  <si>
    <t>м. Київ, 
вул. Академіка Заболотного, 15 (буд. 5)</t>
  </si>
  <si>
    <t>Будівництво житлового комплексу з вбудовано-прибудованими приміщеннями та паркінгом</t>
  </si>
  <si>
    <t>Миколаївська обл., смт. Єланець, вул. Соборна, 126</t>
  </si>
  <si>
    <t>смт. Єланець</t>
  </si>
  <si>
    <t>Єланецький ДНЗ №1 «Ромашка»</t>
  </si>
  <si>
    <t>Львівська обл., с. Підбірці, вул. Просвіти, 12</t>
  </si>
  <si>
    <t>с. Підбірці</t>
  </si>
  <si>
    <t>Підбірцівська загальноосвітня школа І-ІІІ ступенів</t>
  </si>
  <si>
    <t>Запорізька обл., Пологівський р-н, с.Федорівка, вул. Шкільна, 42</t>
  </si>
  <si>
    <t xml:space="preserve"> с.Федорівка</t>
  </si>
  <si>
    <t>КУ "Федорівська ЗОШ I-III ступенів" Пологівської районної ради                (Корпус 2)</t>
  </si>
  <si>
    <t xml:space="preserve">Маяцька дорога, 27, смт Хлібодарське, Біляївського району, Одеської обл.  </t>
  </si>
  <si>
    <t>смт Хлібодарське</t>
  </si>
  <si>
    <t xml:space="preserve">Одеський філіал державно – дослідного інституту з лабораторної діагностики та ветеринарно – санітарної експертизи </t>
  </si>
  <si>
    <t xml:space="preserve">нове будівництво </t>
  </si>
  <si>
    <t>Ісаєв Володимир Федорович</t>
  </si>
  <si>
    <t xml:space="preserve">Одеська область, м. Южне, вул. Т.Г.Шевченка, 5 </t>
  </si>
  <si>
    <t>житлова будівля, ОСББ "Т.Г.Шевченка 5"</t>
  </si>
  <si>
    <t>Полтавська обл. , м. Пирятин, вул. Сумська, б. 1А</t>
  </si>
  <si>
    <t>м. Пирятин</t>
  </si>
  <si>
    <t>ТЦ «АТБ-МАРКЕТ»</t>
  </si>
  <si>
    <t>Реконструкція</t>
  </si>
  <si>
    <t>Чернігівська обл., Чернігівський район, с. Снов’янка,  вул.Сновська, 10, Будинок №5</t>
  </si>
  <si>
    <t>с. Снов'янка</t>
  </si>
  <si>
    <t>Чернігвська</t>
  </si>
  <si>
    <t>Двох поверховий будинок</t>
  </si>
  <si>
    <t>Приходько Вячеслав Миколайович</t>
  </si>
  <si>
    <t>м. Київ, Шевченківський район, вул. Зоологічна, б. 5</t>
  </si>
  <si>
    <t>«Реконструкція нежитлової будівлі з прибудовою будинку адміністративного призначення за адресою: вул. Зоологічна, 5 (літераА) у Шевченківському районі м. Києва»</t>
  </si>
  <si>
    <t>м. Київ, просп. Перемоги, 67, будинок №7</t>
  </si>
  <si>
    <t>«Будівництво житлового комплексу з торгово-розважальним центром, приміщеннями громадського призначення та підземно-наземним паркінгом на проспекті Перемоги, 67 у Святошинському районі м. Києва» VIІ черга будівництва житловий будинок №7</t>
  </si>
  <si>
    <t>м. Київ, 
пр. Степана Бандери, 19</t>
  </si>
  <si>
    <t>Адміністративна будівля національної служби здоров’я України</t>
  </si>
  <si>
    <t>Реконструкція проект 2019</t>
  </si>
  <si>
    <t>м. Суми, 
вул. Привокзальна, 33</t>
  </si>
  <si>
    <t xml:space="preserve">Сумський обласний клінічний онкологічний диспансер (Поліклінічне відділення) </t>
  </si>
  <si>
    <t>м. Харків, 
вул. Сумська, 35</t>
  </si>
  <si>
    <t xml:space="preserve"> Науково-дослідницький інститут астрономії Харківського національного університету імені В.Н. Каразіна</t>
  </si>
  <si>
    <t>1936 (Реконструкція 2019)</t>
  </si>
  <si>
    <t>м. Хмельницький, вул. Свободи, 16/2Б</t>
  </si>
  <si>
    <t>Торгівельно-офісний центр</t>
  </si>
  <si>
    <t>Львівська обл., 
м. Червоноград, вул. Святого Володимира, 8а</t>
  </si>
  <si>
    <t>м. Червоноград</t>
  </si>
  <si>
    <t>Адміністративна будівля Червоноградського ВП ГУНП у Львівській області</t>
  </si>
  <si>
    <t>Чернігівська обл., с. Снов’янка, вул. Сновська, 10</t>
  </si>
  <si>
    <t>Басейн з приміщеннями лікувально-оздоровчого призначення</t>
  </si>
  <si>
    <t>Яворівський район, смт. Немирів, вул. Курортна,21</t>
  </si>
  <si>
    <t>смт Немирів</t>
  </si>
  <si>
    <t>Санаторій "Прикордонник- Немирів", спальний корпус №11</t>
  </si>
  <si>
    <t>1992 (капітальний ремонт 2020)</t>
  </si>
  <si>
    <t>Львывська обл.. м. Моршин, вул. Привокзальна, 43</t>
  </si>
  <si>
    <t>Спортивно-оздоровча база "Динамо"</t>
  </si>
  <si>
    <t>Волинська обл., м. Устилуг, вул. Левінцова, 18</t>
  </si>
  <si>
    <t>м. Устиоуг</t>
  </si>
  <si>
    <t>Капітальний ремонт. 1967</t>
  </si>
  <si>
    <t>Вавринюк Богдан Андрійович</t>
  </si>
  <si>
    <t>Хмельницька обл., м. Хмельницький, пр. Верхній Береговий, 11</t>
  </si>
  <si>
    <t>Торговельно - офісний центр. Нове будівництво</t>
  </si>
  <si>
    <t>Волинська обл.. м. Любомль, вул. Незалежності, 25</t>
  </si>
  <si>
    <t>м. Рівне, вул. Відінська, 19</t>
  </si>
  <si>
    <t xml:space="preserve">Багатоквартирний житловий будинок ОСББ «Альфа» </t>
  </si>
  <si>
    <t>1973 (капітальний ремонт)</t>
  </si>
  <si>
    <t xml:space="preserve">м. Городок, вул. Гайдамаків, 9 </t>
  </si>
  <si>
    <t>м. Городок</t>
  </si>
  <si>
    <t xml:space="preserve">Городоцьке відділення поліції Яворівського відділення поліції (Громадська будівля) </t>
  </si>
  <si>
    <t xml:space="preserve">м. Суми, площа Троїцька, буд. 14 </t>
  </si>
  <si>
    <t>Сумський обласний спеціалізований диспансер радіаційного захисту населення. Поліклініка.</t>
  </si>
  <si>
    <t>смт Казанка, вул. Коптєва,16Б</t>
  </si>
  <si>
    <t>смт Казанка</t>
  </si>
  <si>
    <t xml:space="preserve">Миколаївська </t>
  </si>
  <si>
    <t>Казанківська дитячо-юнацька спортивна школа</t>
  </si>
  <si>
    <t>1966 (капремонт проект 2018)</t>
  </si>
  <si>
    <t>Процак Олександр Володимирович</t>
  </si>
  <si>
    <t>Волинська область, м. Ковель, вул. Володимирська, 137</t>
  </si>
  <si>
    <t>Гуртожиток №3</t>
  </si>
  <si>
    <t>Реконструкція. 1987</t>
  </si>
  <si>
    <t xml:space="preserve">Львівська обл., Пустомитівський р-н, с. Зимна Вода, вул. Городоцька 2В </t>
  </si>
  <si>
    <t>м. Суми, площа Троїцька, 14</t>
  </si>
  <si>
    <t>Комунальний заклад Сумської обласної ради «Сумський обласний спеціалізований диспансер радіаційного захисту населення». Адміністративно-господарський корпус</t>
  </si>
  <si>
    <t>Волинська обл., Маневицький р-н., с. Оконськ, вул. Луцька, 4</t>
  </si>
  <si>
    <t>с. Оконськ</t>
  </si>
  <si>
    <t>«Загальноосвітня школа I-III cтупенів» Маневицького району Волинської області</t>
  </si>
  <si>
    <t>м. Київ, 
проспект Перемоги, 67, IV черга будівництва</t>
  </si>
  <si>
    <t>«Будівництво житлового коплексу з торгово- розважальним центром, приміщеннями громадьского призначення та підземно-наземним паркінгом на проспекті Перемоги, 67 у Святошинському районі м. Києва» IV черга будівництва – заклад дошкільної освіти</t>
  </si>
  <si>
    <t>м. Луцьк, вул. Чорновола, 40</t>
  </si>
  <si>
    <t>Багатоквартирний житловий будинок (новобудова)</t>
  </si>
  <si>
    <t xml:space="preserve">Балтійський, 23 в Оболонському районі м. Києва 04073 </t>
  </si>
  <si>
    <t xml:space="preserve">Багатофункціональний житловий квартал, будинок №1   </t>
  </si>
  <si>
    <t>Любарець Олександр Петрович</t>
  </si>
  <si>
    <t xml:space="preserve">Тернопільська обл., м. Заліщики, вул. Грушевського, 12 </t>
  </si>
  <si>
    <t>м. Заліщики</t>
  </si>
  <si>
    <t xml:space="preserve"> Лікувальний корпус  Комунального некомерційного підприємства «Заліщицький  дитячий  центр медичної  реабілітації» Тернопільської обласної ради</t>
  </si>
  <si>
    <t>м. Тернопіль, вул. Клінічна, 1</t>
  </si>
  <si>
    <t>Терапевтичний корпус №4 комінального некомерційного підприємства «Тернопільська університетська лікарня» Тернопільської обласної ради</t>
  </si>
  <si>
    <t>Інфекційне відділення «Лиманська центральна районна лікарня»</t>
  </si>
  <si>
    <t>Сумська обл., 
с. Таратутино</t>
  </si>
  <si>
    <t>с. Таратутино</t>
  </si>
  <si>
    <t xml:space="preserve">КУСОР «Антинський психоневрологічний інтернат. Краснопільська філія» (Адмінбудівля) </t>
  </si>
  <si>
    <t>Комунальне некомерційне підприємство "Тернопільська університетська лікарня" Тернопільської обласної ради. Хірургічний корпус</t>
  </si>
  <si>
    <t>Запорізька обл., м. Запоріжжя, пл. Запорізька, 1</t>
  </si>
  <si>
    <t>Міський Палац дитячої та юнацької творчості</t>
  </si>
  <si>
    <t>Пархісенко Денис Олександрович</t>
  </si>
  <si>
    <t>Волинська обл.. Ківерцівський р-н, с. Жидичин, вул. Б. Хмельницького, 1</t>
  </si>
  <si>
    <t>с. Жидичин</t>
  </si>
  <si>
    <t>Волиинська</t>
  </si>
  <si>
    <t>Опорний заклад загальної середньої освіти «Жидичинський ліцей Жидичинської сільської ради Ківерцівсього району Волинської області»</t>
  </si>
  <si>
    <t xml:space="preserve">м. Київ, Дарницький р-н, вул. Волго-Донська, 21-а </t>
  </si>
  <si>
    <t xml:space="preserve">Будівля дитячого дошкільного навчального закладу № 652 </t>
  </si>
  <si>
    <t>Проект, реконструкція</t>
  </si>
  <si>
    <t>Одеська обл., смт Доброслав, вул. Грубника, 27</t>
  </si>
  <si>
    <t>смт Доброслав</t>
  </si>
  <si>
    <t>Адмінкорпус –Неврологічне відділення (літ. Б,Б1) КНП «Лиманська центральна районна лікарня»</t>
  </si>
  <si>
    <t>Рівненська обл., Володимирецький р-н., смт Рафалівка, вул Петропавлівська, 35</t>
  </si>
  <si>
    <t>смт Рафалівка</t>
  </si>
  <si>
    <t>Капремонт лікарської амбулаторії в смт Рафалівка Володимирецького району Рівненської області</t>
  </si>
  <si>
    <t>1996 (капремонт)</t>
  </si>
  <si>
    <t xml:space="preserve"> Хмельницька обл., Хмельницький район, с.Грузевиця, вул. Будівельників 5/3</t>
  </si>
  <si>
    <t>с.Грузевиця</t>
  </si>
  <si>
    <t>м.Львів, вул. Віденська, 8</t>
  </si>
  <si>
    <t>м.Львів</t>
  </si>
  <si>
    <t>Житловий будинок (гуртожиток)</t>
  </si>
  <si>
    <t>Заяць Ігор Григорійович</t>
  </si>
  <si>
    <t>Гуртожиток острозького вищого професійного училища</t>
  </si>
  <si>
    <t>Полтавська обл., смт. Ромодан, вул. Шевченка, 5</t>
  </si>
  <si>
    <t>смт. Ромодан</t>
  </si>
  <si>
    <t>Ромоданівська ЗОШ І-ІІІ ступенів</t>
  </si>
  <si>
    <t>1917/1962/1982</t>
  </si>
  <si>
    <t>м. Миколаїв, пр. Миру, 14Б</t>
  </si>
  <si>
    <t>Житловий будинок на 61 квартиру</t>
  </si>
  <si>
    <t>Сумська обл., м. Лебедин, вул. Героїв Майдану, 17</t>
  </si>
  <si>
    <t>Лебединське медичне училище імені проф. М.І.Сітенка -комунальний заклад Сумської обласно ради. Учбовий корпус "А"</t>
  </si>
  <si>
    <t>Сумський обласний спеціалізований диспансер радіаційного захисту населення. Лікувальний корпус №2.</t>
  </si>
  <si>
    <t>Львівська обл., м. Львів, вул. Земельна, б/н (літ. Б-1)</t>
  </si>
  <si>
    <t>Адміністративна будівля - навчальний центр УДСО при УМВС України у Львівській області (перепрофілювання)</t>
  </si>
  <si>
    <t>Проект на реконструкцію 2009р.</t>
  </si>
  <si>
    <t>1071.47</t>
  </si>
  <si>
    <t>Дніпропетровська обл., м. Дніпро. вул. Д.Донцова, 2а</t>
  </si>
  <si>
    <t>2014. Проект, реконструкція</t>
  </si>
  <si>
    <t xml:space="preserve">6516, 42 </t>
  </si>
  <si>
    <t>275, 084</t>
  </si>
  <si>
    <t>50, 683</t>
  </si>
  <si>
    <t>Сумська обл., Краснопільський р-н., с. Таратутино</t>
  </si>
  <si>
    <t>КУСОР «Антинський психоневрологічний інтернат. Краснопільська філія» Корпус 3</t>
  </si>
  <si>
    <t>масив 10, земельні ділянки 198/1, 198/2, 199/1, 199/2, на території Авангардівської селищної ради, Овідіопольського району Одеської області (Будинок № 3)</t>
  </si>
  <si>
    <t>смт Авангард</t>
  </si>
  <si>
    <t xml:space="preserve"> Одеська</t>
  </si>
  <si>
    <t xml:space="preserve">Везенков Петро Іванович </t>
  </si>
  <si>
    <t>Вінницька обл., Вінницький р-н., с. Агрономічне, вул. Мічуріна, 30</t>
  </si>
  <si>
    <t>с. Агрономічне</t>
  </si>
  <si>
    <t>Будівництво багатоквартирного трьохсекційного житлового будинку з вбудовано-прибудованими приміщеннями по вул. Мічуріна, 30, с. Агрономічне, Вінницького району, Вінницької області</t>
  </si>
  <si>
    <t>Рівненська обл. Здолбунівський р-н., с. Копиткове, вул. Шкільна, 7А</t>
  </si>
  <si>
    <t>с. Копиткове</t>
  </si>
  <si>
    <t>Дошкільний навчальний заклад (громадська будівля) «Сонечко» с. Копиткове Здолбунівського району Рівненської області</t>
  </si>
  <si>
    <t>Лебединське медичне училище імені проф. М.І. Сітенка - комунальний заклад Сумської обласної ради. Учбовий корпус «Б».</t>
  </si>
  <si>
    <t xml:space="preserve">       м. Івано-Франківськ, вул. Юліана Целевича, б/н </t>
  </si>
  <si>
    <t xml:space="preserve"> м. Івано-Франківськ</t>
  </si>
  <si>
    <t xml:space="preserve"> «Житлова забудова з приміщеннями громадського та комерційного призначення на вул. Юліана Целевича у м. ІваноФранківську» </t>
  </si>
  <si>
    <t xml:space="preserve"> м. Черкаси, вул. Григорія Сковороди, буд. 8
</t>
  </si>
  <si>
    <t xml:space="preserve"> Двоповерховий житловий будинок типу "таунхаус"
</t>
  </si>
  <si>
    <t>Херсонська обл. , м. Херсон, вул. І. Кулика, б. 143А</t>
  </si>
  <si>
    <t>Дев’ятиповерховий 72-квартирний житловий будинок на розі вул. і. Кулика і вул. Миру в м. Херсоні</t>
  </si>
  <si>
    <t>Масив 10, земельні ділянки 198/1, 198/2, 199/1, 199/2, на території Авангардівської селищної ради, Овідопольського району Одеської області  (Будинок №4)</t>
  </si>
  <si>
    <t>с. Авангард</t>
  </si>
  <si>
    <t>Сумська обл., м. Лебедин, вул. Героїв Майдану, б. 17</t>
  </si>
  <si>
    <t>м. Лебедин,</t>
  </si>
  <si>
    <t>Лебединське медичне училище імені проф. М.І. Сітенка – комунальний заклад Сумської обласної ради. Учбовий корпус «Д»</t>
  </si>
  <si>
    <t>м. Одеса, вул. Михайлівська, 8, буд. 7</t>
  </si>
  <si>
    <t>Багатоповерховий житловий будинок на 140 квартир</t>
  </si>
  <si>
    <t>Волинська обл., м. Устилуг, вул. Володимирська, 6</t>
  </si>
  <si>
    <t>ЗОШ І-ІІІ ступенів м. Устилуг Волинської області</t>
  </si>
  <si>
    <t>1973. Проект реконструкція</t>
  </si>
  <si>
    <t>м. Ужгород, вул. Погорелова, 3а</t>
  </si>
  <si>
    <t>Багатоквартирний житловий будинок з вбудованими приміщеннями комерційного призначення</t>
  </si>
  <si>
    <t>Волинська обл., Луцький р-н., с. Підгайці, вул. Шкільна, 24</t>
  </si>
  <si>
    <t>с. Підгайці</t>
  </si>
  <si>
    <t xml:space="preserve">НВК «Загальноосвітня школа І-ІІІ ступенів-гімназія» </t>
  </si>
  <si>
    <t>1990; 1965 (реконструкція)</t>
  </si>
  <si>
    <t>Вінницька обл., м. Вінниця, вул. Князів Коріатовичів, 116, буд.№4</t>
  </si>
  <si>
    <t>Будівництво багатокартирних житлових будинків з вбудованими приміщення громадського призначення</t>
  </si>
  <si>
    <t>Тернопільська обл., м. Тернопіль, вул. А. Сахарова, 2</t>
  </si>
  <si>
    <t>Головний корпус Комунального некомерційного підприємства «Тернопільский обласний спеціалізований будинок дитини» Тернопільської обласної ради</t>
  </si>
  <si>
    <t xml:space="preserve"> місто Вінниця, вулиця 600-річчя, буд. 66 </t>
  </si>
  <si>
    <t xml:space="preserve">«Нове будівництво багатоквартирного житлового будинку з вбудовано-прибудованими приміщеннями громадського призначення по вул. 600-річчя, 66 в м. Вінниці » </t>
  </si>
  <si>
    <t xml:space="preserve">м. Київ, вул. Сім`ї Сосніних, 14-Б </t>
  </si>
  <si>
    <t>Будівля торгівлі, АТБ-маркет</t>
  </si>
  <si>
    <t xml:space="preserve">м. Тернопіль, вул. Клінічна, 1 </t>
  </si>
  <si>
    <t>Терапевтичний корпус №1 Комунального некомерційного підприємства «Тернопільська університетська лікарня» Тернопільської обласної ради</t>
  </si>
  <si>
    <t>м. Івано-Франківськ, вул. Є. Коновальця, 86</t>
  </si>
  <si>
    <t>Полтавська обл. , м. Полтава, вул. Героїв АТО, б. 116</t>
  </si>
  <si>
    <t>Заклад гуртової та роздрібної торгівлі (реконструкція будівлі під магазин продовольчих та непродовольчих товарів)</t>
  </si>
  <si>
    <t>1990. Проект реконструкція</t>
  </si>
  <si>
    <t>Панченко  Руслан Олександрович</t>
  </si>
  <si>
    <t>Вінницька обл., м. Вінниця, вул. Константиновича, б. 35А</t>
  </si>
  <si>
    <t>Нове будівництво. Центр дитячого розвитку та адміністративний корпус</t>
  </si>
  <si>
    <t xml:space="preserve">Івано-Франківської область, Снятинський район,  с. Стецева , вул. Миру, буд. 7 </t>
  </si>
  <si>
    <t>с. Стецева</t>
  </si>
  <si>
    <t xml:space="preserve">заклад охорони здоров’я: відділення стаціонарного догляду для постійного або тимчасового проживання громадян похилого віку та осіб з інвалідністю Теріторіального  центру соціального обслуговування ( надання соціальних послуг Снятинського району)  </t>
  </si>
  <si>
    <t xml:space="preserve">Проектне рішення </t>
  </si>
  <si>
    <t xml:space="preserve">Заклад охорони здоров’я, Терапевтичний корпус №2 Комунального некомерційного підприємства «Тернопільська університетська лікарня» </t>
  </si>
  <si>
    <t xml:space="preserve"> вул. Тімірязєва, 4 с. Агрономічне, Вінницького району, Вінницької області </t>
  </si>
  <si>
    <t xml:space="preserve">1989р. </t>
  </si>
  <si>
    <t>Дмитришен Микола Вікторович</t>
  </si>
  <si>
    <t>м. Львів, вул. Личаківська, 84а; 84б; 86а; 84-86</t>
  </si>
  <si>
    <t>Київська обл., с. Нові Петрівці, вул. Ватутіна, 76</t>
  </si>
  <si>
    <t>с. Нові Петрівці</t>
  </si>
  <si>
    <t>Львівська обл., м. Новояворівськ, вул. Приозерна, б. 3</t>
  </si>
  <si>
    <t>Багатоквартирний житловий будинок з вбудованими нежитловими приміщеннями (Багатоповерховий житловий будинок)</t>
  </si>
  <si>
    <t>Львівська обл., Жовківський р-н., м. Дубляни, вул. Володимира Великого, 5 (ж.б.№4)</t>
  </si>
  <si>
    <t>Будівництво багатоквартирного будинку з підземним паркінгом та нежитловими приміщеннями</t>
  </si>
  <si>
    <t>м.Хмельницький, вул. Панаса Мирного, 1/1</t>
  </si>
  <si>
    <t>м.Хмельницький</t>
  </si>
  <si>
    <t>Магазин будівельних товарів</t>
  </si>
  <si>
    <t>м. Вінниця, вул. Пирогова, буд. 76</t>
  </si>
  <si>
    <t>«Будівництво багатоквартирного житлового будинку на вул. Пирогова, 76 в м. Вінниці» секція № 3</t>
  </si>
  <si>
    <t>Полтавська обл., м. Кременчук, вул. Олександра Білаша, 8</t>
  </si>
  <si>
    <t>Заклад гуртової та роздрібної торгівлі (реконструкція під магазин продовольчих та непродовольчих товарів)</t>
  </si>
  <si>
    <t>1971 Проект, реконструкція</t>
  </si>
  <si>
    <t xml:space="preserve">м. Дубляни на вул. Володимира Великого,5 </t>
  </si>
  <si>
    <t xml:space="preserve"> Будівництво багатоквартирного житлового будинку з підземним паркінгом та нежитловими приміщеннями у Львівській області, Жовківського району в м. Дубляни на вул. Володимира Великого, 5 (ж.б. №3). </t>
  </si>
  <si>
    <t>Нове будівництво, проект</t>
  </si>
  <si>
    <t>вул. Львівська, 9, м. Тернопіль, Україна</t>
  </si>
  <si>
    <t xml:space="preserve">Студентський гуртожиток №5. Тернопільський національний економічний університет </t>
  </si>
  <si>
    <t>Полтавська область, м. Горішні Плавні, вул. Добровольського, 9</t>
  </si>
  <si>
    <t>ОСББ "Добровольського,9"</t>
  </si>
  <si>
    <t>Багатоповерховий житловий будинок № 4/1 (будівельний номер)  по вул. Любецькій в третьому мікрорайоні житлового району «Масани»  в м. Чернігові</t>
  </si>
  <si>
    <t>Тернопільська обл., м. Тернопіль, вул. Київська-Генерала М. Тарнавського</t>
  </si>
  <si>
    <t>Будівництво групи багатоквартирних житлових будинків з вбудовано-прибудованими приміщеннями громадського призначення та об'єктів комерційного призначення, гаражами і стоянками автотранспорту по вул. Київська-Генерала М.Тарнавського в м.Тернополі (5-а черга будівництва, 21-й, 22-й, 23-й п.к. (Блок-секція № 37, 38, 39 за ГП))</t>
  </si>
  <si>
    <t>м. Київ, Дарницький р-н, 4-й мікрорайон житлового масиву «Позняки», буд. №1</t>
  </si>
  <si>
    <t>Будівництво житлового комплексу з торговим центром і вбудованими приміщеннями офісного та соціально побутового призначення з підземним паркінгом. ІІ черга будівництва</t>
  </si>
  <si>
    <t>Дніпропетровська обл., м. Дніпро, пр-т. Гагаріна, 173-а</t>
  </si>
  <si>
    <t>Дошкільний навчальний заклад (ясла - садок)</t>
  </si>
  <si>
    <t>1966. Проект, капітальний ремонт</t>
  </si>
  <si>
    <t>Одеська обл., м. Одеса, вул. Маршала Малиновського, 61-А</t>
  </si>
  <si>
    <t>Ожоговий корпус (літ.Е) «Нежитлового комплексу міської клінічної лікарні №10»</t>
  </si>
  <si>
    <t>м. Рівне, вул. Київська, 60</t>
  </si>
  <si>
    <t>Будівля закладу охорони здоров’я (Ізоляційно-діагностичний корпус КП «Рівненська обласна дитяча лікарня)</t>
  </si>
  <si>
    <t>Полтавська обл, с. Розсошенці, вул. Параджанова, 5</t>
  </si>
  <si>
    <t>Багатоквартирний житловий будинок на вул. Параджанова, 5, с. Розсошенці, Полтавська обл</t>
  </si>
  <si>
    <t xml:space="preserve">Громадська будівля, Адміністративний корпус Комунального некомерційного підприємства «Тернопільська університетська лікарня» Тернопільської обласної ради </t>
  </si>
  <si>
    <t>м. Долина, вул. Грушевського, 25, Івано-Франківська обл.</t>
  </si>
  <si>
    <t xml:space="preserve">  Долинський дошкільний навчальний заклад ясла-садок №9 ”Зірочка” (дошкільний навчальний заклад) </t>
  </si>
  <si>
    <t xml:space="preserve">м. Одеса, Одеської області, вул. Маршала Малиновського, 61-А </t>
  </si>
  <si>
    <t xml:space="preserve">Головний лікувальний корпус А «Нежитлового комплексу міської клінічної лікарні № 10»  
 </t>
  </si>
  <si>
    <t xml:space="preserve">Герасименко Олександр Анатолійович </t>
  </si>
  <si>
    <t xml:space="preserve"> м. Дніпро, пр-т. Гагаріна, 147  </t>
  </si>
  <si>
    <t xml:space="preserve">Дошкільний навчальний заклад (ясла-садок) </t>
  </si>
  <si>
    <t>1962. Проект, капітальний ремонт</t>
  </si>
  <si>
    <t xml:space="preserve"> м. Запоріжжя, вул. Олександра Говорухи, 38/вул. Космічна, 96-А </t>
  </si>
  <si>
    <t>реконструкція будівлі 2019</t>
  </si>
  <si>
    <t xml:space="preserve">м. Черкаси, вул. Гоголя, 302 </t>
  </si>
  <si>
    <t xml:space="preserve"> Багатоповерховий житловий будинок з вбудованими приміщеннями  (житловий будинок, нове будівництво) </t>
  </si>
  <si>
    <t>м. Чернігів, вул. Ціолковського, 12</t>
  </si>
  <si>
    <t>Чернігівська обл., м. Прилуки, вул. Юрія Коптєва, 59в</t>
  </si>
  <si>
    <t>м .Прилуки</t>
  </si>
  <si>
    <t>Реконструкція нежитлової будівлі заводоуправління під адміністративно-офісну будівлю з вбудованим магазином</t>
  </si>
  <si>
    <t>2019 реконструкція</t>
  </si>
  <si>
    <t>м. Івано-Франківськ, вул. Софіївка, 39</t>
  </si>
  <si>
    <t>ІФОКЦЕДМК</t>
  </si>
  <si>
    <t>Рівненська обл., м. Рівне, вул. Островського, б. 13а</t>
  </si>
  <si>
    <t>Дитяча музична школа №2</t>
  </si>
  <si>
    <t>Рівненська обл., м. Рівне, вул. Київська, б. 60</t>
  </si>
  <si>
    <t>Стаціонарний корпус КП «Рівненська обласна дитяча лікарня»</t>
  </si>
  <si>
    <t>Черкаська обл., м. Черкаси, вул. Амброса, б. 17,19,21</t>
  </si>
  <si>
    <t>Нове будівництво магазину продовольчих та промислових товарів</t>
  </si>
  <si>
    <t>Коваль Тетяна Михайлівна</t>
  </si>
  <si>
    <t>Волинська обл., м. Ковель, вул. Володимирська, 137</t>
  </si>
  <si>
    <t>Житлова будівля. Гуртожиток №2</t>
  </si>
  <si>
    <t>1987. Капітальний ремонт</t>
  </si>
  <si>
    <t>Львівська обл., м. Львів, вул. Карманського, 7а (буд. №2)</t>
  </si>
  <si>
    <t>Будівництво житлового будинку з приміщеннями громадського призначення та підземним паркінгом</t>
  </si>
  <si>
    <t>Сидор Богдана Маркіянівна</t>
  </si>
  <si>
    <t>43360.43</t>
  </si>
  <si>
    <t>м. Київ. вул. Березнева, 12</t>
  </si>
  <si>
    <t>Житловий будинок №004</t>
  </si>
  <si>
    <t xml:space="preserve">м. Чернігів, вул. Курсанта Єськова, 26 </t>
  </si>
  <si>
    <t>Десятиповерховий житловий будинок</t>
  </si>
  <si>
    <t>Приходько В"ячислав Миколайович</t>
  </si>
  <si>
    <t>Львівська обл., 
м. Радехів, вул. Бічна Львівська, 5</t>
  </si>
  <si>
    <t>Дошкільний навчальний заклад №2</t>
  </si>
  <si>
    <t>м. Луцьк, вул. Конякіна, 29</t>
  </si>
  <si>
    <t>Багатоквартирний житловий будинок ОСББ «Конякіна 29»</t>
  </si>
  <si>
    <t xml:space="preserve">м. Львів, вул. Антонича, 16
</t>
  </si>
  <si>
    <t>м. Чернівці, в межах вул. Буковинської-Герцена</t>
  </si>
  <si>
    <t>Будівництво багатоквартирних житлових будинків з об’єктами соцкульпобуту (ІІ черга будівництва – блоки «А», «Б», «В» корпус 1)</t>
  </si>
  <si>
    <t>м. Київ, вул. Маршала Гречка, 10б (буд. №3)</t>
  </si>
  <si>
    <t>Будівництво житлового комплексу з об’єктами соціально-громадського призначення</t>
  </si>
  <si>
    <t xml:space="preserve">Україна, Одеська область, с. Стрюкове Миколаївського району Одеської області, вул. Центральна, 67 </t>
  </si>
  <si>
    <t>с. Стрюкове</t>
  </si>
  <si>
    <t>«Капітальний ремонт покрівлі приміщення навчального корпусу початкових класів Стрюківської загальноосвітної школи І-ІІІ ступенів Миколаївського району Одеської області»</t>
  </si>
  <si>
    <t>Панін Віктор Олександрович</t>
  </si>
  <si>
    <t xml:space="preserve"> Вул.Шевченка,63, с. Похівка, Богородчанський район, Івано-Франківської області.</t>
  </si>
  <si>
    <t>с. Похівка</t>
  </si>
  <si>
    <t>Фельдшерсько-акушерський пункт (медпункт).</t>
  </si>
  <si>
    <t xml:space="preserve">Мельников Юрій Іванович </t>
  </si>
  <si>
    <t>м. Кременчук, Полтавська область, вул. Олександрійська, 18</t>
  </si>
  <si>
    <t xml:space="preserve">Будівля Кременчуцької загальноосвітньої школи І-ІІІ ступенів № 23
</t>
  </si>
  <si>
    <t>Бочуля Петро Олександрович</t>
  </si>
  <si>
    <t>вул. Гвардійська, 39А, с-ще. Чорноморське, Лиманського району, Одеської області</t>
  </si>
  <si>
    <t>с-ще. Чорноморське</t>
  </si>
  <si>
    <t xml:space="preserve">навчальний заклад Чорноморська загольноосвітня школа I-III ступенів
</t>
  </si>
  <si>
    <t>вул.Першотравнева, 55 с.Романів, Луцький район</t>
  </si>
  <si>
    <t>с. Романів</t>
  </si>
  <si>
    <t xml:space="preserve">Будинок культури </t>
  </si>
  <si>
    <t>капітальний ремонт</t>
  </si>
  <si>
    <t>м. Київ, 
вул. Електриків, 23Б, 3 черга</t>
  </si>
  <si>
    <t>Реконструкція майнового комплексу під багатоквартирну забудову з вбудованими приміщеннями громадського призначення на вул. Електриків, 23-Б у Подільському районі м. Києва. 3 черга</t>
  </si>
  <si>
    <t>Тернопільська обл., Борщівський р-н., смт Скала-Подільська, вул. Грушевського, 33</t>
  </si>
  <si>
    <t>смт Скала-Подільська</t>
  </si>
  <si>
    <t>Скала-Подільська ЗОШ І-ІІІ ступенів</t>
  </si>
  <si>
    <t>Рівненська обл., Костопільський р-н., с. Мирне, вул. Радянська, 59</t>
  </si>
  <si>
    <t>Дошкільний навчальний заклад «Журавлик-2»</t>
  </si>
  <si>
    <t>Буратчук Юрій Дмитрович</t>
  </si>
  <si>
    <t>м. Київ, 
вул. Маршала Гречка, 10Б, буд. 4</t>
  </si>
  <si>
    <t>Будівництво житлового комплексу з об'єктами соціально-громадського призначення на вул. Маршала Гречка, 10Б у Подільскому р-ні м. Києва</t>
  </si>
  <si>
    <t>Чернігівська обл., м. Чернігів, просп. Миру, б. 217</t>
  </si>
  <si>
    <t>Державна установа "Територіальне медичне об'єднання Міністерства внутрішніх справ України по Чернігівській області" (будівля лікарні з прибудованим харчоблоком)</t>
  </si>
  <si>
    <t>Державна установа "Територіальне медичне об'єднання Міністерства внутрішніх справ України по Чернігівській області" (будівля  санепідемстанції)</t>
  </si>
  <si>
    <t>Державна установа "Територіальне медичне об'єднання Міністерства внутрішніх справ України по Чернігівській області" (будівля поліклініки з прибудовами)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</si>
</sst>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dd&quot;.&quot;mm&quot;.&quot;yyyy"/>
    <numFmt numFmtId="165" formatCode="dd\.mm\.yyyy"/>
    <numFmt numFmtId="166" formatCode="yyyy\.m"/>
    <numFmt numFmtId="167" formatCode="d\.m\.yyyy"/>
    <numFmt numFmtId="168" formatCode="d\-m"/>
    <numFmt numFmtId="170" formatCode="d/m"/>
    <numFmt numFmtId="172" formatCode="d\,m\,yyyy"/>
    <numFmt numFmtId="173" formatCode="d\-m\-yyyy"/>
    <numFmt numFmtId="174" formatCode="m\.yyyy"/>
    <numFmt numFmtId="176" formatCode="d\,m\,yy"/>
  </numFmts>
  <fonts count="19" x14ac:knownFonts="1">
    <font>
      <sz val="11"/>
      <color rgb="FF000000"/>
      <name val="Calibri"/>
    </font>
    <font>
      <sz val="11"/>
      <name val="Calibri"/>
    </font>
    <font>
      <sz val="12"/>
      <color rgb="FF000000"/>
      <name val="Times New Roman"/>
    </font>
    <font>
      <b/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rgb="FF000000"/>
      <name val="Times New Roman"/>
      <family val="1"/>
      <charset val="204"/>
    </font>
    <font>
      <sz val="11"/>
      <color rgb="FF0000FF"/>
      <name val="Times New Roman"/>
      <family val="1"/>
      <charset val="204"/>
    </font>
    <font>
      <b/>
      <u/>
      <sz val="11"/>
      <color rgb="FF0000FF"/>
      <name val="Times New Roman"/>
      <family val="1"/>
      <charset val="204"/>
    </font>
    <font>
      <sz val="11"/>
      <color rgb="FF222222"/>
      <name val="Times New Roman"/>
      <family val="1"/>
      <charset val="204"/>
    </font>
    <font>
      <sz val="11"/>
      <color rgb="FF231F20"/>
      <name val="Times New Roman"/>
      <family val="1"/>
      <charset val="204"/>
    </font>
    <font>
      <sz val="11"/>
      <color rgb="FF202124"/>
      <name val="Times New Roman"/>
      <family val="1"/>
      <charset val="204"/>
    </font>
    <font>
      <sz val="11"/>
      <color rgb="FF500050"/>
      <name val="Times New Roman"/>
      <family val="1"/>
      <charset val="204"/>
    </font>
    <font>
      <i/>
      <sz val="11"/>
      <name val="Times New Roman"/>
      <family val="1"/>
      <charset val="204"/>
    </font>
    <font>
      <sz val="11"/>
      <color rgb="FF333333"/>
      <name val="Times New Roman"/>
      <family val="1"/>
      <charset val="204"/>
    </font>
    <font>
      <u/>
      <sz val="11"/>
      <color rgb="FF0000FF"/>
      <name val="Times New Roman"/>
      <family val="1"/>
      <charset val="204"/>
    </font>
    <font>
      <b/>
      <sz val="11"/>
      <color rgb="FF0000FF"/>
      <name val="Times New Roman"/>
      <family val="1"/>
      <charset val="204"/>
    </font>
    <font>
      <b/>
      <u/>
      <sz val="11"/>
      <color rgb="FF1155CC"/>
      <name val="Times New Roman"/>
      <family val="1"/>
      <charset val="204"/>
    </font>
    <font>
      <sz val="11"/>
      <color rgb="FF20242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79">
    <xf numFmtId="0" fontId="0" fillId="0" borderId="0" xfId="0" applyFont="1" applyAlignment="1"/>
    <xf numFmtId="0" fontId="1" fillId="0" borderId="0" xfId="0" applyFont="1" applyAlignment="1"/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/>
    <xf numFmtId="0" fontId="4" fillId="0" borderId="4" xfId="0" applyFont="1" applyFill="1" applyBorder="1"/>
    <xf numFmtId="0" fontId="5" fillId="0" borderId="0" xfId="0" applyFont="1" applyFill="1" applyAlignment="1"/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66" fontId="5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165" fontId="4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168" fontId="5" fillId="0" borderId="1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5" fillId="0" borderId="5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165" fontId="4" fillId="0" borderId="5" xfId="0" applyNumberFormat="1" applyFont="1" applyFill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8" fontId="4" fillId="0" borderId="0" xfId="0" applyNumberFormat="1" applyFont="1" applyFill="1" applyAlignment="1">
      <alignment horizontal="center" vertical="center" wrapText="1"/>
    </xf>
    <xf numFmtId="170" fontId="5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17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165" fontId="5" fillId="0" borderId="0" xfId="0" applyNumberFormat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4" fillId="0" borderId="0" xfId="0" applyFont="1" applyFill="1"/>
    <xf numFmtId="0" fontId="4" fillId="0" borderId="1" xfId="0" applyFont="1" applyFill="1" applyBorder="1" applyAlignment="1">
      <alignment horizontal="center" vertical="center"/>
    </xf>
    <xf numFmtId="165" fontId="4" fillId="0" borderId="0" xfId="0" applyNumberFormat="1" applyFont="1" applyFill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167" fontId="5" fillId="0" borderId="1" xfId="0" applyNumberFormat="1" applyFont="1" applyFill="1" applyBorder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165" fontId="4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wrapText="1"/>
    </xf>
    <xf numFmtId="0" fontId="1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168" fontId="4" fillId="0" borderId="0" xfId="0" applyNumberFormat="1" applyFont="1" applyFill="1" applyAlignment="1">
      <alignment horizontal="center" vertical="center"/>
    </xf>
    <xf numFmtId="173" fontId="5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174" fontId="4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12">
    <dxf>
      <font>
        <strike val="0"/>
        <outline val="0"/>
        <shadow val="0"/>
        <u val="none"/>
        <vertAlign val="baseline"/>
        <sz val="11"/>
        <name val="Times New Roman"/>
        <scheme val="none"/>
      </font>
      <fill>
        <patternFill patternType="none">
          <bgColor auto="1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vertAlign val="baseline"/>
        <sz val="11"/>
        <name val="Times New Roman"/>
        <scheme val="none"/>
      </font>
      <fill>
        <patternFill patternType="none">
          <bgColor auto="1"/>
        </patternFill>
      </fill>
    </dxf>
    <dxf>
      <font>
        <strike val="0"/>
        <outline val="0"/>
        <shadow val="0"/>
        <vertAlign val="baseline"/>
        <sz val="11"/>
        <name val="Times New Roman"/>
        <scheme val="none"/>
      </font>
      <fill>
        <patternFill patternType="none">
          <bgColor auto="1"/>
        </patternFill>
      </fill>
    </dxf>
    <dxf>
      <font>
        <strike val="0"/>
        <outline val="0"/>
        <shadow val="0"/>
        <vertAlign val="baseline"/>
        <sz val="11"/>
        <name val="Times New Roman"/>
        <scheme val="none"/>
      </font>
      <fill>
        <patternFill patternType="none">
          <bgColor auto="1"/>
        </patternFill>
      </fill>
    </dxf>
    <dxf>
      <font>
        <strike val="0"/>
        <outline val="0"/>
        <shadow val="0"/>
        <vertAlign val="baseline"/>
        <sz val="11"/>
        <name val="Times New Roman"/>
        <scheme val="none"/>
      </font>
      <fill>
        <patternFill patternType="none">
          <bgColor auto="1"/>
        </patternFill>
      </fill>
    </dxf>
    <dxf>
      <font>
        <strike val="0"/>
        <outline val="0"/>
        <shadow val="0"/>
        <vertAlign val="baseline"/>
        <sz val="11"/>
        <name val="Times New Roman"/>
        <scheme val="none"/>
      </font>
      <fill>
        <patternFill patternType="none">
          <bgColor auto="1"/>
        </patternFill>
      </fill>
    </dxf>
    <dxf>
      <font>
        <strike val="0"/>
        <outline val="0"/>
        <shadow val="0"/>
        <vertAlign val="baseline"/>
        <sz val="11"/>
        <name val="Times New Roman"/>
        <scheme val="none"/>
      </font>
      <fill>
        <patternFill patternType="none">
          <bgColor auto="1"/>
        </patternFill>
      </fill>
    </dxf>
    <dxf>
      <font>
        <strike val="0"/>
        <outline val="0"/>
        <shadow val="0"/>
        <vertAlign val="baseline"/>
        <sz val="11"/>
        <name val="Times New Roman"/>
        <scheme val="none"/>
      </font>
      <fill>
        <patternFill patternType="none">
          <bgColor auto="1"/>
        </patternFill>
      </fill>
    </dxf>
    <dxf>
      <font>
        <strike val="0"/>
        <outline val="0"/>
        <shadow val="0"/>
        <vertAlign val="baseline"/>
        <sz val="11"/>
        <name val="Times New Roman"/>
        <scheme val="none"/>
      </font>
      <fill>
        <patternFill patternType="none">
          <bgColor auto="1"/>
        </patternFill>
      </fill>
    </dxf>
    <dxf>
      <fill>
        <patternFill patternType="solid">
          <fgColor rgb="FFE7F9EF"/>
          <bgColor rgb="FFE7F9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63D297"/>
          <bgColor rgb="FF63D297"/>
        </patternFill>
      </fill>
    </dxf>
  </dxfs>
  <tableStyles count="1">
    <tableStyle name="BDS1-style" pivot="0" count="3">
      <tableStyleElement type="headerRow" dxfId="11"/>
      <tableStyleElement type="firstRowStripe" dxfId="10"/>
      <tableStyleElement type="secondRowStripe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id="1" name="Table_1" displayName="Table_1" ref="B1015:G1030" headerRowCount="0" headerRowDxfId="3" dataDxfId="1" totalsRowDxfId="2">
  <tableColumns count="6">
    <tableColumn id="1" name="Column1" dataDxfId="8"/>
    <tableColumn id="2" name="Column2" dataDxfId="7"/>
    <tableColumn id="3" name="Column3" dataDxfId="6"/>
    <tableColumn id="4" name="Column4" dataDxfId="5"/>
    <tableColumn id="5" name="Column5" dataDxfId="0"/>
    <tableColumn id="6" name="Column6" dataDxfId="4"/>
  </tableColumns>
  <tableStyleInfo name="BDS1-style" showFirstColumn="1" showLastColumn="1" showRowStripes="1" showColumnStripes="0"/>
  <extLst>
    <ext uri="GoogleSheetsCustomDataVersion1">
      <go:sheetsCustomData xmlns:go="http://customooxmlschemas.google.com/" headerRowCount="1"/>
    </ext>
  </extLst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open?id=16knL7rF64EXtCB0-Ch1v5DtfiE2GYjkB" TargetMode="External"/><Relationship Id="rId671" Type="http://schemas.openxmlformats.org/officeDocument/2006/relationships/hyperlink" Target="https://drive.google.com/open?id=1laZJ9DNg7R52l43mei0M7NztloW8UcC_" TargetMode="External"/><Relationship Id="rId21" Type="http://schemas.openxmlformats.org/officeDocument/2006/relationships/hyperlink" Target="https://drive.google.com/open?id=1bZl37j56hV0MOVQUC_zOJ_TsMADnNB7n" TargetMode="External"/><Relationship Id="rId324" Type="http://schemas.openxmlformats.org/officeDocument/2006/relationships/hyperlink" Target="https://drive.google.com/open?id=1vZZ9rFPCPZIxEM7VO9laEXVsev8tpzKE" TargetMode="External"/><Relationship Id="rId531" Type="http://schemas.openxmlformats.org/officeDocument/2006/relationships/hyperlink" Target="https://drive.google.com/open?id=1sRk1Y4z3i4wfHqFxY4vjZGGGk7UlMSFW" TargetMode="External"/><Relationship Id="rId629" Type="http://schemas.openxmlformats.org/officeDocument/2006/relationships/hyperlink" Target="https://drive.google.com/open?id=1pQzRPvBj_zLUQF1x327A_Ozsrhj7_hqF" TargetMode="External"/><Relationship Id="rId170" Type="http://schemas.openxmlformats.org/officeDocument/2006/relationships/hyperlink" Target="https://drive.google.com/open?id=1ZsGObJrU4wcu2RNr2v1ui80ocZuKF88C" TargetMode="External"/><Relationship Id="rId268" Type="http://schemas.openxmlformats.org/officeDocument/2006/relationships/hyperlink" Target="https://drive.google.com/open?id=19_tv0-NezQh92rER39Nw81GVvKLsPqrS" TargetMode="External"/><Relationship Id="rId475" Type="http://schemas.openxmlformats.org/officeDocument/2006/relationships/hyperlink" Target="https://drive.google.com/open?id=1XopdzYwEcMagOaa2WB28BzUzzCLgbDlr" TargetMode="External"/><Relationship Id="rId682" Type="http://schemas.openxmlformats.org/officeDocument/2006/relationships/hyperlink" Target="https://drive.google.com/open?id=1nFSy5k_5dEpHD1r7NrzhyR0bvCdUEIlN" TargetMode="External"/><Relationship Id="rId32" Type="http://schemas.openxmlformats.org/officeDocument/2006/relationships/hyperlink" Target="https://drive.google.com/open?id=1zHwa_Q_ECyusBAQC3X39uiSmohNWhH0t" TargetMode="External"/><Relationship Id="rId128" Type="http://schemas.openxmlformats.org/officeDocument/2006/relationships/hyperlink" Target="https://drive.google.com/open?id=1Jqz09uNuXUjXOQ-BbcVYPIJGHcZGoLUY" TargetMode="External"/><Relationship Id="rId335" Type="http://schemas.openxmlformats.org/officeDocument/2006/relationships/hyperlink" Target="https://drive.google.com/open?id=1V0nCk04KMRc8f1xThyXz4NospyzM9Vcw" TargetMode="External"/><Relationship Id="rId542" Type="http://schemas.openxmlformats.org/officeDocument/2006/relationships/hyperlink" Target="https://drive.google.com/open?id=1bdpHjTzNTfYTdNA3BLvkRIOAK0oqnywr" TargetMode="External"/><Relationship Id="rId181" Type="http://schemas.openxmlformats.org/officeDocument/2006/relationships/hyperlink" Target="https://drive.google.com/open?id=1lPaVOdYRv96X1_3N5OYB5TnG02gUybVZ" TargetMode="External"/><Relationship Id="rId402" Type="http://schemas.openxmlformats.org/officeDocument/2006/relationships/hyperlink" Target="https://drive.google.com/open?id=1U_e5MWQdhcBdRLI2i3NiVm-I2BlZanLM" TargetMode="External"/><Relationship Id="rId279" Type="http://schemas.openxmlformats.org/officeDocument/2006/relationships/hyperlink" Target="https://drive.google.com/open?id=16UebQWuFwAY29krIWJ-bjSvGP65NZIzG" TargetMode="External"/><Relationship Id="rId486" Type="http://schemas.openxmlformats.org/officeDocument/2006/relationships/hyperlink" Target="https://drive.google.com/open?id=1pQzRPvBj_zLUQF1x327A_Ozsrhj7_hqF" TargetMode="External"/><Relationship Id="rId693" Type="http://schemas.openxmlformats.org/officeDocument/2006/relationships/hyperlink" Target="https://drive.google.com/open?id=16knL7rF64EXtCB0-Ch1v5DtfiE2GYjkB" TargetMode="External"/><Relationship Id="rId707" Type="http://schemas.openxmlformats.org/officeDocument/2006/relationships/hyperlink" Target="https://drive.google.com/open?id=1uypUyNN8M3JMCP3_qczz6IFqK99XPsPW" TargetMode="External"/><Relationship Id="rId43" Type="http://schemas.openxmlformats.org/officeDocument/2006/relationships/hyperlink" Target="https://drive.google.com/open?id=1-fr_zsf-7fSXhRxegEztRfDKVGALmS4z" TargetMode="External"/><Relationship Id="rId139" Type="http://schemas.openxmlformats.org/officeDocument/2006/relationships/hyperlink" Target="https://drive.google.com/open?id=1pEg5agn5jdMhfl4Pa1dRPaxDB2kT59cP" TargetMode="External"/><Relationship Id="rId346" Type="http://schemas.openxmlformats.org/officeDocument/2006/relationships/hyperlink" Target="https://drive.google.com/open?id=1dZXnr1OVeh6vSyM0wf8ECz2vJctUj8e1" TargetMode="External"/><Relationship Id="rId553" Type="http://schemas.openxmlformats.org/officeDocument/2006/relationships/hyperlink" Target="https://drive.google.com/open?id=1XyAHqlyKm3cSooUFxa72DZEa7K5u3CT5" TargetMode="External"/><Relationship Id="rId192" Type="http://schemas.openxmlformats.org/officeDocument/2006/relationships/hyperlink" Target="https://drive.google.com/open?id=1G_XEXB4s5tcJx_wAGRMqZPNh6vg0DJnn" TargetMode="External"/><Relationship Id="rId206" Type="http://schemas.openxmlformats.org/officeDocument/2006/relationships/hyperlink" Target="https://drive.google.com/open?id=1KaeiUmCsO5lp2Xb4sFTKcsanyLYZinBD" TargetMode="External"/><Relationship Id="rId413" Type="http://schemas.openxmlformats.org/officeDocument/2006/relationships/hyperlink" Target="https://drive.google.com/open?id=1KbW4Fau8B6wCXivbcdfuxnJ8SFYy7Ow6" TargetMode="External"/><Relationship Id="rId497" Type="http://schemas.openxmlformats.org/officeDocument/2006/relationships/hyperlink" Target="https://drive.google.com/open?id=1B8MRermP6AlKM2CIaqv3PARaXz0Bl9D3" TargetMode="External"/><Relationship Id="rId620" Type="http://schemas.openxmlformats.org/officeDocument/2006/relationships/hyperlink" Target="https://drive.google.com/open?id=1pQzRPvBj_zLUQF1x327A_Ozsrhj7_hqF" TargetMode="External"/><Relationship Id="rId718" Type="http://schemas.openxmlformats.org/officeDocument/2006/relationships/hyperlink" Target="https://drive.google.com/open?id=1pEg5agn5jdMhfl4Pa1dRPaxDB2kT59cP" TargetMode="External"/><Relationship Id="rId357" Type="http://schemas.openxmlformats.org/officeDocument/2006/relationships/hyperlink" Target="https://drive.google.com/open?id=1K91JlUC4tlGPx47wdMdAvI3u4dyPtBwV" TargetMode="External"/><Relationship Id="rId54" Type="http://schemas.openxmlformats.org/officeDocument/2006/relationships/hyperlink" Target="https://drive.google.com/open?id=1-oGn8G7bCcOJnhlqBXhuQR4T1H0qeDkr" TargetMode="External"/><Relationship Id="rId217" Type="http://schemas.openxmlformats.org/officeDocument/2006/relationships/hyperlink" Target="https://drive.google.com/open?id=1apRqAbWig9QHrZITIWBTjcwwk0jKyqyt" TargetMode="External"/><Relationship Id="rId564" Type="http://schemas.openxmlformats.org/officeDocument/2006/relationships/hyperlink" Target="https://drive.google.com/open?id=1f492WouB2srcPiOf4BO8NqomNsLlswDl" TargetMode="External"/><Relationship Id="rId424" Type="http://schemas.openxmlformats.org/officeDocument/2006/relationships/hyperlink" Target="https://drive.google.com/open?id=1VVmODmmO00qIEjdYtBuJxIDCRvaeGIJx" TargetMode="External"/><Relationship Id="rId631" Type="http://schemas.openxmlformats.org/officeDocument/2006/relationships/hyperlink" Target="https://drive.google.com/open?id=1b93ySdw3huxxmrYQ1jK0iSB3PhUnUsyD" TargetMode="External"/><Relationship Id="rId729" Type="http://schemas.openxmlformats.org/officeDocument/2006/relationships/hyperlink" Target="https://drive.google.com/open?id=195Nt2QyFm2vF_nQatQf2cvvhnudkfcTY" TargetMode="External"/><Relationship Id="rId270" Type="http://schemas.openxmlformats.org/officeDocument/2006/relationships/hyperlink" Target="https://drive.google.com/open?id=1JA9k4hFrmOST4hK3eMq3bj12pp6-YO4A" TargetMode="External"/><Relationship Id="rId65" Type="http://schemas.openxmlformats.org/officeDocument/2006/relationships/hyperlink" Target="https://drive.google.com/open?id=16knL7rF64EXtCB0-Ch1v5DtfiE2GYjkB" TargetMode="External"/><Relationship Id="rId130" Type="http://schemas.openxmlformats.org/officeDocument/2006/relationships/hyperlink" Target="https://drive.google.com/open?id=1dQDteBibQokhmK69-01x6VtLlxB-j5HM" TargetMode="External"/><Relationship Id="rId368" Type="http://schemas.openxmlformats.org/officeDocument/2006/relationships/hyperlink" Target="https://drive.google.com/open?id=1b93ySdw3huxxmrYQ1jK0iSB3PhUnUsyD" TargetMode="External"/><Relationship Id="rId575" Type="http://schemas.openxmlformats.org/officeDocument/2006/relationships/hyperlink" Target="https://drive.google.com/open?id=1lDn6pXeDVHcBAeA70pxPVGySojPV97n8" TargetMode="External"/><Relationship Id="rId228" Type="http://schemas.openxmlformats.org/officeDocument/2006/relationships/hyperlink" Target="https://drive.google.com/open?id=1Zo8-jfVZFfqBtXfLnrO0ZkiTmNO6R0xr" TargetMode="External"/><Relationship Id="rId435" Type="http://schemas.openxmlformats.org/officeDocument/2006/relationships/hyperlink" Target="https://drive.google.com/open?id=1pQzRPvBj_zLUQF1x327A_Ozsrhj7_hqF" TargetMode="External"/><Relationship Id="rId642" Type="http://schemas.openxmlformats.org/officeDocument/2006/relationships/hyperlink" Target="https://drive.google.com/open?id=1oKOZor5DyF6OVwkcYZr0z1iqaNRs9ITY" TargetMode="External"/><Relationship Id="rId281" Type="http://schemas.openxmlformats.org/officeDocument/2006/relationships/hyperlink" Target="https://drive.google.com/open?id=1ZSwpe2K9kAofM2AaNVWybRkyoSA1pXsh" TargetMode="External"/><Relationship Id="rId502" Type="http://schemas.openxmlformats.org/officeDocument/2006/relationships/hyperlink" Target="https://drive.google.com/open?id=1lPaVOdYRv96X1_3N5OYB5TnG02gUybVZ" TargetMode="External"/><Relationship Id="rId76" Type="http://schemas.openxmlformats.org/officeDocument/2006/relationships/hyperlink" Target="https://drive.google.com/open?id=1onjq4db0GOVgyvMiliR_8P7g6Mm0rnn6" TargetMode="External"/><Relationship Id="rId141" Type="http://schemas.openxmlformats.org/officeDocument/2006/relationships/hyperlink" Target="https://drive.google.com/open?id=1pEg5agn5jdMhfl4Pa1dRPaxDB2kT59cP" TargetMode="External"/><Relationship Id="rId379" Type="http://schemas.openxmlformats.org/officeDocument/2006/relationships/hyperlink" Target="https://drive.google.com/open?id=1cxGxrVWMvCNlS6TwjKIt2Jn85z6h57TB" TargetMode="External"/><Relationship Id="rId586" Type="http://schemas.openxmlformats.org/officeDocument/2006/relationships/hyperlink" Target="https://drive.google.com/open?id=1hMSoHMEyAhm895Mj1Xt8xUayxgE485WJ" TargetMode="External"/><Relationship Id="rId7" Type="http://schemas.openxmlformats.org/officeDocument/2006/relationships/hyperlink" Target="https://drive.google.com/file/d/1Ikywiw8b7Suc4tKXGBqAIB4AcUYCf5Bw/view?usp=sharing" TargetMode="External"/><Relationship Id="rId239" Type="http://schemas.openxmlformats.org/officeDocument/2006/relationships/hyperlink" Target="https://drive.google.com/open?id=1euBM6QoP56NhYkl2g8T2IRU9qquzh3C9" TargetMode="External"/><Relationship Id="rId446" Type="http://schemas.openxmlformats.org/officeDocument/2006/relationships/hyperlink" Target="https://drive.google.com/open?id=1b93ySdw3huxxmrYQ1jK0iSB3PhUnUsyD" TargetMode="External"/><Relationship Id="rId653" Type="http://schemas.openxmlformats.org/officeDocument/2006/relationships/hyperlink" Target="https://drive.google.com/open?id=1pQzRPvBj_zLUQF1x327A_Ozsrhj7_hqF" TargetMode="External"/><Relationship Id="rId292" Type="http://schemas.openxmlformats.org/officeDocument/2006/relationships/hyperlink" Target="https://drive.google.com/open?id=1w3OV843BRNzPaSXIYb4YFmoe9kyV4L0m" TargetMode="External"/><Relationship Id="rId306" Type="http://schemas.openxmlformats.org/officeDocument/2006/relationships/hyperlink" Target="https://drive.google.com/open?id=1tlygYWYsbnCq-Daf_0tesF487JpE3LSB" TargetMode="External"/><Relationship Id="rId87" Type="http://schemas.openxmlformats.org/officeDocument/2006/relationships/hyperlink" Target="https://drive.google.com/open?id=16knL7rF64EXtCB0-Ch1v5DtfiE2GYjkB" TargetMode="External"/><Relationship Id="rId513" Type="http://schemas.openxmlformats.org/officeDocument/2006/relationships/hyperlink" Target="https://drive.google.com/open?id=12WC1Bu_lEABhJzMA7VMSl0Xd5ugZr4vK" TargetMode="External"/><Relationship Id="rId597" Type="http://schemas.openxmlformats.org/officeDocument/2006/relationships/hyperlink" Target="https://drive.google.com/open?id=1KbW4Fau8B6wCXivbcdfuxnJ8SFYy7Ow6" TargetMode="External"/><Relationship Id="rId720" Type="http://schemas.openxmlformats.org/officeDocument/2006/relationships/hyperlink" Target="https://drive.google.com/open?id=1VvGfORJ6L6VwYRUDV8aJ3Nq6jB6_9anA" TargetMode="External"/><Relationship Id="rId152" Type="http://schemas.openxmlformats.org/officeDocument/2006/relationships/hyperlink" Target="https://drive.google.com/open?id=13KE0--Y4LLHpGX0LVhMW-U2sg6VVeSYl" TargetMode="External"/><Relationship Id="rId457" Type="http://schemas.openxmlformats.org/officeDocument/2006/relationships/hyperlink" Target="https://drive.google.com/open?id=1_3R5vdhorpSwfpbOmDZjGBwUs3t0eihi" TargetMode="External"/><Relationship Id="rId664" Type="http://schemas.openxmlformats.org/officeDocument/2006/relationships/hyperlink" Target="https://drive.google.com/open?id=17-Lq-spmohAW-Hc5k19aPfThabGC4Bql" TargetMode="External"/><Relationship Id="rId14" Type="http://schemas.openxmlformats.org/officeDocument/2006/relationships/hyperlink" Target="https://drive.google.com/open?id=0B5URGw3kxOm9ckt1eDcyLS1LMWxMN0RpckdldUlmeGVOUHpZ" TargetMode="External"/><Relationship Id="rId317" Type="http://schemas.openxmlformats.org/officeDocument/2006/relationships/hyperlink" Target="https://drive.google.com/open?id=1nFSy5k_5dEpHD1r7NrzhyR0bvCdUEIlN" TargetMode="External"/><Relationship Id="rId524" Type="http://schemas.openxmlformats.org/officeDocument/2006/relationships/hyperlink" Target="https://drive.google.com/open?id=1uOV-FJDxvB8STlGwppnVzhdQjWMjxj5o" TargetMode="External"/><Relationship Id="rId731" Type="http://schemas.openxmlformats.org/officeDocument/2006/relationships/hyperlink" Target="https://drive.google.com/open?id=1bdfPcoVY7gGnfSqAUR9FcOU1nrSE71tH" TargetMode="External"/><Relationship Id="rId98" Type="http://schemas.openxmlformats.org/officeDocument/2006/relationships/hyperlink" Target="https://drive.google.com/open?id=1GOoJ04IZWSjZ-R_PAG21DliQ0ytyPs1m" TargetMode="External"/><Relationship Id="rId163" Type="http://schemas.openxmlformats.org/officeDocument/2006/relationships/hyperlink" Target="https://drive.google.com/open?id=12WC1Bu_lEABhJzMA7VMSl0Xd5ugZr4vK" TargetMode="External"/><Relationship Id="rId370" Type="http://schemas.openxmlformats.org/officeDocument/2006/relationships/hyperlink" Target="https://drive.google.com/open?id=1KbW4Fau8B6wCXivbcdfuxnJ8SFYy7Ow6" TargetMode="External"/><Relationship Id="rId230" Type="http://schemas.openxmlformats.org/officeDocument/2006/relationships/hyperlink" Target="https://drive.google.com/open?id=1iC3o1ueAhPQfWcesUiHeyu5KytyvcrfY" TargetMode="External"/><Relationship Id="rId468" Type="http://schemas.openxmlformats.org/officeDocument/2006/relationships/hyperlink" Target="https://drive.google.com/open?id=1v-yro4vA3IMknMh88BfdmdNuHsGAtMU9" TargetMode="External"/><Relationship Id="rId675" Type="http://schemas.openxmlformats.org/officeDocument/2006/relationships/hyperlink" Target="https://drive.google.com/open?id=1nFSy5k_5dEpHD1r7NrzhyR0bvCdUEIlN" TargetMode="External"/><Relationship Id="rId25" Type="http://schemas.openxmlformats.org/officeDocument/2006/relationships/hyperlink" Target="https://drive.google.com/open?id=1hysLLNyTDspucV_3Tt8ScCWEgMedd8bv" TargetMode="External"/><Relationship Id="rId328" Type="http://schemas.openxmlformats.org/officeDocument/2006/relationships/hyperlink" Target="https://drive.google.com/open?id=1jKJrfmpMthKR_qRLtIVAcNLsmM4kKO_j" TargetMode="External"/><Relationship Id="rId535" Type="http://schemas.openxmlformats.org/officeDocument/2006/relationships/hyperlink" Target="https://drive.google.com/open?id=16Ta4NcKJntOY2gQqYV8DI9SbUJ5NBdqK" TargetMode="External"/><Relationship Id="rId174" Type="http://schemas.openxmlformats.org/officeDocument/2006/relationships/hyperlink" Target="https://drive.google.com/open?id=1h5BWqx-_VpXwwLiu_wd_NdH8ESYobd95" TargetMode="External"/><Relationship Id="rId381" Type="http://schemas.openxmlformats.org/officeDocument/2006/relationships/hyperlink" Target="https://drive.google.com/open?id=1dZXnr1OVeh6vSyM0wf8ECz2vJctUj8e1" TargetMode="External"/><Relationship Id="rId602" Type="http://schemas.openxmlformats.org/officeDocument/2006/relationships/hyperlink" Target="https://drive.google.com/open?id=1iyyuXsFJgof-vuGhbT1Fobdkzo4OyADv" TargetMode="External"/><Relationship Id="rId241" Type="http://schemas.openxmlformats.org/officeDocument/2006/relationships/hyperlink" Target="https://drive.google.com/open?id=1pQzRPvBj_zLUQF1x327A_Ozsrhj7_hqF" TargetMode="External"/><Relationship Id="rId479" Type="http://schemas.openxmlformats.org/officeDocument/2006/relationships/hyperlink" Target="https://drive.google.com/open?id=1DOpxhtY7XpInF2I6gzMM121gv_T7giek" TargetMode="External"/><Relationship Id="rId686" Type="http://schemas.openxmlformats.org/officeDocument/2006/relationships/hyperlink" Target="https://drive.google.com/open?id=1VvGfORJ6L6VwYRUDV8aJ3Nq6jB6_9anA" TargetMode="External"/><Relationship Id="rId36" Type="http://schemas.openxmlformats.org/officeDocument/2006/relationships/hyperlink" Target="https://drive.google.com/open?id=11nzfxdHCRK7CPtnBYQPba-eXWg0o5qA0" TargetMode="External"/><Relationship Id="rId339" Type="http://schemas.openxmlformats.org/officeDocument/2006/relationships/hyperlink" Target="https://drive.google.com/open?id=16knL7rF64EXtCB0-Ch1v5DtfiE2GYjkB" TargetMode="External"/><Relationship Id="rId546" Type="http://schemas.openxmlformats.org/officeDocument/2006/relationships/hyperlink" Target="https://drive.google.com/open?id=1isHhwtt_y60-tLt8WwukrZFY6E3UlzZb" TargetMode="External"/><Relationship Id="rId101" Type="http://schemas.openxmlformats.org/officeDocument/2006/relationships/hyperlink" Target="https://drive.google.com/open?id=1nFSy5k_5dEpHD1r7NrzhyR0bvCdUEIlN" TargetMode="External"/><Relationship Id="rId185" Type="http://schemas.openxmlformats.org/officeDocument/2006/relationships/hyperlink" Target="https://drive.google.com/open?id=16knL7rF64EXtCB0-Ch1v5DtfiE2GYjkB" TargetMode="External"/><Relationship Id="rId406" Type="http://schemas.openxmlformats.org/officeDocument/2006/relationships/hyperlink" Target="https://drive.google.com/open?id=1oAgRl6vH0Aqmyk6sV3RhauazUwWQ0GCr" TargetMode="External"/><Relationship Id="rId392" Type="http://schemas.openxmlformats.org/officeDocument/2006/relationships/hyperlink" Target="https://drive.google.com/open?id=1WTh93Gvs6EUDNsMHfJIkWKh7T9-AnH6O" TargetMode="External"/><Relationship Id="rId613" Type="http://schemas.openxmlformats.org/officeDocument/2006/relationships/hyperlink" Target="https://drive.google.com/open?id=1v-yro4vA3IMknMh88BfdmdNuHsGAtMU9" TargetMode="External"/><Relationship Id="rId697" Type="http://schemas.openxmlformats.org/officeDocument/2006/relationships/hyperlink" Target="https://drive.google.com/open?id=1YFy-QkXteFQ7Qy3y-cGXRmFusNCMcXqN" TargetMode="External"/><Relationship Id="rId252" Type="http://schemas.openxmlformats.org/officeDocument/2006/relationships/hyperlink" Target="https://drive.google.com/open?id=1d8DMt-M9oKpypil3MuMtT0wxRzJOcZKE" TargetMode="External"/><Relationship Id="rId47" Type="http://schemas.openxmlformats.org/officeDocument/2006/relationships/hyperlink" Target="https://drive.google.com/open?id=1bZl37j56hV0MOVQUC_zOJ_TsMADnNB7n" TargetMode="External"/><Relationship Id="rId112" Type="http://schemas.openxmlformats.org/officeDocument/2006/relationships/hyperlink" Target="https://drive.google.com/open?id=1vc0q3EJr2cB2bWrq08fHBIlD1KeykEpm" TargetMode="External"/><Relationship Id="rId557" Type="http://schemas.openxmlformats.org/officeDocument/2006/relationships/hyperlink" Target="https://drive.google.com/open?id=1v-yro4vA3IMknMh88BfdmdNuHsGAtMU9" TargetMode="External"/><Relationship Id="rId196" Type="http://schemas.openxmlformats.org/officeDocument/2006/relationships/hyperlink" Target="https://drive.google.com/open?id=1WVi09IITwc-g_9l-d2hDiUmlOoyEx-x0" TargetMode="External"/><Relationship Id="rId417" Type="http://schemas.openxmlformats.org/officeDocument/2006/relationships/hyperlink" Target="https://drive.google.com/open?id=1euBM6QoP56NhYkl2g8T2IRU9qquzh3C9" TargetMode="External"/><Relationship Id="rId624" Type="http://schemas.openxmlformats.org/officeDocument/2006/relationships/hyperlink" Target="https://drive.google.com/open?id=1pQzRPvBj_zLUQF1x327A_Ozsrhj7_hqF" TargetMode="External"/><Relationship Id="rId263" Type="http://schemas.openxmlformats.org/officeDocument/2006/relationships/hyperlink" Target="https://drive.google.com/open?id=1euBM6QoP56NhYkl2g8T2IRU9qquzh3C9" TargetMode="External"/><Relationship Id="rId470" Type="http://schemas.openxmlformats.org/officeDocument/2006/relationships/hyperlink" Target="https://drive.google.com/open?id=1v-yro4vA3IMknMh88BfdmdNuHsGAtMU9" TargetMode="External"/><Relationship Id="rId58" Type="http://schemas.openxmlformats.org/officeDocument/2006/relationships/hyperlink" Target="https://drive.google.com/open?id=17zY36ohZ-JqHiUoem1snawokFaCXn2AE" TargetMode="External"/><Relationship Id="rId123" Type="http://schemas.openxmlformats.org/officeDocument/2006/relationships/hyperlink" Target="https://drive.google.com/open?id=1XopdzYwEcMagOaa2WB28BzUzzCLgbDlr" TargetMode="External"/><Relationship Id="rId330" Type="http://schemas.openxmlformats.org/officeDocument/2006/relationships/hyperlink" Target="https://drive.google.com/open?id=1Z05tR1ykcfAdPPXxteSf6a1ys2nmOupr" TargetMode="External"/><Relationship Id="rId568" Type="http://schemas.openxmlformats.org/officeDocument/2006/relationships/hyperlink" Target="https://drive.google.com/open?id=1bdpHjTzNTfYTdNA3BLvkRIOAK0oqnywr" TargetMode="External"/><Relationship Id="rId428" Type="http://schemas.openxmlformats.org/officeDocument/2006/relationships/hyperlink" Target="https://drive.google.com/open?id=14EG0h2dEMA9rKsr2k13C7XEKDIqWJszm" TargetMode="External"/><Relationship Id="rId635" Type="http://schemas.openxmlformats.org/officeDocument/2006/relationships/hyperlink" Target="https://drive.google.com/open?id=1euBM6QoP56NhYkl2g8T2IRU9qquzh3C9" TargetMode="External"/><Relationship Id="rId274" Type="http://schemas.openxmlformats.org/officeDocument/2006/relationships/hyperlink" Target="https://drive.google.com/open?id=1F-6E3mhwUphK45ds19NyC0VRvhDVmzQ0" TargetMode="External"/><Relationship Id="rId481" Type="http://schemas.openxmlformats.org/officeDocument/2006/relationships/hyperlink" Target="https://drive.google.com/open?id=1dktZLukxnUFVZJ4wUltAK8yUdS5sKJYB" TargetMode="External"/><Relationship Id="rId702" Type="http://schemas.openxmlformats.org/officeDocument/2006/relationships/hyperlink" Target="https://drive.google.com/open?id=1WcOmHe7BkZ0JXVkb0m0s81wXaTRzu2B4" TargetMode="External"/><Relationship Id="rId69" Type="http://schemas.openxmlformats.org/officeDocument/2006/relationships/hyperlink" Target="https://drive.google.com/open?id=1pEg5agn5jdMhfl4Pa1dRPaxDB2kT59cP" TargetMode="External"/><Relationship Id="rId134" Type="http://schemas.openxmlformats.org/officeDocument/2006/relationships/hyperlink" Target="https://drive.google.com/open?id=1Tx279fYpyXtjCgpOx4i8KLk7_fT5sYr1" TargetMode="External"/><Relationship Id="rId579" Type="http://schemas.openxmlformats.org/officeDocument/2006/relationships/hyperlink" Target="https://drive.google.com/open?id=1wuW2pvh_iEWYW7RelbXzphT8F6tHFZXV" TargetMode="External"/><Relationship Id="rId341" Type="http://schemas.openxmlformats.org/officeDocument/2006/relationships/hyperlink" Target="https://drive.google.com/open?id=1lI5lYtA5m0QAIUj0LD897k3O6NMAkxKY" TargetMode="External"/><Relationship Id="rId439" Type="http://schemas.openxmlformats.org/officeDocument/2006/relationships/hyperlink" Target="https://drive.google.com/open?id=1pQzRPvBj_zLUQF1x327A_Ozsrhj7_hqF" TargetMode="External"/><Relationship Id="rId646" Type="http://schemas.openxmlformats.org/officeDocument/2006/relationships/hyperlink" Target="https://drive.google.com/file/d/1pFitVuWhzUN7CGVxLShY6-Ilp6_aT0--/view?usp=sharing" TargetMode="External"/><Relationship Id="rId201" Type="http://schemas.openxmlformats.org/officeDocument/2006/relationships/hyperlink" Target="https://drive.google.com/open?id=1-fr_zsf-7fSXhRxegEztRfDKVGALmS4z" TargetMode="External"/><Relationship Id="rId285" Type="http://schemas.openxmlformats.org/officeDocument/2006/relationships/hyperlink" Target="https://drive.google.com/open?id=1pEg5agn5jdMhfl4Pa1dRPaxDB2kT59cP" TargetMode="External"/><Relationship Id="rId506" Type="http://schemas.openxmlformats.org/officeDocument/2006/relationships/hyperlink" Target="https://drive.google.com/open?id=1v-yro4vA3IMknMh88BfdmdNuHsGAtMU9" TargetMode="External"/><Relationship Id="rId492" Type="http://schemas.openxmlformats.org/officeDocument/2006/relationships/hyperlink" Target="https://drive.google.com/open?id=1bdpHjTzNTfYTdNA3BLvkRIOAK0oqnywr" TargetMode="External"/><Relationship Id="rId713" Type="http://schemas.openxmlformats.org/officeDocument/2006/relationships/hyperlink" Target="https://drive.google.com/open?id=1f492WouB2srcPiOf4BO8NqomNsLlswDl" TargetMode="External"/><Relationship Id="rId145" Type="http://schemas.openxmlformats.org/officeDocument/2006/relationships/hyperlink" Target="https://drive.google.com/open?id=16knL7rF64EXtCB0-Ch1v5DtfiE2GYjkB" TargetMode="External"/><Relationship Id="rId352" Type="http://schemas.openxmlformats.org/officeDocument/2006/relationships/hyperlink" Target="https://drive.google.com/open?id=1NtiTNjX2PGqwlLkZFmbdlXcehKbE15ku" TargetMode="External"/><Relationship Id="rId212" Type="http://schemas.openxmlformats.org/officeDocument/2006/relationships/hyperlink" Target="https://drive.google.com/open?id=1gDlrJFFlHJ6wrs9mCke3OdSAEhk2mY0f" TargetMode="External"/><Relationship Id="rId657" Type="http://schemas.openxmlformats.org/officeDocument/2006/relationships/hyperlink" Target="https://drive.google.com/open?id=1euBM6QoP56NhYkl2g8T2IRU9qquzh3C9" TargetMode="External"/><Relationship Id="rId296" Type="http://schemas.openxmlformats.org/officeDocument/2006/relationships/hyperlink" Target="https://drive.google.com/open?id=1OFNIiygxFaRERdCZIokq39FVDXBSU7io" TargetMode="External"/><Relationship Id="rId517" Type="http://schemas.openxmlformats.org/officeDocument/2006/relationships/hyperlink" Target="https://drive.google.com/open?id=1dWe1DhI9PuYYyMwnmzaOaUulzo9n8YSA" TargetMode="External"/><Relationship Id="rId724" Type="http://schemas.openxmlformats.org/officeDocument/2006/relationships/hyperlink" Target="https://drive.google.com/open?id=1VvGfORJ6L6VwYRUDV8aJ3Nq6jB6_9anA" TargetMode="External"/><Relationship Id="rId60" Type="http://schemas.openxmlformats.org/officeDocument/2006/relationships/hyperlink" Target="https://drive.google.com/open?id=1u0cPd0Cb7NpMfwMB9pW7iorhksfW61lD" TargetMode="External"/><Relationship Id="rId156" Type="http://schemas.openxmlformats.org/officeDocument/2006/relationships/hyperlink" Target="https://drive.google.com/open?id=1_9ppyrKCtE-XMEeff5l7DxjtW5j1p2Ng" TargetMode="External"/><Relationship Id="rId363" Type="http://schemas.openxmlformats.org/officeDocument/2006/relationships/hyperlink" Target="https://drive.google.com/open?id=1QnJgiHPv2Gx82gpCFvmZNrOnXH-qgm5T" TargetMode="External"/><Relationship Id="rId570" Type="http://schemas.openxmlformats.org/officeDocument/2006/relationships/hyperlink" Target="https://drive.google.com/open?id=1nFSy5k_5dEpHD1r7NrzhyR0bvCdUEIlN" TargetMode="External"/><Relationship Id="rId223" Type="http://schemas.openxmlformats.org/officeDocument/2006/relationships/hyperlink" Target="https://drive.google.com/open?id=1nFSy5k_5dEpHD1r7NrzhyR0bvCdUEIlN" TargetMode="External"/><Relationship Id="rId430" Type="http://schemas.openxmlformats.org/officeDocument/2006/relationships/hyperlink" Target="https://drive.google.com/open?id=1Lh6pRJeCgp3obPoC-oX-t-UCUeFWAevz" TargetMode="External"/><Relationship Id="rId668" Type="http://schemas.openxmlformats.org/officeDocument/2006/relationships/hyperlink" Target="https://drive.google.com/open?id=1nFSy5k_5dEpHD1r7NrzhyR0bvCdUEIlN" TargetMode="External"/><Relationship Id="rId18" Type="http://schemas.openxmlformats.org/officeDocument/2006/relationships/hyperlink" Target="https://drive.google.com/open?id=10sdNcgJhfeOHGxHV7tEHyPG449QWMDh7" TargetMode="External"/><Relationship Id="rId528" Type="http://schemas.openxmlformats.org/officeDocument/2006/relationships/hyperlink" Target="https://drive.google.com/open?id=12WC1Bu_lEABhJzMA7VMSl0Xd5ugZr4vK" TargetMode="External"/><Relationship Id="rId167" Type="http://schemas.openxmlformats.org/officeDocument/2006/relationships/hyperlink" Target="https://drive.google.com/open?id=12WC1Bu_lEABhJzMA7VMSl0Xd5ugZr4vK" TargetMode="External"/><Relationship Id="rId374" Type="http://schemas.openxmlformats.org/officeDocument/2006/relationships/hyperlink" Target="https://drive.google.com/open?id=1W_sqF6L1htOp6evMHPdQ4_5ioAfGroGN" TargetMode="External"/><Relationship Id="rId581" Type="http://schemas.openxmlformats.org/officeDocument/2006/relationships/hyperlink" Target="https://drive.google.com/open?id=1oKOZor5DyF6OVwkcYZr0z1iqaNRs9ITY" TargetMode="External"/><Relationship Id="rId71" Type="http://schemas.openxmlformats.org/officeDocument/2006/relationships/hyperlink" Target="https://drive.google.com/open?id=1pEg5agn5jdMhfl4Pa1dRPaxDB2kT59cP" TargetMode="External"/><Relationship Id="rId234" Type="http://schemas.openxmlformats.org/officeDocument/2006/relationships/hyperlink" Target="https://drive.google.com/open?id=1TvxFMlXVF3YcisaFSuNkGNzH2rU_1XKk" TargetMode="External"/><Relationship Id="rId679" Type="http://schemas.openxmlformats.org/officeDocument/2006/relationships/hyperlink" Target="https://drive.google.com/open?id=1YFy-QkXteFQ7Qy3y-cGXRmFusNCMcXqN" TargetMode="External"/><Relationship Id="rId2" Type="http://schemas.openxmlformats.org/officeDocument/2006/relationships/hyperlink" Target="https://drive.google.com/open?id=167cO_pps25cCeugQIhnlBauWP6MwGrFq" TargetMode="External"/><Relationship Id="rId29" Type="http://schemas.openxmlformats.org/officeDocument/2006/relationships/hyperlink" Target="https://drive.google.com/open?id=1bdpHjTzNTfYTdNA3BLvkRIOAK0oqnywr" TargetMode="External"/><Relationship Id="rId441" Type="http://schemas.openxmlformats.org/officeDocument/2006/relationships/hyperlink" Target="https://drive.google.com/open?id=1oKOZor5DyF6OVwkcYZr0z1iqaNRs9ITY" TargetMode="External"/><Relationship Id="rId539" Type="http://schemas.openxmlformats.org/officeDocument/2006/relationships/hyperlink" Target="https://drive.google.com/open?id=1oKOZor5DyF6OVwkcYZr0z1iqaNRs9ITY" TargetMode="External"/><Relationship Id="rId178" Type="http://schemas.openxmlformats.org/officeDocument/2006/relationships/hyperlink" Target="https://drive.google.com/open?id=1KIKPK_8WUzW0AaUtaYLQjpBWoREi6G_x" TargetMode="External"/><Relationship Id="rId301" Type="http://schemas.openxmlformats.org/officeDocument/2006/relationships/hyperlink" Target="https://drive.google.com/open?id=1bZl37j56hV0MOVQUC_zOJ_TsMADnNB7n" TargetMode="External"/><Relationship Id="rId82" Type="http://schemas.openxmlformats.org/officeDocument/2006/relationships/hyperlink" Target="https://drive.google.com/open?id=1j4aINL7odkE9ebvHSsHeSk6GNP_DsSSf" TargetMode="External"/><Relationship Id="rId385" Type="http://schemas.openxmlformats.org/officeDocument/2006/relationships/hyperlink" Target="https://drive.google.com/open?id=1cxGxrVWMvCNlS6TwjKIt2Jn85z6h57TB" TargetMode="External"/><Relationship Id="rId592" Type="http://schemas.openxmlformats.org/officeDocument/2006/relationships/hyperlink" Target="https://drive.google.com/open?id=1FaBlMhsdzN4YFVYIrSMsBjEzGYDfxbqs" TargetMode="External"/><Relationship Id="rId606" Type="http://schemas.openxmlformats.org/officeDocument/2006/relationships/hyperlink" Target="https://drive.google.com/open?id=1nFSy5k_5dEpHD1r7NrzhyR0bvCdUEIlN" TargetMode="External"/><Relationship Id="rId245" Type="http://schemas.openxmlformats.org/officeDocument/2006/relationships/hyperlink" Target="https://drive.google.com/open?id=1nFSy5k_5dEpHD1r7NrzhyR0bvCdUEIlN" TargetMode="External"/><Relationship Id="rId452" Type="http://schemas.openxmlformats.org/officeDocument/2006/relationships/hyperlink" Target="https://drive.google.com/open?id=1g78kGff23T6IlvseLmZ-m-rWpiIjiHQE" TargetMode="External"/><Relationship Id="rId105" Type="http://schemas.openxmlformats.org/officeDocument/2006/relationships/hyperlink" Target="https://drive.google.com/open?id=1bdpHjTzNTfYTdNA3BLvkRIOAK0oqnywr" TargetMode="External"/><Relationship Id="rId312" Type="http://schemas.openxmlformats.org/officeDocument/2006/relationships/hyperlink" Target="https://drive.google.com/open?id=1bV4spIbyT8GsL49ssa_MSF_aValovUQa" TargetMode="External"/><Relationship Id="rId51" Type="http://schemas.openxmlformats.org/officeDocument/2006/relationships/hyperlink" Target="https://drive.google.com/open?id=1bZl37j56hV0MOVQUC_zOJ_TsMADnNB7n" TargetMode="External"/><Relationship Id="rId93" Type="http://schemas.openxmlformats.org/officeDocument/2006/relationships/hyperlink" Target="https://drive.google.com/open?id=16knL7rF64EXtCB0-Ch1v5DtfiE2GYjkB" TargetMode="External"/><Relationship Id="rId189" Type="http://schemas.openxmlformats.org/officeDocument/2006/relationships/hyperlink" Target="https://drive.google.com/open?id=16knL7rF64EXtCB0-Ch1v5DtfiE2GYjkB" TargetMode="External"/><Relationship Id="rId396" Type="http://schemas.openxmlformats.org/officeDocument/2006/relationships/hyperlink" Target="https://drive.google.com/open?id=1VT_NF7ireneDeoXkspF01x9vThehgcQ8" TargetMode="External"/><Relationship Id="rId561" Type="http://schemas.openxmlformats.org/officeDocument/2006/relationships/hyperlink" Target="https://drive.google.com/open?id=1DNhoWwWm-etgNCJrztEN2UxtcT_r0Xzw" TargetMode="External"/><Relationship Id="rId617" Type="http://schemas.openxmlformats.org/officeDocument/2006/relationships/hyperlink" Target="https://drive.google.com/open?id=1pQzRPvBj_zLUQF1x327A_Ozsrhj7_hqF" TargetMode="External"/><Relationship Id="rId659" Type="http://schemas.openxmlformats.org/officeDocument/2006/relationships/hyperlink" Target="https://drive.google.com/open?id=1pQzRPvBj_zLUQF1x327A_Ozsrhj7_hqF" TargetMode="External"/><Relationship Id="rId214" Type="http://schemas.openxmlformats.org/officeDocument/2006/relationships/hyperlink" Target="https://drive.google.com/open?id=1POUQKy1ilDqSpiJdEeMll7jjz7OzV57x" TargetMode="External"/><Relationship Id="rId256" Type="http://schemas.openxmlformats.org/officeDocument/2006/relationships/hyperlink" Target="https://drive.google.com/open?id=1KrsdqfsS2eLXKXfMkTbm0G8avGkWictJ" TargetMode="External"/><Relationship Id="rId298" Type="http://schemas.openxmlformats.org/officeDocument/2006/relationships/hyperlink" Target="https://drive.google.com/open?id=1RV-yz_vg4w5ct0v64lDTwywlHno29GQa" TargetMode="External"/><Relationship Id="rId421" Type="http://schemas.openxmlformats.org/officeDocument/2006/relationships/hyperlink" Target="https://drive.google.com/open?id=1qBWwLB7l_YGWpxDERoB45wltfRFe1veB" TargetMode="External"/><Relationship Id="rId463" Type="http://schemas.openxmlformats.org/officeDocument/2006/relationships/hyperlink" Target="https://drive.google.com/open?id=1qYJJWTG2ek_WRs58p5zFtFYlJK1UZ7yZ" TargetMode="External"/><Relationship Id="rId519" Type="http://schemas.openxmlformats.org/officeDocument/2006/relationships/hyperlink" Target="https://drive.google.com/open?id=1g9tHfnG3syFJyTylDg_6CWqECxLEzrKJ" TargetMode="External"/><Relationship Id="rId670" Type="http://schemas.openxmlformats.org/officeDocument/2006/relationships/hyperlink" Target="https://drive.google.com/open?id=195Nt2QyFm2vF_nQatQf2cvvhnudkfcTY" TargetMode="External"/><Relationship Id="rId116" Type="http://schemas.openxmlformats.org/officeDocument/2006/relationships/hyperlink" Target="https://drive.google.com/open?id=1qAjd-XvwkWNxvN9li1VgsjrUyKI7FfEF" TargetMode="External"/><Relationship Id="rId158" Type="http://schemas.openxmlformats.org/officeDocument/2006/relationships/hyperlink" Target="https://drive.google.com/open?id=10ue6NQVkZOEOXXiuGrJPvcxMUx7O_Zdj" TargetMode="External"/><Relationship Id="rId323" Type="http://schemas.openxmlformats.org/officeDocument/2006/relationships/hyperlink" Target="https://drive.google.com/open?id=1pQzRPvBj_zLUQF1x327A_Ozsrhj7_hqF" TargetMode="External"/><Relationship Id="rId530" Type="http://schemas.openxmlformats.org/officeDocument/2006/relationships/hyperlink" Target="https://drive.google.com/open?id=1iyyuXsFJgof-vuGhbT1Fobdkzo4OyADv" TargetMode="External"/><Relationship Id="rId726" Type="http://schemas.openxmlformats.org/officeDocument/2006/relationships/hyperlink" Target="https://drive.google.com/open?id=1exTfsVWlg5mcXI0DcAAVEpnntEAX6cLQ" TargetMode="External"/><Relationship Id="rId20" Type="http://schemas.openxmlformats.org/officeDocument/2006/relationships/hyperlink" Target="https://drive.google.com/open?id=1tCHft5upc9p_OJeYuph9ee55_kPbe-YD" TargetMode="External"/><Relationship Id="rId62" Type="http://schemas.openxmlformats.org/officeDocument/2006/relationships/hyperlink" Target="https://drive.google.com/open?id=1GPsD5MoP6RjndNmlTIggCOypNYBaFlt0" TargetMode="External"/><Relationship Id="rId365" Type="http://schemas.openxmlformats.org/officeDocument/2006/relationships/hyperlink" Target="https://drive.google.com/open?id=13B8o1VUZceE-bTUtaAlUaPqoo7yLrA2P" TargetMode="External"/><Relationship Id="rId572" Type="http://schemas.openxmlformats.org/officeDocument/2006/relationships/hyperlink" Target="https://drive.google.com/open?id=1lPaVOdYRv96X1_3N5OYB5TnG02gUybVZ" TargetMode="External"/><Relationship Id="rId628" Type="http://schemas.openxmlformats.org/officeDocument/2006/relationships/hyperlink" Target="https://drive.google.com/open?id=1pQzRPvBj_zLUQF1x327A_Ozsrhj7_hqF" TargetMode="External"/><Relationship Id="rId225" Type="http://schemas.openxmlformats.org/officeDocument/2006/relationships/hyperlink" Target="https://drive.google.com/open?id=16knL7rF64EXtCB0-Ch1v5DtfiE2GYjkB" TargetMode="External"/><Relationship Id="rId267" Type="http://schemas.openxmlformats.org/officeDocument/2006/relationships/hyperlink" Target="https://drive.google.com/open?id=1exTfsVWlg5mcXI0DcAAVEpnntEAX6cLQ" TargetMode="External"/><Relationship Id="rId432" Type="http://schemas.openxmlformats.org/officeDocument/2006/relationships/hyperlink" Target="https://drive.google.com/open?id=1IQ01PWEUf1OeOp1-5SiFeHvka-9DAbEw" TargetMode="External"/><Relationship Id="rId474" Type="http://schemas.openxmlformats.org/officeDocument/2006/relationships/hyperlink" Target="https://drive.google.com/open?id=1bZl37j56hV0MOVQUC_zOJ_TsMADnNB7n" TargetMode="External"/><Relationship Id="rId127" Type="http://schemas.openxmlformats.org/officeDocument/2006/relationships/hyperlink" Target="https://drive.google.com/open?id=1KbW4Fau8B6wCXivbcdfuxnJ8SFYy7Ow6" TargetMode="External"/><Relationship Id="rId681" Type="http://schemas.openxmlformats.org/officeDocument/2006/relationships/hyperlink" Target="https://drive.google.com/open?id=1bdfPcoVY7gGnfSqAUR9FcOU1nrSE71tH" TargetMode="External"/><Relationship Id="rId31" Type="http://schemas.openxmlformats.org/officeDocument/2006/relationships/hyperlink" Target="https://drive.google.com/open?id=1bdpHjTzNTfYTdNA3BLvkRIOAK0oqnywr" TargetMode="External"/><Relationship Id="rId73" Type="http://schemas.openxmlformats.org/officeDocument/2006/relationships/hyperlink" Target="https://drive.google.com/open?id=1pEg5agn5jdMhfl4Pa1dRPaxDB2kT59cP" TargetMode="External"/><Relationship Id="rId169" Type="http://schemas.openxmlformats.org/officeDocument/2006/relationships/hyperlink" Target="https://drive.google.com/open?id=12WC1Bu_lEABhJzMA7VMSl0Xd5ugZr4vK" TargetMode="External"/><Relationship Id="rId334" Type="http://schemas.openxmlformats.org/officeDocument/2006/relationships/hyperlink" Target="https://drive.google.com/open?id=1krH3O0KBDqwzj7EFryfqtAHAJabhViJ3" TargetMode="External"/><Relationship Id="rId376" Type="http://schemas.openxmlformats.org/officeDocument/2006/relationships/hyperlink" Target="https://drive.google.com/open?id=1gzAayuTDiysSG8j_V0n8piCeLDbFhR7T" TargetMode="External"/><Relationship Id="rId541" Type="http://schemas.openxmlformats.org/officeDocument/2006/relationships/hyperlink" Target="https://drive.google.com/open?id=1XuS8aLXsuxa6nJUp2Etjj84cMZp4pKkt" TargetMode="External"/><Relationship Id="rId583" Type="http://schemas.openxmlformats.org/officeDocument/2006/relationships/hyperlink" Target="https://drive.google.com/open?id=1bdpHjTzNTfYTdNA3BLvkRIOAK0oqnywr" TargetMode="External"/><Relationship Id="rId639" Type="http://schemas.openxmlformats.org/officeDocument/2006/relationships/hyperlink" Target="https://drive.google.com/open?id=1BbGv4QdH0swgQaFyL0tfO23SD-iBXNqL" TargetMode="External"/><Relationship Id="rId4" Type="http://schemas.openxmlformats.org/officeDocument/2006/relationships/hyperlink" Target="https://drive.google.com/open?id=1T-SGTWvplgCHBU-vbYLe-msRzw7FbX0R" TargetMode="External"/><Relationship Id="rId180" Type="http://schemas.openxmlformats.org/officeDocument/2006/relationships/hyperlink" Target="https://drive.google.com/open?id=1ytLGcUzlWJLngwZO5-ispF1bGeHG9zab" TargetMode="External"/><Relationship Id="rId236" Type="http://schemas.openxmlformats.org/officeDocument/2006/relationships/hyperlink" Target="https://drive.google.com/open?id=1zY0HN36mOadv3BEGDe0nxmRe4meLVeGG" TargetMode="External"/><Relationship Id="rId278" Type="http://schemas.openxmlformats.org/officeDocument/2006/relationships/hyperlink" Target="https://drive.google.com/file/d/1pFitVuWhzUN7CGVxLShY6-Ilp6_aT0--/view?usp=sharing" TargetMode="External"/><Relationship Id="rId401" Type="http://schemas.openxmlformats.org/officeDocument/2006/relationships/hyperlink" Target="https://drive.google.com/open?id=1nFSy5k_5dEpHD1r7NrzhyR0bvCdUEIlN" TargetMode="External"/><Relationship Id="rId443" Type="http://schemas.openxmlformats.org/officeDocument/2006/relationships/hyperlink" Target="https://drive.google.com/open?id=1oKOZor5DyF6OVwkcYZr0z1iqaNRs9ITY" TargetMode="External"/><Relationship Id="rId650" Type="http://schemas.openxmlformats.org/officeDocument/2006/relationships/hyperlink" Target="https://drive.google.com/open?id=1cNdHo19T35eklBUZY_qj1BVJ98P3D_u8" TargetMode="External"/><Relationship Id="rId303" Type="http://schemas.openxmlformats.org/officeDocument/2006/relationships/hyperlink" Target="https://drive.google.com/open?id=1nFSy5k_5dEpHD1r7NrzhyR0bvCdUEIlN" TargetMode="External"/><Relationship Id="rId485" Type="http://schemas.openxmlformats.org/officeDocument/2006/relationships/hyperlink" Target="https://drive.google.com/open?id=1uNUd8_14dtrIMPudmlE4LleLv_aALhpT" TargetMode="External"/><Relationship Id="rId692" Type="http://schemas.openxmlformats.org/officeDocument/2006/relationships/hyperlink" Target="https://drive.google.com/open?id=1WcOmHe7BkZ0JXVkb0m0s81wXaTRzu2B4" TargetMode="External"/><Relationship Id="rId706" Type="http://schemas.openxmlformats.org/officeDocument/2006/relationships/hyperlink" Target="https://drive.google.com/open?id=1jNB0dX7vprpk3tel6i4HIfX0MLvbF6X5" TargetMode="External"/><Relationship Id="rId42" Type="http://schemas.openxmlformats.org/officeDocument/2006/relationships/hyperlink" Target="https://drive.google.com/open?id=15YuwN8hXNymlCIxVnGbT3n7VXzzP_PSx" TargetMode="External"/><Relationship Id="rId84" Type="http://schemas.openxmlformats.org/officeDocument/2006/relationships/hyperlink" Target="https://drive.google.com/open?id=1zkvoP6HZtQbriAXuPK-2O3HmjYh4ygH0" TargetMode="External"/><Relationship Id="rId138" Type="http://schemas.openxmlformats.org/officeDocument/2006/relationships/hyperlink" Target="https://drive.google.com/open?id=15HesWYojAoKVQgRzh_GgxJtEdoXWpF4X" TargetMode="External"/><Relationship Id="rId345" Type="http://schemas.openxmlformats.org/officeDocument/2006/relationships/hyperlink" Target="https://drive.google.com/open?id=1Qiku9qg3jh4JqfYRb-h793txnztJHlPL" TargetMode="External"/><Relationship Id="rId387" Type="http://schemas.openxmlformats.org/officeDocument/2006/relationships/hyperlink" Target="https://drive.google.com/open?id=1nFSy5k_5dEpHD1r7NrzhyR0bvCdUEIlN" TargetMode="External"/><Relationship Id="rId510" Type="http://schemas.openxmlformats.org/officeDocument/2006/relationships/hyperlink" Target="https://drive.google.com/open?id=1v-yro4vA3IMknMh88BfdmdNuHsGAtMU9" TargetMode="External"/><Relationship Id="rId552" Type="http://schemas.openxmlformats.org/officeDocument/2006/relationships/hyperlink" Target="https://drive.google.com/open?id=1IQIptPp2W4LbM_zAu2EX0E9QaFcmSGgM" TargetMode="External"/><Relationship Id="rId594" Type="http://schemas.openxmlformats.org/officeDocument/2006/relationships/hyperlink" Target="https://drive.google.com/open?id=1q83wdz7Ojr2YtYLesUSXu_W9gc0ENyja" TargetMode="External"/><Relationship Id="rId608" Type="http://schemas.openxmlformats.org/officeDocument/2006/relationships/hyperlink" Target="https://drive.google.com/open?id=1euBM6QoP56NhYkl2g8T2IRU9qquzh3C9" TargetMode="External"/><Relationship Id="rId191" Type="http://schemas.openxmlformats.org/officeDocument/2006/relationships/hyperlink" Target="https://drive.google.com/open?id=1-fr_zsf-7fSXhRxegEztRfDKVGALmS4z" TargetMode="External"/><Relationship Id="rId205" Type="http://schemas.openxmlformats.org/officeDocument/2006/relationships/hyperlink" Target="https://drive.google.com/open?id=1-fr_zsf-7fSXhRxegEztRfDKVGALmS4z" TargetMode="External"/><Relationship Id="rId247" Type="http://schemas.openxmlformats.org/officeDocument/2006/relationships/hyperlink" Target="https://drive.google.com/open?id=1YFy-QkXteFQ7Qy3y-cGXRmFusNCMcXqN" TargetMode="External"/><Relationship Id="rId412" Type="http://schemas.openxmlformats.org/officeDocument/2006/relationships/hyperlink" Target="https://drive.google.com/open?id=1CPrSbkWgbPzkdkc9HKbC4i9fgnuQmd6z" TargetMode="External"/><Relationship Id="rId107" Type="http://schemas.openxmlformats.org/officeDocument/2006/relationships/hyperlink" Target="https://drive.google.com/open?id=16knL7rF64EXtCB0-Ch1v5DtfiE2GYjkB" TargetMode="External"/><Relationship Id="rId289" Type="http://schemas.openxmlformats.org/officeDocument/2006/relationships/hyperlink" Target="https://drive.google.com/open?id=18lqKYE01GxaHDTubmc2BqVX6nwdqClgj" TargetMode="External"/><Relationship Id="rId454" Type="http://schemas.openxmlformats.org/officeDocument/2006/relationships/hyperlink" Target="https://drive.google.com/open?id=1V0nCk04KMRc8f1xThyXz4NospyzM9Vcw" TargetMode="External"/><Relationship Id="rId496" Type="http://schemas.openxmlformats.org/officeDocument/2006/relationships/hyperlink" Target="https://drive.google.com/open?id=195Nt2QyFm2vF_nQatQf2cvvhnudkfcTY" TargetMode="External"/><Relationship Id="rId661" Type="http://schemas.openxmlformats.org/officeDocument/2006/relationships/hyperlink" Target="https://drive.google.com/open?id=1nFSy5k_5dEpHD1r7NrzhyR0bvCdUEIlN" TargetMode="External"/><Relationship Id="rId717" Type="http://schemas.openxmlformats.org/officeDocument/2006/relationships/hyperlink" Target="https://drive.google.com/open?id=195Nt2QyFm2vF_nQatQf2cvvhnudkfcTY" TargetMode="External"/><Relationship Id="rId11" Type="http://schemas.openxmlformats.org/officeDocument/2006/relationships/hyperlink" Target="https://drive.google.com/open?id=1eMoOGXHFjyDSEc7Ez9xWIoVtzbYVzEYs" TargetMode="External"/><Relationship Id="rId53" Type="http://schemas.openxmlformats.org/officeDocument/2006/relationships/hyperlink" Target="https://drive.google.com/open?id=1eMoOGXHFjyDSEc7Ez9xWIoVtzbYVzEYs" TargetMode="External"/><Relationship Id="rId149" Type="http://schemas.openxmlformats.org/officeDocument/2006/relationships/hyperlink" Target="https://drive.google.com/open?id=12WC1Bu_lEABhJzMA7VMSl0Xd5ugZr4vK" TargetMode="External"/><Relationship Id="rId314" Type="http://schemas.openxmlformats.org/officeDocument/2006/relationships/hyperlink" Target="https://drive.google.com/open?id=1U1uSTzucqEU3qAbb233vbNrtAExYQQnu" TargetMode="External"/><Relationship Id="rId356" Type="http://schemas.openxmlformats.org/officeDocument/2006/relationships/hyperlink" Target="https://drive.google.com/open?id=1g78kGff23T6IlvseLmZ-m-rWpiIjiHQE" TargetMode="External"/><Relationship Id="rId398" Type="http://schemas.openxmlformats.org/officeDocument/2006/relationships/hyperlink" Target="https://drive.google.com/open?id=1ynntwWOtFlR7P7Ka4DzSI4240hx-Jtpb" TargetMode="External"/><Relationship Id="rId521" Type="http://schemas.openxmlformats.org/officeDocument/2006/relationships/hyperlink" Target="https://drive.google.com/open?id=1-2nvnLYcPfUB0VXCV3hbDw4xmAMsttRd" TargetMode="External"/><Relationship Id="rId563" Type="http://schemas.openxmlformats.org/officeDocument/2006/relationships/hyperlink" Target="https://drive.google.com/open?id=1oKOZor5DyF6OVwkcYZr0z1iqaNRs9ITY" TargetMode="External"/><Relationship Id="rId619" Type="http://schemas.openxmlformats.org/officeDocument/2006/relationships/hyperlink" Target="https://drive.google.com/open?id=1YFy-QkXteFQ7Qy3y-cGXRmFusNCMcXqN" TargetMode="External"/><Relationship Id="rId95" Type="http://schemas.openxmlformats.org/officeDocument/2006/relationships/hyperlink" Target="https://drive.google.com/open?id=1WzqRWhxunzyieJR6BIOBizRkCsr8ZlGN" TargetMode="External"/><Relationship Id="rId160" Type="http://schemas.openxmlformats.org/officeDocument/2006/relationships/hyperlink" Target="https://drive.google.com/open?id=1Rgt5aaeONdFLYEEuqRdGPk8YKKAMA3o2" TargetMode="External"/><Relationship Id="rId216" Type="http://schemas.openxmlformats.org/officeDocument/2006/relationships/hyperlink" Target="https://drive.google.com/open?id=1CzunSUZ8_lRK0vVNBzMPDV1AYIRJldHX" TargetMode="External"/><Relationship Id="rId423" Type="http://schemas.openxmlformats.org/officeDocument/2006/relationships/hyperlink" Target="https://drive.google.com/open?id=1Jbh72uxUh2VTt0ZiMK_sPKJZ0q1-kh-3" TargetMode="External"/><Relationship Id="rId258" Type="http://schemas.openxmlformats.org/officeDocument/2006/relationships/hyperlink" Target="https://drive.google.com/open?id=1B7uwZgBGetkKQC2Uz1mXPs_68hhRNIkk" TargetMode="External"/><Relationship Id="rId465" Type="http://schemas.openxmlformats.org/officeDocument/2006/relationships/hyperlink" Target="https://drive.google.com/open?id=1Tt1rYBnKJ3PqhNzPfYUDtjzJeYxswRzG" TargetMode="External"/><Relationship Id="rId630" Type="http://schemas.openxmlformats.org/officeDocument/2006/relationships/hyperlink" Target="https://drive.google.com/open?id=1VvGfORJ6L6VwYRUDV8aJ3Nq6jB6_9anA" TargetMode="External"/><Relationship Id="rId672" Type="http://schemas.openxmlformats.org/officeDocument/2006/relationships/hyperlink" Target="https://drive.google.com/open?id=1KbW4Fau8B6wCXivbcdfuxnJ8SFYy7Ow6" TargetMode="External"/><Relationship Id="rId728" Type="http://schemas.openxmlformats.org/officeDocument/2006/relationships/hyperlink" Target="https://drive.google.com/open?id=1bdfPcoVY7gGnfSqAUR9FcOU1nrSE71tH" TargetMode="External"/><Relationship Id="rId22" Type="http://schemas.openxmlformats.org/officeDocument/2006/relationships/hyperlink" Target="https://drive.google.com/open?id=1He0u2mpKxFBG_1RlfuqBHbaFnzs54MMa" TargetMode="External"/><Relationship Id="rId64" Type="http://schemas.openxmlformats.org/officeDocument/2006/relationships/hyperlink" Target="https://drive.google.com/open?id=1pJIJsKW_1cewupk1Eh05Dk0M6CUbyG7i" TargetMode="External"/><Relationship Id="rId118" Type="http://schemas.openxmlformats.org/officeDocument/2006/relationships/hyperlink" Target="https://drive.google.com/open?id=1upT69g362ehnh6IDQnnn0G3XDEv72Hpo" TargetMode="External"/><Relationship Id="rId325" Type="http://schemas.openxmlformats.org/officeDocument/2006/relationships/hyperlink" Target="https://drive.google.com/open?id=1pQzRPvBj_zLUQF1x327A_Ozsrhj7_hqF" TargetMode="External"/><Relationship Id="rId367" Type="http://schemas.openxmlformats.org/officeDocument/2006/relationships/hyperlink" Target="https://drive.google.com/open?id=15cY_HpONRr-iizg6lyWsH3V_mTo_sRKr" TargetMode="External"/><Relationship Id="rId532" Type="http://schemas.openxmlformats.org/officeDocument/2006/relationships/hyperlink" Target="https://drive.google.com/open?id=1bdpHjTzNTfYTdNA3BLvkRIOAK0oqnywr" TargetMode="External"/><Relationship Id="rId574" Type="http://schemas.openxmlformats.org/officeDocument/2006/relationships/hyperlink" Target="https://drive.google.com/open?id=1XopdzYwEcMagOaa2WB28BzUzzCLgbDlr" TargetMode="External"/><Relationship Id="rId171" Type="http://schemas.openxmlformats.org/officeDocument/2006/relationships/hyperlink" Target="https://drive.google.com/open?id=12WC1Bu_lEABhJzMA7VMSl0Xd5ugZr4vK" TargetMode="External"/><Relationship Id="rId227" Type="http://schemas.openxmlformats.org/officeDocument/2006/relationships/hyperlink" Target="https://drive.google.com/open?id=1-fr_zsf-7fSXhRxegEztRfDKVGALmS4z" TargetMode="External"/><Relationship Id="rId269" Type="http://schemas.openxmlformats.org/officeDocument/2006/relationships/hyperlink" Target="https://drive.google.com/open?id=1hysLLNyTDspucV_3Tt8ScCWEgMedd8bv" TargetMode="External"/><Relationship Id="rId434" Type="http://schemas.openxmlformats.org/officeDocument/2006/relationships/hyperlink" Target="https://drive.google.com/open?id=1georztSqY0NHN4ajnXrvGe60IU-Gr2a-" TargetMode="External"/><Relationship Id="rId476" Type="http://schemas.openxmlformats.org/officeDocument/2006/relationships/hyperlink" Target="https://drive.google.com/open?id=1KbW4Fau8B6wCXivbcdfuxnJ8SFYy7Ow6" TargetMode="External"/><Relationship Id="rId641" Type="http://schemas.openxmlformats.org/officeDocument/2006/relationships/hyperlink" Target="https://drive.google.com/open?id=1oKOZor5DyF6OVwkcYZr0z1iqaNRs9ITY" TargetMode="External"/><Relationship Id="rId683" Type="http://schemas.openxmlformats.org/officeDocument/2006/relationships/hyperlink" Target="https://drive.google.com/open?id=1XyAHqlyKm3cSooUFxa72DZEa7K5u3CT5" TargetMode="External"/><Relationship Id="rId33" Type="http://schemas.openxmlformats.org/officeDocument/2006/relationships/hyperlink" Target="https://drive.google.com/open?id=1bdpHjTzNTfYTdNA3BLvkRIOAK0oqnywr" TargetMode="External"/><Relationship Id="rId129" Type="http://schemas.openxmlformats.org/officeDocument/2006/relationships/hyperlink" Target="https://drive.google.com/open?id=1hRveVW8wUZQ_UaJ5nMN6tSGm5Wd2ppTv" TargetMode="External"/><Relationship Id="rId280" Type="http://schemas.openxmlformats.org/officeDocument/2006/relationships/hyperlink" Target="https://drive.google.com/open?id=1pEg5agn5jdMhfl4Pa1dRPaxDB2kT59cP" TargetMode="External"/><Relationship Id="rId336" Type="http://schemas.openxmlformats.org/officeDocument/2006/relationships/hyperlink" Target="https://drive.google.com/open?id=1STjWAxXa38fbnYrm-S9To3MGhUEQ6oMn" TargetMode="External"/><Relationship Id="rId501" Type="http://schemas.openxmlformats.org/officeDocument/2006/relationships/hyperlink" Target="https://drive.google.com/open?id=1uW3icCEDAUSLmjSvNEBpxPEPCvbN3RUq" TargetMode="External"/><Relationship Id="rId543" Type="http://schemas.openxmlformats.org/officeDocument/2006/relationships/hyperlink" Target="https://drive.google.com/open?id=1yrkpkftFIelD265AZ-LokQCAGfSb8JRW" TargetMode="External"/><Relationship Id="rId75" Type="http://schemas.openxmlformats.org/officeDocument/2006/relationships/hyperlink" Target="https://drive.google.com/open?id=16knL7rF64EXtCB0-Ch1v5DtfiE2GYjkB" TargetMode="External"/><Relationship Id="rId140" Type="http://schemas.openxmlformats.org/officeDocument/2006/relationships/hyperlink" Target="https://drive.google.com/open?id=1z5r-eoz76gXAM8dNBAUq5PS0SuBc0_f5" TargetMode="External"/><Relationship Id="rId182" Type="http://schemas.openxmlformats.org/officeDocument/2006/relationships/hyperlink" Target="https://drive.google.com/open?id=1e20PRYiry_Zm75uKslB_iq5uIgVS5Exm" TargetMode="External"/><Relationship Id="rId378" Type="http://schemas.openxmlformats.org/officeDocument/2006/relationships/hyperlink" Target="https://drive.google.com/open?id=1Co2BqE5SSdiw-Gvo_Z-0HSGKfQXrl6Dj" TargetMode="External"/><Relationship Id="rId403" Type="http://schemas.openxmlformats.org/officeDocument/2006/relationships/hyperlink" Target="https://drive.google.com/open?id=1nFSy5k_5dEpHD1r7NrzhyR0bvCdUEIlN" TargetMode="External"/><Relationship Id="rId585" Type="http://schemas.openxmlformats.org/officeDocument/2006/relationships/hyperlink" Target="https://drive.google.com/open?id=1zVrpIuY14Z4qtH7jTtKij9w-zFpVz9Q_" TargetMode="External"/><Relationship Id="rId6" Type="http://schemas.openxmlformats.org/officeDocument/2006/relationships/hyperlink" Target="https://drive.google.com/open?id=1pIo1Kauk-wTK4TWS22W8eRee3cdgnflH" TargetMode="External"/><Relationship Id="rId238" Type="http://schemas.openxmlformats.org/officeDocument/2006/relationships/hyperlink" Target="https://drive.google.com/open?id=1v057X6mbvZw7EjRlFM-y7BqQZ3L3HnaA" TargetMode="External"/><Relationship Id="rId445" Type="http://schemas.openxmlformats.org/officeDocument/2006/relationships/hyperlink" Target="https://drive.google.com/open?id=1YmIUNUHq4P-kOoyLjfDDMpvQv5hFDMTd" TargetMode="External"/><Relationship Id="rId487" Type="http://schemas.openxmlformats.org/officeDocument/2006/relationships/hyperlink" Target="https://drive.google.com/open?id=1JcmBXmQlig0ke_3Qd-Qhi2VrLLCFrAdZ" TargetMode="External"/><Relationship Id="rId610" Type="http://schemas.openxmlformats.org/officeDocument/2006/relationships/hyperlink" Target="https://drive.google.com/open?id=1v-yro4vA3IMknMh88BfdmdNuHsGAtMU9" TargetMode="External"/><Relationship Id="rId652" Type="http://schemas.openxmlformats.org/officeDocument/2006/relationships/hyperlink" Target="https://drive.google.com/open?id=1v0V9dlOrSvUpPUG7-h6JvaE7O28IsW6T" TargetMode="External"/><Relationship Id="rId694" Type="http://schemas.openxmlformats.org/officeDocument/2006/relationships/hyperlink" Target="https://drive.google.com/open?id=16knL7rF64EXtCB0-Ch1v5DtfiE2GYjkB" TargetMode="External"/><Relationship Id="rId708" Type="http://schemas.openxmlformats.org/officeDocument/2006/relationships/hyperlink" Target="https://drive.google.com/open?id=1cxGxrVWMvCNlS6TwjKIt2Jn85z6h57TB" TargetMode="External"/><Relationship Id="rId291" Type="http://schemas.openxmlformats.org/officeDocument/2006/relationships/hyperlink" Target="https://drive.google.com/open?id=1apRqAbWig9QHrZITIWBTjcwwk0jKyqyt" TargetMode="External"/><Relationship Id="rId305" Type="http://schemas.openxmlformats.org/officeDocument/2006/relationships/hyperlink" Target="https://drive.google.com/open?id=1pEg5agn5jdMhfl4Pa1dRPaxDB2kT59cP" TargetMode="External"/><Relationship Id="rId347" Type="http://schemas.openxmlformats.org/officeDocument/2006/relationships/hyperlink" Target="https://drive.google.com/open?id=1Eilat3Glk-25eB-cTpFwyCbH4jrea-5v" TargetMode="External"/><Relationship Id="rId512" Type="http://schemas.openxmlformats.org/officeDocument/2006/relationships/hyperlink" Target="https://drive.google.com/open?id=1YmIUNUHq4P-kOoyLjfDDMpvQv5hFDMTd" TargetMode="External"/><Relationship Id="rId44" Type="http://schemas.openxmlformats.org/officeDocument/2006/relationships/hyperlink" Target="https://drive.google.com/open?id=1R2NKJDfddVxi5GjuAGeku5QaWdAdq6f2" TargetMode="External"/><Relationship Id="rId86" Type="http://schemas.openxmlformats.org/officeDocument/2006/relationships/hyperlink" Target="https://drive.google.com/open?id=1L6AWku766EFpeGlxVIFX8Ypqf53pWB5A" TargetMode="External"/><Relationship Id="rId151" Type="http://schemas.openxmlformats.org/officeDocument/2006/relationships/hyperlink" Target="https://drive.google.com/open?id=12WC1Bu_lEABhJzMA7VMSl0Xd5ugZr4vK" TargetMode="External"/><Relationship Id="rId389" Type="http://schemas.openxmlformats.org/officeDocument/2006/relationships/hyperlink" Target="https://drive.google.com/open?id=1nFSy5k_5dEpHD1r7NrzhyR0bvCdUEIlN" TargetMode="External"/><Relationship Id="rId554" Type="http://schemas.openxmlformats.org/officeDocument/2006/relationships/hyperlink" Target="https://drive.google.com/open?id=1Fit8zeb0ZzGVHcXEs9RtxYWEbI-b8qF8" TargetMode="External"/><Relationship Id="rId596" Type="http://schemas.openxmlformats.org/officeDocument/2006/relationships/hyperlink" Target="https://drive.google.com/open?id=1ACDEHfunqj03Sa8FaBh-tueKeDtv9OdG" TargetMode="External"/><Relationship Id="rId193" Type="http://schemas.openxmlformats.org/officeDocument/2006/relationships/hyperlink" Target="https://drive.google.com/open?id=1-fr_zsf-7fSXhRxegEztRfDKVGALmS4z" TargetMode="External"/><Relationship Id="rId207" Type="http://schemas.openxmlformats.org/officeDocument/2006/relationships/hyperlink" Target="https://drive.google.com/open?id=1-fr_zsf-7fSXhRxegEztRfDKVGALmS4z" TargetMode="External"/><Relationship Id="rId249" Type="http://schemas.openxmlformats.org/officeDocument/2006/relationships/hyperlink" Target="https://drive.google.com/open?id=16knL7rF64EXtCB0-Ch1v5DtfiE2GYjkB" TargetMode="External"/><Relationship Id="rId414" Type="http://schemas.openxmlformats.org/officeDocument/2006/relationships/hyperlink" Target="https://drive.google.com/open?id=1ILe6sWtaGOsEZ_PfAQ6wngsoVGf1zcVn" TargetMode="External"/><Relationship Id="rId456" Type="http://schemas.openxmlformats.org/officeDocument/2006/relationships/hyperlink" Target="https://drive.google.com/open?id=1b93ySdw3huxxmrYQ1jK0iSB3PhUnUsyD" TargetMode="External"/><Relationship Id="rId498" Type="http://schemas.openxmlformats.org/officeDocument/2006/relationships/hyperlink" Target="https://drive.google.com/open?id=1lPaVOdYRv96X1_3N5OYB5TnG02gUybVZ" TargetMode="External"/><Relationship Id="rId621" Type="http://schemas.openxmlformats.org/officeDocument/2006/relationships/hyperlink" Target="https://drive.google.com/open?id=1pQzRPvBj_zLUQF1x327A_Ozsrhj7_hqF" TargetMode="External"/><Relationship Id="rId663" Type="http://schemas.openxmlformats.org/officeDocument/2006/relationships/hyperlink" Target="https://drive.google.com/open?id=1pQzRPvBj_zLUQF1x327A_Ozsrhj7_hqF" TargetMode="External"/><Relationship Id="rId13" Type="http://schemas.openxmlformats.org/officeDocument/2006/relationships/hyperlink" Target="https://drive.google.com/open?id=1XopdzYwEcMagOaa2WB28BzUzzCLgbDlr" TargetMode="External"/><Relationship Id="rId109" Type="http://schemas.openxmlformats.org/officeDocument/2006/relationships/hyperlink" Target="https://drive.google.com/open?id=1v-yro4vA3IMknMh88BfdmdNuHsGAtMU9" TargetMode="External"/><Relationship Id="rId260" Type="http://schemas.openxmlformats.org/officeDocument/2006/relationships/hyperlink" Target="https://drive.google.com/open?id=1R_Ld9Xee_esrbZz9LQtch0n_pP-42BJ5" TargetMode="External"/><Relationship Id="rId316" Type="http://schemas.openxmlformats.org/officeDocument/2006/relationships/hyperlink" Target="https://drive.google.com/open?id=1uDKHsUXRmeCmu4TVtDICItkhNyK01BhV" TargetMode="External"/><Relationship Id="rId523" Type="http://schemas.openxmlformats.org/officeDocument/2006/relationships/hyperlink" Target="https://drive.google.com/open?id=13wepnvp090iI_fElvcETAUq9WIFxxH_a" TargetMode="External"/><Relationship Id="rId719" Type="http://schemas.openxmlformats.org/officeDocument/2006/relationships/hyperlink" Target="https://drive.google.com/open?id=1VvGfORJ6L6VwYRUDV8aJ3Nq6jB6_9anA" TargetMode="External"/><Relationship Id="rId55" Type="http://schemas.openxmlformats.org/officeDocument/2006/relationships/hyperlink" Target="https://drive.google.com/open?id=1bZl37j56hV0MOVQUC_zOJ_TsMADnNB7n" TargetMode="External"/><Relationship Id="rId97" Type="http://schemas.openxmlformats.org/officeDocument/2006/relationships/hyperlink" Target="https://drive.google.com/open?id=1bdfPcoVY7gGnfSqAUR9FcOU1nrSE71tH" TargetMode="External"/><Relationship Id="rId120" Type="http://schemas.openxmlformats.org/officeDocument/2006/relationships/hyperlink" Target="https://drive.google.com/open?id=1zdEQEpA9_2fb8ZyGk6-0xX93iNYG0jX3" TargetMode="External"/><Relationship Id="rId358" Type="http://schemas.openxmlformats.org/officeDocument/2006/relationships/hyperlink" Target="https://drive.google.com/open?id=1g78kGff23T6IlvseLmZ-m-rWpiIjiHQE" TargetMode="External"/><Relationship Id="rId565" Type="http://schemas.openxmlformats.org/officeDocument/2006/relationships/hyperlink" Target="https://drive.google.com/open?id=1OsPUAhOxUNKt9X2OrlunG3-uyVTuLFyk" TargetMode="External"/><Relationship Id="rId730" Type="http://schemas.openxmlformats.org/officeDocument/2006/relationships/hyperlink" Target="https://drive.google.com/open?id=195Nt2QyFm2vF_nQatQf2cvvhnudkfcTY" TargetMode="External"/><Relationship Id="rId162" Type="http://schemas.openxmlformats.org/officeDocument/2006/relationships/hyperlink" Target="https://drive.google.com/open?id=1ScptYZtfFAox4cjzAIdABkHyHlFUE-Wp" TargetMode="External"/><Relationship Id="rId218" Type="http://schemas.openxmlformats.org/officeDocument/2006/relationships/hyperlink" Target="https://drive.google.com/open?id=1zoTNOAfjhQlJkLMr-e_b0bIbeR8tckn-" TargetMode="External"/><Relationship Id="rId425" Type="http://schemas.openxmlformats.org/officeDocument/2006/relationships/hyperlink" Target="https://drive.google.com/open?id=1Jbh72uxUh2VTt0ZiMK_sPKJZ0q1-kh-3" TargetMode="External"/><Relationship Id="rId467" Type="http://schemas.openxmlformats.org/officeDocument/2006/relationships/hyperlink" Target="https://drive.google.com/open?id=1v-yro4vA3IMknMh88BfdmdNuHsGAtMU9" TargetMode="External"/><Relationship Id="rId632" Type="http://schemas.openxmlformats.org/officeDocument/2006/relationships/hyperlink" Target="https://drive.google.com/open?id=1b93ySdw3huxxmrYQ1jK0iSB3PhUnUsyD" TargetMode="External"/><Relationship Id="rId271" Type="http://schemas.openxmlformats.org/officeDocument/2006/relationships/hyperlink" Target="https://drive.google.com/open?id=1apRqAbWig9QHrZITIWBTjcwwk0jKyqyt" TargetMode="External"/><Relationship Id="rId674" Type="http://schemas.openxmlformats.org/officeDocument/2006/relationships/hyperlink" Target="https://drive.google.com/open?id=1nFSy5k_5dEpHD1r7NrzhyR0bvCdUEIlN" TargetMode="External"/><Relationship Id="rId24" Type="http://schemas.openxmlformats.org/officeDocument/2006/relationships/hyperlink" Target="https://drive.google.com/open?id=1u0CVE898ZkAeZpRPj7BpKGkX_GpYaiqG" TargetMode="External"/><Relationship Id="rId66" Type="http://schemas.openxmlformats.org/officeDocument/2006/relationships/hyperlink" Target="https://drive.google.com/open?id=1nbpGhoyF5jMNhEJxDbqvfnPiO7uQUeAG" TargetMode="External"/><Relationship Id="rId131" Type="http://schemas.openxmlformats.org/officeDocument/2006/relationships/hyperlink" Target="https://drive.google.com/file/d/1pFitVuWhzUN7CGVxLShY6-Ilp6_aT0--/view?usp=sharing" TargetMode="External"/><Relationship Id="rId327" Type="http://schemas.openxmlformats.org/officeDocument/2006/relationships/hyperlink" Target="https://drive.google.com/open?id=1pQzRPvBj_zLUQF1x327A_Ozsrhj7_hqF" TargetMode="External"/><Relationship Id="rId369" Type="http://schemas.openxmlformats.org/officeDocument/2006/relationships/hyperlink" Target="https://drive.google.com/open?id=150sS6H12vDQle7VcFc91qa7P6e-h5YBD" TargetMode="External"/><Relationship Id="rId534" Type="http://schemas.openxmlformats.org/officeDocument/2006/relationships/hyperlink" Target="https://drive.google.com/open?id=1lPaVOdYRv96X1_3N5OYB5TnG02gUybVZ" TargetMode="External"/><Relationship Id="rId576" Type="http://schemas.openxmlformats.org/officeDocument/2006/relationships/hyperlink" Target="https://drive.google.com/open?id=12WC1Bu_lEABhJzMA7VMSl0Xd5ugZr4vK" TargetMode="External"/><Relationship Id="rId173" Type="http://schemas.openxmlformats.org/officeDocument/2006/relationships/hyperlink" Target="https://drive.google.com/open?id=12WC1Bu_lEABhJzMA7VMSl0Xd5ugZr4vK" TargetMode="External"/><Relationship Id="rId229" Type="http://schemas.openxmlformats.org/officeDocument/2006/relationships/hyperlink" Target="https://drive.google.com/open?id=1-fr_zsf-7fSXhRxegEztRfDKVGALmS4z" TargetMode="External"/><Relationship Id="rId380" Type="http://schemas.openxmlformats.org/officeDocument/2006/relationships/hyperlink" Target="https://drive.google.com/open?id=1yHJENxb93cowK2wDsiXn4Nc6Fm-H_rXV" TargetMode="External"/><Relationship Id="rId436" Type="http://schemas.openxmlformats.org/officeDocument/2006/relationships/hyperlink" Target="https://drive.google.com/open?id=111qEil7kJHIKkpKAB_jSgslUjwFf6i0_" TargetMode="External"/><Relationship Id="rId601" Type="http://schemas.openxmlformats.org/officeDocument/2006/relationships/hyperlink" Target="https://drive.google.com/open?id=1iyyuXsFJgof-vuGhbT1Fobdkzo4OyADv" TargetMode="External"/><Relationship Id="rId643" Type="http://schemas.openxmlformats.org/officeDocument/2006/relationships/hyperlink" Target="https://drive.google.com/open?id=1oKOZor5DyF6OVwkcYZr0z1iqaNRs9ITY" TargetMode="External"/><Relationship Id="rId240" Type="http://schemas.openxmlformats.org/officeDocument/2006/relationships/hyperlink" Target="https://drive.google.com/open?id=1fZ-vo3HmsBcwh_FGdYaKuWaBNdmUNIYx" TargetMode="External"/><Relationship Id="rId478" Type="http://schemas.openxmlformats.org/officeDocument/2006/relationships/hyperlink" Target="https://drive.google.com/open?id=1f492WouB2srcPiOf4BO8NqomNsLlswDl" TargetMode="External"/><Relationship Id="rId685" Type="http://schemas.openxmlformats.org/officeDocument/2006/relationships/hyperlink" Target="https://drive.google.com/open?id=1nFSy5k_5dEpHD1r7NrzhyR0bvCdUEIlN" TargetMode="External"/><Relationship Id="rId35" Type="http://schemas.openxmlformats.org/officeDocument/2006/relationships/hyperlink" Target="https://drive.google.com/open?id=1bdpHjTzNTfYTdNA3BLvkRIOAK0oqnywr" TargetMode="External"/><Relationship Id="rId77" Type="http://schemas.openxmlformats.org/officeDocument/2006/relationships/hyperlink" Target="https://drive.google.com/open?id=1nFSy5k_5dEpHD1r7NrzhyR0bvCdUEIlN" TargetMode="External"/><Relationship Id="rId100" Type="http://schemas.openxmlformats.org/officeDocument/2006/relationships/hyperlink" Target="https://drive.google.com/open?id=1WlUwl7gXJnWu8BKFYBoK3PsDGUX_gBA_" TargetMode="External"/><Relationship Id="rId282" Type="http://schemas.openxmlformats.org/officeDocument/2006/relationships/hyperlink" Target="https://drive.google.com/open?id=1uDeETdifj_fYqQyAYuC5cUltrsBPiT4R" TargetMode="External"/><Relationship Id="rId338" Type="http://schemas.openxmlformats.org/officeDocument/2006/relationships/hyperlink" Target="https://drive.google.com/open?id=1YBwqR2H1TbSueGpgdZWYn7mAttAv9Sb9" TargetMode="External"/><Relationship Id="rId503" Type="http://schemas.openxmlformats.org/officeDocument/2006/relationships/hyperlink" Target="https://drive.google.com/open?id=12c2Hbzane-PAD7BnzdniiBWTwPJZK-gu" TargetMode="External"/><Relationship Id="rId545" Type="http://schemas.openxmlformats.org/officeDocument/2006/relationships/hyperlink" Target="https://drive.google.com/open?id=1qwTZI0TDt6VZEvSYpRlPPN3wh5r8sxfB" TargetMode="External"/><Relationship Id="rId587" Type="http://schemas.openxmlformats.org/officeDocument/2006/relationships/hyperlink" Target="https://drive.google.com/open?id=1nFSy5k_5dEpHD1r7NrzhyR0bvCdUEIlN" TargetMode="External"/><Relationship Id="rId710" Type="http://schemas.openxmlformats.org/officeDocument/2006/relationships/hyperlink" Target="https://drive.google.com/open?id=1XyAHqlyKm3cSooUFxa72DZEa7K5u3CT5" TargetMode="External"/><Relationship Id="rId8" Type="http://schemas.openxmlformats.org/officeDocument/2006/relationships/hyperlink" Target="https://drive.google.com/open?id=1cLroLLkvmwIya2Hbu7XvUKY1ejQ5vEL7" TargetMode="External"/><Relationship Id="rId142" Type="http://schemas.openxmlformats.org/officeDocument/2006/relationships/hyperlink" Target="https://drive.google.com/open?id=1qLD1qaWMZn7IxlzwI_z_v-0ilHTWNREd" TargetMode="External"/><Relationship Id="rId184" Type="http://schemas.openxmlformats.org/officeDocument/2006/relationships/hyperlink" Target="https://drive.google.com/open?id=1uey6lMBzt564-e1wRBy9hWuB8MOHJ858" TargetMode="External"/><Relationship Id="rId391" Type="http://schemas.openxmlformats.org/officeDocument/2006/relationships/hyperlink" Target="https://drive.google.com/open?id=1f492WouB2srcPiOf4BO8NqomNsLlswDl" TargetMode="External"/><Relationship Id="rId405" Type="http://schemas.openxmlformats.org/officeDocument/2006/relationships/hyperlink" Target="https://drive.google.com/open?id=1nFSy5k_5dEpHD1r7NrzhyR0bvCdUEIlN" TargetMode="External"/><Relationship Id="rId447" Type="http://schemas.openxmlformats.org/officeDocument/2006/relationships/hyperlink" Target="https://drive.google.com/open?id=1XhRc7faAg06hlOh0erz8FKU8lRzCG48a" TargetMode="External"/><Relationship Id="rId612" Type="http://schemas.openxmlformats.org/officeDocument/2006/relationships/hyperlink" Target="https://drive.google.com/open?id=1v-yro4vA3IMknMh88BfdmdNuHsGAtMU9" TargetMode="External"/><Relationship Id="rId251" Type="http://schemas.openxmlformats.org/officeDocument/2006/relationships/hyperlink" Target="https://drive.google.com/file/d/1pFitVuWhzUN7CGVxLShY6-Ilp6_aT0--/view?usp=sharing" TargetMode="External"/><Relationship Id="rId489" Type="http://schemas.openxmlformats.org/officeDocument/2006/relationships/hyperlink" Target="https://drive.google.com/open?id=1I4ia26NJgNx-4Hm_zfj0ZCcKVROasTXM" TargetMode="External"/><Relationship Id="rId654" Type="http://schemas.openxmlformats.org/officeDocument/2006/relationships/hyperlink" Target="https://drive.google.com/open?id=1cxGxrVWMvCNlS6TwjKIt2Jn85z6h57TB" TargetMode="External"/><Relationship Id="rId696" Type="http://schemas.openxmlformats.org/officeDocument/2006/relationships/hyperlink" Target="https://drive.google.com/open?id=1bdfPcoVY7gGnfSqAUR9FcOU1nrSE71tH" TargetMode="External"/><Relationship Id="rId46" Type="http://schemas.openxmlformats.org/officeDocument/2006/relationships/hyperlink" Target="https://drive.google.com/open?id=1sF0EFQb3D5Y2Z9bRLiwUXXvqNhF6bnTv" TargetMode="External"/><Relationship Id="rId293" Type="http://schemas.openxmlformats.org/officeDocument/2006/relationships/hyperlink" Target="https://drive.google.com/open?id=1b93ySdw3huxxmrYQ1jK0iSB3PhUnUsyD" TargetMode="External"/><Relationship Id="rId307" Type="http://schemas.openxmlformats.org/officeDocument/2006/relationships/hyperlink" Target="https://drive.google.com/open?id=14H4kdVuZtSvH4A5X2at_Vq8GQcvKcreF" TargetMode="External"/><Relationship Id="rId349" Type="http://schemas.openxmlformats.org/officeDocument/2006/relationships/hyperlink" Target="https://drive.google.com/open?id=12WC1Bu_lEABhJzMA7VMSl0Xd5ugZr4vK" TargetMode="External"/><Relationship Id="rId514" Type="http://schemas.openxmlformats.org/officeDocument/2006/relationships/hyperlink" Target="https://drive.google.com/open?id=18ZtV_NJEkW3wlgtHRCOdCsqTtVQnkFr0" TargetMode="External"/><Relationship Id="rId556" Type="http://schemas.openxmlformats.org/officeDocument/2006/relationships/hyperlink" Target="https://drive.google.com/open?id=1hJUvIAGOuOlQZm3l2GeuDGNZfdlxzJIp" TargetMode="External"/><Relationship Id="rId721" Type="http://schemas.openxmlformats.org/officeDocument/2006/relationships/hyperlink" Target="https://drive.google.com/open?id=1uOV-FJDxvB8STlGwppnVzhdQjWMjxj5o" TargetMode="External"/><Relationship Id="rId88" Type="http://schemas.openxmlformats.org/officeDocument/2006/relationships/hyperlink" Target="https://drive.google.com/open?id=1ncatwdGY_4CzUwclkZsKg0eFo5nUALGB" TargetMode="External"/><Relationship Id="rId111" Type="http://schemas.openxmlformats.org/officeDocument/2006/relationships/hyperlink" Target="https://drive.google.com/open?id=1v-yro4vA3IMknMh88BfdmdNuHsGAtMU9" TargetMode="External"/><Relationship Id="rId153" Type="http://schemas.openxmlformats.org/officeDocument/2006/relationships/hyperlink" Target="https://drive.google.com/open?id=12WC1Bu_lEABhJzMA7VMSl0Xd5ugZr4vK" TargetMode="External"/><Relationship Id="rId195" Type="http://schemas.openxmlformats.org/officeDocument/2006/relationships/hyperlink" Target="https://drive.google.com/open?id=1-fr_zsf-7fSXhRxegEztRfDKVGALmS4z" TargetMode="External"/><Relationship Id="rId209" Type="http://schemas.openxmlformats.org/officeDocument/2006/relationships/hyperlink" Target="https://drive.google.com/open?id=1-fr_zsf-7fSXhRxegEztRfDKVGALmS4z" TargetMode="External"/><Relationship Id="rId360" Type="http://schemas.openxmlformats.org/officeDocument/2006/relationships/hyperlink" Target="https://drive.google.com/open?id=1b93ySdw3huxxmrYQ1jK0iSB3PhUnUsyD" TargetMode="External"/><Relationship Id="rId416" Type="http://schemas.openxmlformats.org/officeDocument/2006/relationships/hyperlink" Target="https://drive.google.com/open?id=1I-TeCisaCfrcSZk_Lj96KFNvJD1NwaKM" TargetMode="External"/><Relationship Id="rId598" Type="http://schemas.openxmlformats.org/officeDocument/2006/relationships/hyperlink" Target="https://drive.google.com/open?id=1iyyuXsFJgof-vuGhbT1Fobdkzo4OyADv" TargetMode="External"/><Relationship Id="rId220" Type="http://schemas.openxmlformats.org/officeDocument/2006/relationships/hyperlink" Target="https://drive.google.com/open?id=1VmwL81btm2mGk1Qz4jYCYj68XUvI2Nc3" TargetMode="External"/><Relationship Id="rId458" Type="http://schemas.openxmlformats.org/officeDocument/2006/relationships/hyperlink" Target="https://drive.google.com/open?id=17tvViNqObmYfXRY5necXiEkbeVWZdxpV" TargetMode="External"/><Relationship Id="rId623" Type="http://schemas.openxmlformats.org/officeDocument/2006/relationships/hyperlink" Target="https://drive.google.com/open?id=1pQzRPvBj_zLUQF1x327A_Ozsrhj7_hqF" TargetMode="External"/><Relationship Id="rId665" Type="http://schemas.openxmlformats.org/officeDocument/2006/relationships/hyperlink" Target="https://drive.google.com/open?id=1euBM6QoP56NhYkl2g8T2IRU9qquzh3C9" TargetMode="External"/><Relationship Id="rId15" Type="http://schemas.openxmlformats.org/officeDocument/2006/relationships/hyperlink" Target="https://drive.google.com/open?id=16knL7rF64EXtCB0-Ch1v5DtfiE2GYjkB" TargetMode="External"/><Relationship Id="rId57" Type="http://schemas.openxmlformats.org/officeDocument/2006/relationships/hyperlink" Target="https://drive.google.com/open?id=1bZl37j56hV0MOVQUC_zOJ_TsMADnNB7n" TargetMode="External"/><Relationship Id="rId262" Type="http://schemas.openxmlformats.org/officeDocument/2006/relationships/hyperlink" Target="https://drive.google.com/open?id=1HoeWtCAYGxHHPpxj2ANIKzyIMOEaAtlP" TargetMode="External"/><Relationship Id="rId318" Type="http://schemas.openxmlformats.org/officeDocument/2006/relationships/hyperlink" Target="https://drive.google.com/open?id=12Q0ksgRBYxcXYmGI_wOqDZtoDb6I3bxX" TargetMode="External"/><Relationship Id="rId525" Type="http://schemas.openxmlformats.org/officeDocument/2006/relationships/hyperlink" Target="https://drive.google.com/open?id=1ZJHzFrp8cfc9m3Y2pcwNudC4xPOg89Jh" TargetMode="External"/><Relationship Id="rId567" Type="http://schemas.openxmlformats.org/officeDocument/2006/relationships/hyperlink" Target="https://drive.google.com/open?id=1KrdOEjd-JarOdcr4_8zJLiBJrB0gWrjv" TargetMode="External"/><Relationship Id="rId732" Type="http://schemas.openxmlformats.org/officeDocument/2006/relationships/printerSettings" Target="../printerSettings/printerSettings1.bin"/><Relationship Id="rId99" Type="http://schemas.openxmlformats.org/officeDocument/2006/relationships/hyperlink" Target="https://drive.google.com/open?id=1bdfPcoVY7gGnfSqAUR9FcOU1nrSE71tH" TargetMode="External"/><Relationship Id="rId122" Type="http://schemas.openxmlformats.org/officeDocument/2006/relationships/hyperlink" Target="https://drive.google.com/open?id=17dV44fEw6_0OMhrIj8VRbd5VgZX3Yf6z" TargetMode="External"/><Relationship Id="rId164" Type="http://schemas.openxmlformats.org/officeDocument/2006/relationships/hyperlink" Target="https://drive.google.com/open?id=1EMWCuj_cSG46n83twUW_c1_bkNKIZrgB" TargetMode="External"/><Relationship Id="rId371" Type="http://schemas.openxmlformats.org/officeDocument/2006/relationships/hyperlink" Target="https://drive.google.com/open?id=1u3a1a2UlYpzKL7ogkp3iFpa7WLiuzwpy" TargetMode="External"/><Relationship Id="rId427" Type="http://schemas.openxmlformats.org/officeDocument/2006/relationships/hyperlink" Target="https://drive.google.com/open?id=1uypUyNN8M3JMCP3_qczz6IFqK99XPsPW" TargetMode="External"/><Relationship Id="rId469" Type="http://schemas.openxmlformats.org/officeDocument/2006/relationships/hyperlink" Target="https://drive.google.com/open?id=1v-yro4vA3IMknMh88BfdmdNuHsGAtMU9" TargetMode="External"/><Relationship Id="rId634" Type="http://schemas.openxmlformats.org/officeDocument/2006/relationships/hyperlink" Target="https://drive.google.com/open?id=1VvGfORJ6L6VwYRUDV8aJ3Nq6jB6_9anA" TargetMode="External"/><Relationship Id="rId676" Type="http://schemas.openxmlformats.org/officeDocument/2006/relationships/hyperlink" Target="https://drive.google.com/open?id=1pEg5agn5jdMhfl4Pa1dRPaxDB2kT59cP" TargetMode="External"/><Relationship Id="rId26" Type="http://schemas.openxmlformats.org/officeDocument/2006/relationships/hyperlink" Target="https://drive.google.com/open?id=1QUO6b0b4pozkoAAU-R5dPQLPSCMivT0J" TargetMode="External"/><Relationship Id="rId231" Type="http://schemas.openxmlformats.org/officeDocument/2006/relationships/hyperlink" Target="https://drive.google.com/open?id=1-fr_zsf-7fSXhRxegEztRfDKVGALmS4z" TargetMode="External"/><Relationship Id="rId273" Type="http://schemas.openxmlformats.org/officeDocument/2006/relationships/hyperlink" Target="https://drive.google.com/open?id=1Ikywiw8b7Suc4tKXGBqAIB4AcUYCf5Bw" TargetMode="External"/><Relationship Id="rId329" Type="http://schemas.openxmlformats.org/officeDocument/2006/relationships/hyperlink" Target="https://drive.google.com/open?id=1pQzRPvBj_zLUQF1x327A_Ozsrhj7_hqF" TargetMode="External"/><Relationship Id="rId480" Type="http://schemas.openxmlformats.org/officeDocument/2006/relationships/hyperlink" Target="https://drive.google.com/open?id=17tvViNqObmYfXRY5necXiEkbeVWZdxpV" TargetMode="External"/><Relationship Id="rId536" Type="http://schemas.openxmlformats.org/officeDocument/2006/relationships/hyperlink" Target="https://drive.google.com/open?id=1bdpHjTzNTfYTdNA3BLvkRIOAK0oqnywr" TargetMode="External"/><Relationship Id="rId701" Type="http://schemas.openxmlformats.org/officeDocument/2006/relationships/hyperlink" Target="https://drive.google.com/open?id=1cNdHo19T35eklBUZY_qj1BVJ98P3D_u8" TargetMode="External"/><Relationship Id="rId68" Type="http://schemas.openxmlformats.org/officeDocument/2006/relationships/hyperlink" Target="https://drive.google.com/open?id=1xtNF14Mqk1LyX6L6JdMXNJ97BaGATi3U" TargetMode="External"/><Relationship Id="rId133" Type="http://schemas.openxmlformats.org/officeDocument/2006/relationships/hyperlink" Target="https://drive.google.com/open?id=1IiXbpn0z8_JaMI-MxkDjqeigPavWn4dC" TargetMode="External"/><Relationship Id="rId175" Type="http://schemas.openxmlformats.org/officeDocument/2006/relationships/hyperlink" Target="https://drive.google.com/open?id=12WC1Bu_lEABhJzMA7VMSl0Xd5ugZr4vK" TargetMode="External"/><Relationship Id="rId340" Type="http://schemas.openxmlformats.org/officeDocument/2006/relationships/hyperlink" Target="https://drive.google.com/open?id=1RTae1sIGQgbjW4F6C7wsl_LUEsGT9ksj" TargetMode="External"/><Relationship Id="rId578" Type="http://schemas.openxmlformats.org/officeDocument/2006/relationships/hyperlink" Target="https://drive.google.com/open?id=1-PO6qnAXYdv3az-Ns3-ldhVJp5CD776_" TargetMode="External"/><Relationship Id="rId200" Type="http://schemas.openxmlformats.org/officeDocument/2006/relationships/hyperlink" Target="https://drive.google.com/open?id=1DAga0JrvUWqJ3m8US36WI9vlv-UBzoNc" TargetMode="External"/><Relationship Id="rId382" Type="http://schemas.openxmlformats.org/officeDocument/2006/relationships/hyperlink" Target="https://drive.google.com/open?id=1ynKCtkNYIsw8pk-mFeq5qKTcjuiUgl08" TargetMode="External"/><Relationship Id="rId438" Type="http://schemas.openxmlformats.org/officeDocument/2006/relationships/hyperlink" Target="https://drive.google.com/open?id=1YS4pMmi6oh0V4pCWrnco2F4qRc_AqO_C" TargetMode="External"/><Relationship Id="rId603" Type="http://schemas.openxmlformats.org/officeDocument/2006/relationships/hyperlink" Target="https://drive.google.com/open?id=12WC1Bu_lEABhJzMA7VMSl0Xd5ugZr4vK" TargetMode="External"/><Relationship Id="rId645" Type="http://schemas.openxmlformats.org/officeDocument/2006/relationships/hyperlink" Target="https://drive.google.com/open?id=1VvGfORJ6L6VwYRUDV8aJ3Nq6jB6_9anA" TargetMode="External"/><Relationship Id="rId687" Type="http://schemas.openxmlformats.org/officeDocument/2006/relationships/hyperlink" Target="https://drive.google.com/open?id=1gVjK7Kms_vZzDIaxyBi5Lt_7GawMSOWj" TargetMode="External"/><Relationship Id="rId242" Type="http://schemas.openxmlformats.org/officeDocument/2006/relationships/hyperlink" Target="https://drive.google.com/open?id=1j1H78hJFtVJ2OZyGfLO-3wi7TVkc_4lG" TargetMode="External"/><Relationship Id="rId284" Type="http://schemas.openxmlformats.org/officeDocument/2006/relationships/hyperlink" Target="https://drive.google.com/open?id=1U0lWTM6-gmyHV24UcwQCpoOpNU_yozsB" TargetMode="External"/><Relationship Id="rId491" Type="http://schemas.openxmlformats.org/officeDocument/2006/relationships/hyperlink" Target="https://drive.google.com/open?id=11wEN7ax4cp9c-xZB8NZfDip97ks-6o0R" TargetMode="External"/><Relationship Id="rId505" Type="http://schemas.openxmlformats.org/officeDocument/2006/relationships/hyperlink" Target="https://drive.google.com/open?id=1Y7uglAxm0UJKMGKh97etaubbl7NdiveZ" TargetMode="External"/><Relationship Id="rId712" Type="http://schemas.openxmlformats.org/officeDocument/2006/relationships/hyperlink" Target="https://drive.google.com/open?id=1f492WouB2srcPiOf4BO8NqomNsLlswDl" TargetMode="External"/><Relationship Id="rId37" Type="http://schemas.openxmlformats.org/officeDocument/2006/relationships/hyperlink" Target="https://drive.google.com/open?id=16knL7rF64EXtCB0-Ch1v5DtfiE2GYjkB" TargetMode="External"/><Relationship Id="rId79" Type="http://schemas.openxmlformats.org/officeDocument/2006/relationships/hyperlink" Target="https://drive.google.com/open?id=16knL7rF64EXtCB0-Ch1v5DtfiE2GYjkB" TargetMode="External"/><Relationship Id="rId102" Type="http://schemas.openxmlformats.org/officeDocument/2006/relationships/hyperlink" Target="https://drive.google.com/open?id=1b5cp_D6aQ9rk1Ng7bKrH8TzXnwLkQtmL" TargetMode="External"/><Relationship Id="rId144" Type="http://schemas.openxmlformats.org/officeDocument/2006/relationships/hyperlink" Target="https://drive.google.com/open?id=1OknJHEtb_vZxaalDCdSJ53ovZ0C003EK" TargetMode="External"/><Relationship Id="rId547" Type="http://schemas.openxmlformats.org/officeDocument/2006/relationships/hyperlink" Target="https://drive.google.com/open?id=1lPaVOdYRv96X1_3N5OYB5TnG02gUybVZ" TargetMode="External"/><Relationship Id="rId589" Type="http://schemas.openxmlformats.org/officeDocument/2006/relationships/hyperlink" Target="https://drive.google.com/open?id=1iyyuXsFJgof-vuGhbT1Fobdkzo4OyADv" TargetMode="External"/><Relationship Id="rId90" Type="http://schemas.openxmlformats.org/officeDocument/2006/relationships/hyperlink" Target="https://drive.google.com/open?id=1BQTEgNQlYX1YnsiM7aLM7aSp6HDTygXJ" TargetMode="External"/><Relationship Id="rId186" Type="http://schemas.openxmlformats.org/officeDocument/2006/relationships/hyperlink" Target="https://drive.google.com/open?id=1X_BX3zg8xzDj_AoaJCRV_JKqDOWdlEjt" TargetMode="External"/><Relationship Id="rId351" Type="http://schemas.openxmlformats.org/officeDocument/2006/relationships/hyperlink" Target="https://drive.google.com/open?id=12WC1Bu_lEABhJzMA7VMSl0Xd5ugZr4vK" TargetMode="External"/><Relationship Id="rId393" Type="http://schemas.openxmlformats.org/officeDocument/2006/relationships/hyperlink" Target="https://drive.google.com/open?id=12WC1Bu_lEABhJzMA7VMSl0Xd5ugZr4vK" TargetMode="External"/><Relationship Id="rId407" Type="http://schemas.openxmlformats.org/officeDocument/2006/relationships/hyperlink" Target="https://drive.google.com/open?id=1nFSy5k_5dEpHD1r7NrzhyR0bvCdUEIlN" TargetMode="External"/><Relationship Id="rId449" Type="http://schemas.openxmlformats.org/officeDocument/2006/relationships/hyperlink" Target="https://drive.google.com/open?id=1Uc3qIuHva9tvP9xBjb78SPRw6nr6RkHP" TargetMode="External"/><Relationship Id="rId614" Type="http://schemas.openxmlformats.org/officeDocument/2006/relationships/hyperlink" Target="https://drive.google.com/open?id=1v-yro4vA3IMknMh88BfdmdNuHsGAtMU9" TargetMode="External"/><Relationship Id="rId656" Type="http://schemas.openxmlformats.org/officeDocument/2006/relationships/hyperlink" Target="https://drive.google.com/open?id=1euBM6QoP56NhYkl2g8T2IRU9qquzh3C9" TargetMode="External"/><Relationship Id="rId211" Type="http://schemas.openxmlformats.org/officeDocument/2006/relationships/hyperlink" Target="https://drive.google.com/open?id=1-fr_zsf-7fSXhRxegEztRfDKVGALmS4z" TargetMode="External"/><Relationship Id="rId253" Type="http://schemas.openxmlformats.org/officeDocument/2006/relationships/hyperlink" Target="https://drive.google.com/open?id=1jNB0dX7vprpk3tel6i4HIfX0MLvbF6X5" TargetMode="External"/><Relationship Id="rId295" Type="http://schemas.openxmlformats.org/officeDocument/2006/relationships/hyperlink" Target="https://drive.google.com/open?id=1b93ySdw3huxxmrYQ1jK0iSB3PhUnUsyD" TargetMode="External"/><Relationship Id="rId309" Type="http://schemas.openxmlformats.org/officeDocument/2006/relationships/hyperlink" Target="https://drive.google.com/open?id=1nFSy5k_5dEpHD1r7NrzhyR0bvCdUEIlN" TargetMode="External"/><Relationship Id="rId460" Type="http://schemas.openxmlformats.org/officeDocument/2006/relationships/hyperlink" Target="https://drive.google.com/open?id=1f492WouB2srcPiOf4BO8NqomNsLlswDl" TargetMode="External"/><Relationship Id="rId516" Type="http://schemas.openxmlformats.org/officeDocument/2006/relationships/hyperlink" Target="https://drive.google.com/open?id=1VRsRhKH8FIoa1QXmRKAQR66MHSjfAAb5" TargetMode="External"/><Relationship Id="rId698" Type="http://schemas.openxmlformats.org/officeDocument/2006/relationships/hyperlink" Target="https://drive.google.com/open?id=1cNdHo19T35eklBUZY_qj1BVJ98P3D_u8" TargetMode="External"/><Relationship Id="rId48" Type="http://schemas.openxmlformats.org/officeDocument/2006/relationships/hyperlink" Target="https://drive.google.com/open?id=1_tSmaCzmjr4NxIPuSYkAo6xH7EjZ5M_p" TargetMode="External"/><Relationship Id="rId113" Type="http://schemas.openxmlformats.org/officeDocument/2006/relationships/hyperlink" Target="https://drive.google.com/open?id=1v-yro4vA3IMknMh88BfdmdNuHsGAtMU9" TargetMode="External"/><Relationship Id="rId320" Type="http://schemas.openxmlformats.org/officeDocument/2006/relationships/hyperlink" Target="https://drive.google.com/open?id=1rctH0hKxONXWLesqEvfCtLzyfMjxSczo" TargetMode="External"/><Relationship Id="rId558" Type="http://schemas.openxmlformats.org/officeDocument/2006/relationships/hyperlink" Target="https://drive.google.com/open?id=1bdpHjTzNTfYTdNA3BLvkRIOAK0oqnywr" TargetMode="External"/><Relationship Id="rId723" Type="http://schemas.openxmlformats.org/officeDocument/2006/relationships/hyperlink" Target="https://drive.google.com/open?id=1VvGfORJ6L6VwYRUDV8aJ3Nq6jB6_9anA" TargetMode="External"/><Relationship Id="rId155" Type="http://schemas.openxmlformats.org/officeDocument/2006/relationships/hyperlink" Target="https://drive.google.com/open?id=12WC1Bu_lEABhJzMA7VMSl0Xd5ugZr4vK" TargetMode="External"/><Relationship Id="rId197" Type="http://schemas.openxmlformats.org/officeDocument/2006/relationships/hyperlink" Target="https://drive.google.com/open?id=1-fr_zsf-7fSXhRxegEztRfDKVGALmS4z" TargetMode="External"/><Relationship Id="rId362" Type="http://schemas.openxmlformats.org/officeDocument/2006/relationships/hyperlink" Target="https://drive.google.com/open?id=1b93ySdw3huxxmrYQ1jK0iSB3PhUnUsyD" TargetMode="External"/><Relationship Id="rId418" Type="http://schemas.openxmlformats.org/officeDocument/2006/relationships/hyperlink" Target="https://drive.google.com/open?id=1Jq3GiFwKHRzLfkT1NOeh_5D4d-X9PH8r" TargetMode="External"/><Relationship Id="rId625" Type="http://schemas.openxmlformats.org/officeDocument/2006/relationships/hyperlink" Target="https://drive.google.com/open?id=1pQzRPvBj_zLUQF1x327A_Ozsrhj7_hqF" TargetMode="External"/><Relationship Id="rId222" Type="http://schemas.openxmlformats.org/officeDocument/2006/relationships/hyperlink" Target="https://drive.google.com/open?id=1stbY7dqkj-iPSTN0ltHSce70Ckje7BEG" TargetMode="External"/><Relationship Id="rId264" Type="http://schemas.openxmlformats.org/officeDocument/2006/relationships/hyperlink" Target="https://drive.google.com/open?id=1a-iW1vfRkVlpICEySL_Uke1IY9-1rZDg" TargetMode="External"/><Relationship Id="rId471" Type="http://schemas.openxmlformats.org/officeDocument/2006/relationships/hyperlink" Target="https://drive.google.com/open?id=1v-yro4vA3IMknMh88BfdmdNuHsGAtMU9" TargetMode="External"/><Relationship Id="rId667" Type="http://schemas.openxmlformats.org/officeDocument/2006/relationships/hyperlink" Target="https://drive.google.com/open?id=1nFSy5k_5dEpHD1r7NrzhyR0bvCdUEIlN" TargetMode="External"/><Relationship Id="rId17" Type="http://schemas.openxmlformats.org/officeDocument/2006/relationships/hyperlink" Target="https://drive.google.com/open?id=16knL7rF64EXtCB0-Ch1v5DtfiE2GYjkB" TargetMode="External"/><Relationship Id="rId59" Type="http://schemas.openxmlformats.org/officeDocument/2006/relationships/hyperlink" Target="https://drive.google.com/open?id=1K85rz9OcODFwIf3hKT5A_GcwzVYCunZl" TargetMode="External"/><Relationship Id="rId124" Type="http://schemas.openxmlformats.org/officeDocument/2006/relationships/hyperlink" Target="https://drive.google.com/open?id=1ZAmtcx53rJjIan0Amd_HzEtZYogJdViD" TargetMode="External"/><Relationship Id="rId527" Type="http://schemas.openxmlformats.org/officeDocument/2006/relationships/hyperlink" Target="https://drive.google.com/open?id=1gAhHVtEZBeDXkCZ4Cfga6mRKfHCkSjU7" TargetMode="External"/><Relationship Id="rId569" Type="http://schemas.openxmlformats.org/officeDocument/2006/relationships/hyperlink" Target="https://drive.google.com/open?id=1bzfvQEz7mXmzRFfcpkGaJHA7DsamZc97" TargetMode="External"/><Relationship Id="rId70" Type="http://schemas.openxmlformats.org/officeDocument/2006/relationships/hyperlink" Target="https://drive.google.com/open?id=1Agbp_VKvyu_YVbPZdRGVXy3PiZXxkruE" TargetMode="External"/><Relationship Id="rId166" Type="http://schemas.openxmlformats.org/officeDocument/2006/relationships/hyperlink" Target="https://drive.google.com/open?id=1p01Ff8MpJDgX-eWhZBI_GQSbluZ-T6Cp" TargetMode="External"/><Relationship Id="rId331" Type="http://schemas.openxmlformats.org/officeDocument/2006/relationships/hyperlink" Target="https://drive.google.com/open?id=1pQzRPvBj_zLUQF1x327A_Ozsrhj7_hqF" TargetMode="External"/><Relationship Id="rId373" Type="http://schemas.openxmlformats.org/officeDocument/2006/relationships/hyperlink" Target="https://drive.google.com/open?id=1qKqNIvRp6jAqaoj4sQVdvMUfmsS9BZCV" TargetMode="External"/><Relationship Id="rId429" Type="http://schemas.openxmlformats.org/officeDocument/2006/relationships/hyperlink" Target="https://drive.google.com/open?id=1uypUyNN8M3JMCP3_qczz6IFqK99XPsPW" TargetMode="External"/><Relationship Id="rId580" Type="http://schemas.openxmlformats.org/officeDocument/2006/relationships/hyperlink" Target="https://drive.google.com/open?id=1iZJxvx9n9o5WA3Hwlvzi_q0Vt6KqmHWo" TargetMode="External"/><Relationship Id="rId636" Type="http://schemas.openxmlformats.org/officeDocument/2006/relationships/hyperlink" Target="https://drive.google.com/open?id=1uOV-FJDxvB8STlGwppnVzhdQjWMjxj5o" TargetMode="External"/><Relationship Id="rId1" Type="http://schemas.openxmlformats.org/officeDocument/2006/relationships/hyperlink" Target="https://drive.google.com/open?id=12WC1Bu_lEABhJzMA7VMSl0Xd5ugZr4vK" TargetMode="External"/><Relationship Id="rId233" Type="http://schemas.openxmlformats.org/officeDocument/2006/relationships/hyperlink" Target="https://drive.google.com/open?id=1nFSy5k_5dEpHD1r7NrzhyR0bvCdUEIlN" TargetMode="External"/><Relationship Id="rId440" Type="http://schemas.openxmlformats.org/officeDocument/2006/relationships/hyperlink" Target="https://drive.google.com/open?id=1ijkscs1bvThD9Zz5Jslto1BZYFu3-jvy" TargetMode="External"/><Relationship Id="rId678" Type="http://schemas.openxmlformats.org/officeDocument/2006/relationships/hyperlink" Target="https://drive.google.com/open?id=1WcOmHe7BkZ0JXVkb0m0s81wXaTRzu2B4" TargetMode="External"/><Relationship Id="rId28" Type="http://schemas.openxmlformats.org/officeDocument/2006/relationships/hyperlink" Target="https://drive.google.com/open?id=0B5URGw3kxOm9X1VZX2NKV1JWY3hWRjZEUWFzNDl3d0tYLXdZ" TargetMode="External"/><Relationship Id="rId275" Type="http://schemas.openxmlformats.org/officeDocument/2006/relationships/hyperlink" Target="https://drive.google.com/open?id=14FHDuvZ4Jtbt_Pmd03nNhOlroyWS6FVK" TargetMode="External"/><Relationship Id="rId300" Type="http://schemas.openxmlformats.org/officeDocument/2006/relationships/hyperlink" Target="https://drive.google.com/open?id=1Yh1ihnFeaRpC0mNdNntvH7CdAMwtxSRV" TargetMode="External"/><Relationship Id="rId482" Type="http://schemas.openxmlformats.org/officeDocument/2006/relationships/hyperlink" Target="https://drive.google.com/open?id=1pQzRPvBj_zLUQF1x327A_Ozsrhj7_hqF" TargetMode="External"/><Relationship Id="rId538" Type="http://schemas.openxmlformats.org/officeDocument/2006/relationships/hyperlink" Target="https://drive.google.com/open?id=1oKOZor5DyF6OVwkcYZr0z1iqaNRs9ITY" TargetMode="External"/><Relationship Id="rId703" Type="http://schemas.openxmlformats.org/officeDocument/2006/relationships/hyperlink" Target="https://drive.google.com/open?id=1pEg5agn5jdMhfl4Pa1dRPaxDB2kT59cP" TargetMode="External"/><Relationship Id="rId81" Type="http://schemas.openxmlformats.org/officeDocument/2006/relationships/hyperlink" Target="https://drive.google.com/open?id=12WC1Bu_lEABhJzMA7VMSl0Xd5ugZr4vK" TargetMode="External"/><Relationship Id="rId135" Type="http://schemas.openxmlformats.org/officeDocument/2006/relationships/hyperlink" Target="https://drive.google.com/open?id=1pEg5agn5jdMhfl4Pa1dRPaxDB2kT59cP" TargetMode="External"/><Relationship Id="rId177" Type="http://schemas.openxmlformats.org/officeDocument/2006/relationships/hyperlink" Target="https://drive.google.com/open?id=12WC1Bu_lEABhJzMA7VMSl0Xd5ugZr4vK" TargetMode="External"/><Relationship Id="rId342" Type="http://schemas.openxmlformats.org/officeDocument/2006/relationships/hyperlink" Target="https://drive.google.com/open?id=1Mw85D46PhHa5l2vHi54JVLvy8pZD57T2" TargetMode="External"/><Relationship Id="rId384" Type="http://schemas.openxmlformats.org/officeDocument/2006/relationships/hyperlink" Target="https://drive.google.com/open?id=1ljMALYDoc9oU9NEKzvPJezpLKWN-2yLF" TargetMode="External"/><Relationship Id="rId591" Type="http://schemas.openxmlformats.org/officeDocument/2006/relationships/hyperlink" Target="https://drive.google.com/open?id=1wuW2pvh_iEWYW7RelbXzphT8F6tHFZXV" TargetMode="External"/><Relationship Id="rId605" Type="http://schemas.openxmlformats.org/officeDocument/2006/relationships/hyperlink" Target="https://drive.google.com/open?id=1wuW2pvh_iEWYW7RelbXzphT8F6tHFZXV" TargetMode="External"/><Relationship Id="rId202" Type="http://schemas.openxmlformats.org/officeDocument/2006/relationships/hyperlink" Target="https://drive.google.com/open?id=1KNWqrVnnMAbZpYxFCcGpKZzSL7BW9nLZ" TargetMode="External"/><Relationship Id="rId244" Type="http://schemas.openxmlformats.org/officeDocument/2006/relationships/hyperlink" Target="https://drive.google.com/open?id=1DglVLoIBLWAmE1gatRbnl8Sz937XLh8t" TargetMode="External"/><Relationship Id="rId647" Type="http://schemas.openxmlformats.org/officeDocument/2006/relationships/hyperlink" Target="https://drive.google.com/file/d/1pFitVuWhzUN7CGVxLShY6-Ilp6_aT0--/view?usp=sharing" TargetMode="External"/><Relationship Id="rId689" Type="http://schemas.openxmlformats.org/officeDocument/2006/relationships/hyperlink" Target="https://drive.google.com/open?id=1nFSy5k_5dEpHD1r7NrzhyR0bvCdUEIlN" TargetMode="External"/><Relationship Id="rId39" Type="http://schemas.openxmlformats.org/officeDocument/2006/relationships/hyperlink" Target="https://drive.google.com/open?id=1KvsUPiJLFiqB_BRTJ2jPZmeU3jtn6H64" TargetMode="External"/><Relationship Id="rId286" Type="http://schemas.openxmlformats.org/officeDocument/2006/relationships/hyperlink" Target="https://drive.google.com/open?id=1cQ3IxjpzeT5JcOHUXTYxy5OruQZblbLG" TargetMode="External"/><Relationship Id="rId451" Type="http://schemas.openxmlformats.org/officeDocument/2006/relationships/hyperlink" Target="https://drive.google.com/open?id=1oqSZFoFTnP98vxEUspYadOwmmBC5XE7R" TargetMode="External"/><Relationship Id="rId493" Type="http://schemas.openxmlformats.org/officeDocument/2006/relationships/hyperlink" Target="https://drive.google.com/open?id=1HPUc6AuAYsSmhyy6pLBJWbYPOd06Lglb" TargetMode="External"/><Relationship Id="rId507" Type="http://schemas.openxmlformats.org/officeDocument/2006/relationships/hyperlink" Target="https://drive.google.com/open?id=19lc0a8pqN1Pdz6kPoP_z-3R1oV9SKL8o" TargetMode="External"/><Relationship Id="rId549" Type="http://schemas.openxmlformats.org/officeDocument/2006/relationships/hyperlink" Target="https://drive.google.com/open?id=1bdpHjTzNTfYTdNA3BLvkRIOAK0oqnywr" TargetMode="External"/><Relationship Id="rId714" Type="http://schemas.openxmlformats.org/officeDocument/2006/relationships/hyperlink" Target="https://drive.google.com/open?id=1xjvbubZ6C8eI0z8-eUIdnd7AelssdqYB" TargetMode="External"/><Relationship Id="rId50" Type="http://schemas.openxmlformats.org/officeDocument/2006/relationships/hyperlink" Target="https://drive.google.com/open?id=1yLpnMpGNRZiP4N-RIC6evZ1N1ikaTHSy" TargetMode="External"/><Relationship Id="rId104" Type="http://schemas.openxmlformats.org/officeDocument/2006/relationships/hyperlink" Target="https://drive.google.com/open?id=1i_9p6qINZG_cmpdNhgq7HVw_Fne3sgBP" TargetMode="External"/><Relationship Id="rId146" Type="http://schemas.openxmlformats.org/officeDocument/2006/relationships/hyperlink" Target="https://drive.google.com/open?id=1J0ygP28IGVu6WD_f2Z3MwUdnvUU1a5JI" TargetMode="External"/><Relationship Id="rId188" Type="http://schemas.openxmlformats.org/officeDocument/2006/relationships/hyperlink" Target="https://drive.google.com/open?id=12AZjN9iP1s5XXEuqsdcEoVpaxpKatdBV" TargetMode="External"/><Relationship Id="rId311" Type="http://schemas.openxmlformats.org/officeDocument/2006/relationships/hyperlink" Target="https://drive.google.com/open?id=1nFSy5k_5dEpHD1r7NrzhyR0bvCdUEIlN" TargetMode="External"/><Relationship Id="rId353" Type="http://schemas.openxmlformats.org/officeDocument/2006/relationships/hyperlink" Target="https://drive.google.com/open?id=1g78kGff23T6IlvseLmZ-m-rWpiIjiHQE" TargetMode="External"/><Relationship Id="rId395" Type="http://schemas.openxmlformats.org/officeDocument/2006/relationships/hyperlink" Target="https://drive.google.com/open?id=1nFSy5k_5dEpHD1r7NrzhyR0bvCdUEIlN" TargetMode="External"/><Relationship Id="rId409" Type="http://schemas.openxmlformats.org/officeDocument/2006/relationships/hyperlink" Target="https://drive.google.com/open?id=1nFSy5k_5dEpHD1r7NrzhyR0bvCdUEIlN" TargetMode="External"/><Relationship Id="rId560" Type="http://schemas.openxmlformats.org/officeDocument/2006/relationships/hyperlink" Target="https://drive.google.com/open?id=1bdpHjTzNTfYTdNA3BLvkRIOAK0oqnywr" TargetMode="External"/><Relationship Id="rId92" Type="http://schemas.openxmlformats.org/officeDocument/2006/relationships/hyperlink" Target="https://drive.google.com/open?id=1sKSsRa7soX8Y9HQbdemvhm_6owRePoM7" TargetMode="External"/><Relationship Id="rId213" Type="http://schemas.openxmlformats.org/officeDocument/2006/relationships/hyperlink" Target="https://drive.google.com/open?id=1-fr_zsf-7fSXhRxegEztRfDKVGALmS4z" TargetMode="External"/><Relationship Id="rId420" Type="http://schemas.openxmlformats.org/officeDocument/2006/relationships/hyperlink" Target="https://drive.google.com/open?id=1-LreBifw5-QIYYoeUyz0p97zmo5y_49k" TargetMode="External"/><Relationship Id="rId616" Type="http://schemas.openxmlformats.org/officeDocument/2006/relationships/hyperlink" Target="https://drive.google.com/open?id=1v-yro4vA3IMknMh88BfdmdNuHsGAtMU9" TargetMode="External"/><Relationship Id="rId658" Type="http://schemas.openxmlformats.org/officeDocument/2006/relationships/hyperlink" Target="https://drive.google.com/open?id=1euBM6QoP56NhYkl2g8T2IRU9qquzh3C9" TargetMode="External"/><Relationship Id="rId255" Type="http://schemas.openxmlformats.org/officeDocument/2006/relationships/hyperlink" Target="https://drive.google.com/open?id=1jNB0dX7vprpk3tel6i4HIfX0MLvbF6X5" TargetMode="External"/><Relationship Id="rId297" Type="http://schemas.openxmlformats.org/officeDocument/2006/relationships/hyperlink" Target="https://drive.google.com/open?id=1XopdzYwEcMagOaa2WB28BzUzzCLgbDlr" TargetMode="External"/><Relationship Id="rId462" Type="http://schemas.openxmlformats.org/officeDocument/2006/relationships/hyperlink" Target="https://drive.google.com/open?id=17tvViNqObmYfXRY5necXiEkbeVWZdxpV" TargetMode="External"/><Relationship Id="rId518" Type="http://schemas.openxmlformats.org/officeDocument/2006/relationships/hyperlink" Target="https://drive.google.com/open?id=1iyyuXsFJgof-vuGhbT1Fobdkzo4OyADv" TargetMode="External"/><Relationship Id="rId725" Type="http://schemas.openxmlformats.org/officeDocument/2006/relationships/hyperlink" Target="https://drive.google.com/open?id=16knL7rF64EXtCB0-Ch1v5DtfiE2GYjkB" TargetMode="External"/><Relationship Id="rId115" Type="http://schemas.openxmlformats.org/officeDocument/2006/relationships/hyperlink" Target="https://drive.google.com/open?id=1v-yro4vA3IMknMh88BfdmdNuHsGAtMU9" TargetMode="External"/><Relationship Id="rId157" Type="http://schemas.openxmlformats.org/officeDocument/2006/relationships/hyperlink" Target="https://drive.google.com/open?id=12WC1Bu_lEABhJzMA7VMSl0Xd5ugZr4vK" TargetMode="External"/><Relationship Id="rId322" Type="http://schemas.openxmlformats.org/officeDocument/2006/relationships/hyperlink" Target="https://drive.google.com/open?id=1hsc5ZUmikmTEig4vA7bGeWe2ReJlbChh" TargetMode="External"/><Relationship Id="rId364" Type="http://schemas.openxmlformats.org/officeDocument/2006/relationships/hyperlink" Target="https://drive.google.com/open?id=1b93ySdw3huxxmrYQ1jK0iSB3PhUnUsyD" TargetMode="External"/><Relationship Id="rId61" Type="http://schemas.openxmlformats.org/officeDocument/2006/relationships/hyperlink" Target="https://drive.google.com/open?id=1N5cfbs-lzTPxyeN_VgrmB-L1SYeUQSuZ" TargetMode="External"/><Relationship Id="rId199" Type="http://schemas.openxmlformats.org/officeDocument/2006/relationships/hyperlink" Target="https://drive.google.com/open?id=1-fr_zsf-7fSXhRxegEztRfDKVGALmS4z" TargetMode="External"/><Relationship Id="rId571" Type="http://schemas.openxmlformats.org/officeDocument/2006/relationships/hyperlink" Target="https://drive.google.com/open?id=1iJ3-TWt1VGZ145vduVQzleFBSSF626bt" TargetMode="External"/><Relationship Id="rId627" Type="http://schemas.openxmlformats.org/officeDocument/2006/relationships/hyperlink" Target="https://drive.google.com/open?id=1pQzRPvBj_zLUQF1x327A_Ozsrhj7_hqF" TargetMode="External"/><Relationship Id="rId669" Type="http://schemas.openxmlformats.org/officeDocument/2006/relationships/hyperlink" Target="https://drive.google.com/open?id=1xKDm5adVHh4bLbZX5D9_DIs--dpuGyBZ" TargetMode="External"/><Relationship Id="rId19" Type="http://schemas.openxmlformats.org/officeDocument/2006/relationships/hyperlink" Target="https://drive.google.com/open?id=1bZl37j56hV0MOVQUC_zOJ_TsMADnNB7n" TargetMode="External"/><Relationship Id="rId224" Type="http://schemas.openxmlformats.org/officeDocument/2006/relationships/hyperlink" Target="https://drive.google.com/open?id=1dftVdpEb1cWl09jMaVgxZ7gl9Y1CAeCG" TargetMode="External"/><Relationship Id="rId266" Type="http://schemas.openxmlformats.org/officeDocument/2006/relationships/hyperlink" Target="https://drive.google.com/open?id=1DxAQrVOh1weTtjNVu4i1_9GqbjBz-lbO" TargetMode="External"/><Relationship Id="rId431" Type="http://schemas.openxmlformats.org/officeDocument/2006/relationships/hyperlink" Target="https://drive.google.com/open?id=1pQzRPvBj_zLUQF1x327A_Ozsrhj7_hqF" TargetMode="External"/><Relationship Id="rId473" Type="http://schemas.openxmlformats.org/officeDocument/2006/relationships/hyperlink" Target="https://drive.google.com/open?id=134W_IZQHEBEaanEBKFOwJ0B2lh9gM5R0" TargetMode="External"/><Relationship Id="rId529" Type="http://schemas.openxmlformats.org/officeDocument/2006/relationships/hyperlink" Target="https://drive.google.com/open?id=1Dq7GvWrSEEk_1FOzazKLzVC9OlLaTekq" TargetMode="External"/><Relationship Id="rId680" Type="http://schemas.openxmlformats.org/officeDocument/2006/relationships/hyperlink" Target="https://drive.google.com/open?id=1-fr_zsf-7fSXhRxegEztRfDKVGALmS4z" TargetMode="External"/><Relationship Id="rId30" Type="http://schemas.openxmlformats.org/officeDocument/2006/relationships/hyperlink" Target="https://drive.google.com/open?id=1HmtOsPP548Amnad7_5yw4H9Ruzs_SujM" TargetMode="External"/><Relationship Id="rId126" Type="http://schemas.openxmlformats.org/officeDocument/2006/relationships/hyperlink" Target="https://drive.google.com/open?id=1fk5pXDnJyUnGUh3IZQFHZOdhBv-t_50-" TargetMode="External"/><Relationship Id="rId168" Type="http://schemas.openxmlformats.org/officeDocument/2006/relationships/hyperlink" Target="https://drive.google.com/open?id=14O6_rZE7CqtXYL_OOSxUMzTF8oU_3GkY" TargetMode="External"/><Relationship Id="rId333" Type="http://schemas.openxmlformats.org/officeDocument/2006/relationships/hyperlink" Target="https://drive.google.com/open?id=1V0nCk04KMRc8f1xThyXz4NospyzM9Vcw" TargetMode="External"/><Relationship Id="rId540" Type="http://schemas.openxmlformats.org/officeDocument/2006/relationships/hyperlink" Target="https://drive.google.com/open?id=1dgmwJj1nUL61iCojeNUVQG1MyoHdE9NF" TargetMode="External"/><Relationship Id="rId72" Type="http://schemas.openxmlformats.org/officeDocument/2006/relationships/hyperlink" Target="https://drive.google.com/open?id=131lnrCBhti5naclCXMXjDB9KGkSe59Py" TargetMode="External"/><Relationship Id="rId375" Type="http://schemas.openxmlformats.org/officeDocument/2006/relationships/hyperlink" Target="https://drive.google.com/open?id=1dZXnr1OVeh6vSyM0wf8ECz2vJctUj8e1" TargetMode="External"/><Relationship Id="rId582" Type="http://schemas.openxmlformats.org/officeDocument/2006/relationships/hyperlink" Target="https://drive.google.com/open?id=1oKOZor5DyF6OVwkcYZr0z1iqaNRs9ITY" TargetMode="External"/><Relationship Id="rId638" Type="http://schemas.openxmlformats.org/officeDocument/2006/relationships/hyperlink" Target="https://drive.google.com/open?id=17-Lq-spmohAW-Hc5k19aPfThabGC4Bql" TargetMode="External"/><Relationship Id="rId3" Type="http://schemas.openxmlformats.org/officeDocument/2006/relationships/hyperlink" Target="https://drive.google.com/open?id=1RuTeqM7bHCWpY8BudVHpbo1nVUrho9z9" TargetMode="External"/><Relationship Id="rId235" Type="http://schemas.openxmlformats.org/officeDocument/2006/relationships/hyperlink" Target="https://drive.google.com/open?id=1hMtmxpZ4W6wrP5aiVQWYvgqVgVLRX8-4" TargetMode="External"/><Relationship Id="rId277" Type="http://schemas.openxmlformats.org/officeDocument/2006/relationships/hyperlink" Target="https://drive.google.com/open?id=1nYxCVgSMuzq9v7Zhvo5yuGPmFONi8b3J" TargetMode="External"/><Relationship Id="rId400" Type="http://schemas.openxmlformats.org/officeDocument/2006/relationships/hyperlink" Target="https://drive.google.com/open?id=1FVS2e5dDvzZxYLJQn57tLM6dkvRUGIAt" TargetMode="External"/><Relationship Id="rId442" Type="http://schemas.openxmlformats.org/officeDocument/2006/relationships/hyperlink" Target="https://drive.google.com/open?id=1euppEBEoqHk_5B9y8HfveIqCC6R9LUsa" TargetMode="External"/><Relationship Id="rId484" Type="http://schemas.openxmlformats.org/officeDocument/2006/relationships/hyperlink" Target="https://drive.google.com/open?id=1pQzRPvBj_zLUQF1x327A_Ozsrhj7_hqF" TargetMode="External"/><Relationship Id="rId705" Type="http://schemas.openxmlformats.org/officeDocument/2006/relationships/hyperlink" Target="https://drive.google.com/open?id=1WcOmHe7BkZ0JXVkb0m0s81wXaTRzu2B4" TargetMode="External"/><Relationship Id="rId137" Type="http://schemas.openxmlformats.org/officeDocument/2006/relationships/hyperlink" Target="https://drive.google.com/open?id=1pEg5agn5jdMhfl4Pa1dRPaxDB2kT59cP" TargetMode="External"/><Relationship Id="rId302" Type="http://schemas.openxmlformats.org/officeDocument/2006/relationships/hyperlink" Target="https://drive.google.com/open?id=1Zv0MLZCejzP7oUfwIVYbk1u_iv8yi0Q6" TargetMode="External"/><Relationship Id="rId344" Type="http://schemas.openxmlformats.org/officeDocument/2006/relationships/hyperlink" Target="https://drive.google.com/open?id=1bdpHjTzNTfYTdNA3BLvkRIOAK0oqnywr" TargetMode="External"/><Relationship Id="rId691" Type="http://schemas.openxmlformats.org/officeDocument/2006/relationships/hyperlink" Target="https://drive.google.com/open?id=1nFSy5k_5dEpHD1r7NrzhyR0bvCdUEIlN" TargetMode="External"/><Relationship Id="rId41" Type="http://schemas.openxmlformats.org/officeDocument/2006/relationships/hyperlink" Target="https://drive.google.com/open?id=1lPaVOdYRv96X1_3N5OYB5TnG02gUybVZ" TargetMode="External"/><Relationship Id="rId83" Type="http://schemas.openxmlformats.org/officeDocument/2006/relationships/hyperlink" Target="https://drive.google.com/open?id=1ygYQvthyyxeWohHOi9U2fiYjQP-ijA78" TargetMode="External"/><Relationship Id="rId179" Type="http://schemas.openxmlformats.org/officeDocument/2006/relationships/hyperlink" Target="https://drive.google.com/open?id=16knL7rF64EXtCB0-Ch1v5DtfiE2GYjkB" TargetMode="External"/><Relationship Id="rId386" Type="http://schemas.openxmlformats.org/officeDocument/2006/relationships/hyperlink" Target="https://drive.google.com/open?id=1T-GTaE0LH6sSChGu3u8C7DKC603UJ-u3" TargetMode="External"/><Relationship Id="rId551" Type="http://schemas.openxmlformats.org/officeDocument/2006/relationships/hyperlink" Target="https://drive.google.com/open?id=12WC1Bu_lEABhJzMA7VMSl0Xd5ugZr4vK" TargetMode="External"/><Relationship Id="rId593" Type="http://schemas.openxmlformats.org/officeDocument/2006/relationships/hyperlink" Target="https://drive.google.com/open?id=1oKOZor5DyF6OVwkcYZr0z1iqaNRs9ITY" TargetMode="External"/><Relationship Id="rId607" Type="http://schemas.openxmlformats.org/officeDocument/2006/relationships/hyperlink" Target="https://drive.google.com/open?id=1iyyuXsFJgof-vuGhbT1Fobdkzo4OyADv" TargetMode="External"/><Relationship Id="rId649" Type="http://schemas.openxmlformats.org/officeDocument/2006/relationships/hyperlink" Target="https://drive.google.com/open?id=1euBM6QoP56NhYkl2g8T2IRU9qquzh3C9" TargetMode="External"/><Relationship Id="rId190" Type="http://schemas.openxmlformats.org/officeDocument/2006/relationships/hyperlink" Target="https://drive.google.com/open?id=1x8ug1jPrjTIVEyyFAdOVnDfqpG0aEPyw" TargetMode="External"/><Relationship Id="rId204" Type="http://schemas.openxmlformats.org/officeDocument/2006/relationships/hyperlink" Target="https://drive.google.com/open?id=14h2QxMGgUE6te3VaGokjiDPpFyuUL2Y4" TargetMode="External"/><Relationship Id="rId246" Type="http://schemas.openxmlformats.org/officeDocument/2006/relationships/hyperlink" Target="https://drive.google.com/open?id=1mhPI3nvebssbSWFwdyvEjeJ87MahLHzz" TargetMode="External"/><Relationship Id="rId288" Type="http://schemas.openxmlformats.org/officeDocument/2006/relationships/hyperlink" Target="https://drive.google.com/open?id=1dszHuAfVg_MOYFQi1mgRHsMyaF8Pe6Np" TargetMode="External"/><Relationship Id="rId411" Type="http://schemas.openxmlformats.org/officeDocument/2006/relationships/hyperlink" Target="https://drive.google.com/open?id=1nFSy5k_5dEpHD1r7NrzhyR0bvCdUEIlN" TargetMode="External"/><Relationship Id="rId453" Type="http://schemas.openxmlformats.org/officeDocument/2006/relationships/hyperlink" Target="https://drive.google.com/open?id=1zwsILINBaUxAJ4O8oNqZ3Zo2ORIJL6og" TargetMode="External"/><Relationship Id="rId509" Type="http://schemas.openxmlformats.org/officeDocument/2006/relationships/hyperlink" Target="https://drive.google.com/open?id=198xR0FZGpvm9XMGzFp3KmubA1cMrv2U9" TargetMode="External"/><Relationship Id="rId660" Type="http://schemas.openxmlformats.org/officeDocument/2006/relationships/hyperlink" Target="https://drive.google.com/open?id=1nFSy5k_5dEpHD1r7NrzhyR0bvCdUEIlN" TargetMode="External"/><Relationship Id="rId106" Type="http://schemas.openxmlformats.org/officeDocument/2006/relationships/hyperlink" Target="https://drive.google.com/open?id=1DaXRQ-xyn1K4kkBOsef-rjRCJ2BziKXM" TargetMode="External"/><Relationship Id="rId313" Type="http://schemas.openxmlformats.org/officeDocument/2006/relationships/hyperlink" Target="https://drive.google.com/open?id=1nFSy5k_5dEpHD1r7NrzhyR0bvCdUEIlN" TargetMode="External"/><Relationship Id="rId495" Type="http://schemas.openxmlformats.org/officeDocument/2006/relationships/hyperlink" Target="https://drive.google.com/open?id=10z2fhYYhQr-8D7hRSGB_nU7v2QSbKy0I" TargetMode="External"/><Relationship Id="rId716" Type="http://schemas.openxmlformats.org/officeDocument/2006/relationships/hyperlink" Target="https://drive.google.com/open?id=195Nt2QyFm2vF_nQatQf2cvvhnudkfcTY" TargetMode="External"/><Relationship Id="rId10" Type="http://schemas.openxmlformats.org/officeDocument/2006/relationships/hyperlink" Target="https://drive.google.com/open?id=1y2InpO1wdR6l85j7zXaxjcJVCNorlLF4" TargetMode="External"/><Relationship Id="rId52" Type="http://schemas.openxmlformats.org/officeDocument/2006/relationships/hyperlink" Target="https://drive.google.com/open?id=1c5gdgo2qw0hE0R7jzlL2KwAggWR76bIF" TargetMode="External"/><Relationship Id="rId94" Type="http://schemas.openxmlformats.org/officeDocument/2006/relationships/hyperlink" Target="https://drive.google.com/open?id=1udnW506sYxP7V6n9uf57N5n0fYuHVcWV" TargetMode="External"/><Relationship Id="rId148" Type="http://schemas.openxmlformats.org/officeDocument/2006/relationships/hyperlink" Target="https://drive.google.com/open?id=1e-rPonyJZuBienBYh1LHgkccvzeUfQaz" TargetMode="External"/><Relationship Id="rId355" Type="http://schemas.openxmlformats.org/officeDocument/2006/relationships/hyperlink" Target="https://drive.google.com/open?id=1W5bthAQsOSOhl-hnq08TNqoRXM-EBjLI" TargetMode="External"/><Relationship Id="rId397" Type="http://schemas.openxmlformats.org/officeDocument/2006/relationships/hyperlink" Target="https://drive.google.com/open?id=1nFSy5k_5dEpHD1r7NrzhyR0bvCdUEIlN" TargetMode="External"/><Relationship Id="rId520" Type="http://schemas.openxmlformats.org/officeDocument/2006/relationships/hyperlink" Target="https://drive.google.com/open?id=1c5tnsVivgl9eW8MX437i4GFxOUbjMEnv" TargetMode="External"/><Relationship Id="rId562" Type="http://schemas.openxmlformats.org/officeDocument/2006/relationships/hyperlink" Target="https://drive.google.com/open?id=1oKOZor5DyF6OVwkcYZr0z1iqaNRs9ITY" TargetMode="External"/><Relationship Id="rId618" Type="http://schemas.openxmlformats.org/officeDocument/2006/relationships/hyperlink" Target="https://drive.google.com/open?id=1pQzRPvBj_zLUQF1x327A_Ozsrhj7_hqF" TargetMode="External"/><Relationship Id="rId215" Type="http://schemas.openxmlformats.org/officeDocument/2006/relationships/hyperlink" Target="https://drive.google.com/open?id=1-fr_zsf-7fSXhRxegEztRfDKVGALmS4z" TargetMode="External"/><Relationship Id="rId257" Type="http://schemas.openxmlformats.org/officeDocument/2006/relationships/hyperlink" Target="https://drive.google.com/open?id=1jNB0dX7vprpk3tel6i4HIfX0MLvbF6X5" TargetMode="External"/><Relationship Id="rId422" Type="http://schemas.openxmlformats.org/officeDocument/2006/relationships/hyperlink" Target="https://drive.google.com/open?id=1N4i4SP5JK0C26jc3ZWKK7Wx6YzXAiZNV" TargetMode="External"/><Relationship Id="rId464" Type="http://schemas.openxmlformats.org/officeDocument/2006/relationships/hyperlink" Target="https://drive.google.com/open?id=1V0nCk04KMRc8f1xThyXz4NospyzM9Vcw" TargetMode="External"/><Relationship Id="rId299" Type="http://schemas.openxmlformats.org/officeDocument/2006/relationships/hyperlink" Target="https://drive.google.com/open?id=1pEg5agn5jdMhfl4Pa1dRPaxDB2kT59cP" TargetMode="External"/><Relationship Id="rId727" Type="http://schemas.openxmlformats.org/officeDocument/2006/relationships/hyperlink" Target="https://drive.google.com/open?id=1hysLLNyTDspucV_3Tt8ScCWEgMedd8bv" TargetMode="External"/><Relationship Id="rId63" Type="http://schemas.openxmlformats.org/officeDocument/2006/relationships/hyperlink" Target="https://drive.google.com/open?id=1Wln8377ko8F1axYsG41gmuZ90KNxAilE" TargetMode="External"/><Relationship Id="rId159" Type="http://schemas.openxmlformats.org/officeDocument/2006/relationships/hyperlink" Target="https://drive.google.com/open?id=12WC1Bu_lEABhJzMA7VMSl0Xd5ugZr4vK" TargetMode="External"/><Relationship Id="rId366" Type="http://schemas.openxmlformats.org/officeDocument/2006/relationships/hyperlink" Target="https://drive.google.com/open?id=1b93ySdw3huxxmrYQ1jK0iSB3PhUnUsyD" TargetMode="External"/><Relationship Id="rId573" Type="http://schemas.openxmlformats.org/officeDocument/2006/relationships/hyperlink" Target="https://drive.google.com/open?id=1znXKPqrCL0xbYmlIZF53ShwG-ZRKuBjq" TargetMode="External"/><Relationship Id="rId226" Type="http://schemas.openxmlformats.org/officeDocument/2006/relationships/hyperlink" Target="https://drive.google.com/open?id=1d3XdlkkUK6IHTJLbOjQyM-myQZNuFMql" TargetMode="External"/><Relationship Id="rId433" Type="http://schemas.openxmlformats.org/officeDocument/2006/relationships/hyperlink" Target="https://drive.google.com/open?id=1pQzRPvBj_zLUQF1x327A_Ozsrhj7_hqF" TargetMode="External"/><Relationship Id="rId640" Type="http://schemas.openxmlformats.org/officeDocument/2006/relationships/hyperlink" Target="https://drive.google.com/open?id=1pQzRPvBj_zLUQF1x327A_Ozsrhj7_hqF" TargetMode="External"/><Relationship Id="rId74" Type="http://schemas.openxmlformats.org/officeDocument/2006/relationships/hyperlink" Target="https://drive.google.com/open?id=11-6CcssrVz8FbF3toD0YtVucTpYHJ-wh" TargetMode="External"/><Relationship Id="rId377" Type="http://schemas.openxmlformats.org/officeDocument/2006/relationships/hyperlink" Target="https://drive.google.com/open?id=1qKqNIvRp6jAqaoj4sQVdvMUfmsS9BZCV" TargetMode="External"/><Relationship Id="rId500" Type="http://schemas.openxmlformats.org/officeDocument/2006/relationships/hyperlink" Target="https://drive.google.com/open?id=1WcOmHe7BkZ0JXVkb0m0s81wXaTRzu2B4" TargetMode="External"/><Relationship Id="rId584" Type="http://schemas.openxmlformats.org/officeDocument/2006/relationships/hyperlink" Target="https://drive.google.com/open?id=1TvN0I1z7pXXUS3zvkJK7Qx_6mGiT3VKx" TargetMode="External"/><Relationship Id="rId5" Type="http://schemas.openxmlformats.org/officeDocument/2006/relationships/hyperlink" Target="https://drive.google.com/open?id=1-fr_zsf-7fSXhRxegEztRfDKVGALmS4z" TargetMode="External"/><Relationship Id="rId237" Type="http://schemas.openxmlformats.org/officeDocument/2006/relationships/hyperlink" Target="https://drive.google.com/open?id=1euBM6QoP56NhYkl2g8T2IRU9qquzh3C9" TargetMode="External"/><Relationship Id="rId444" Type="http://schemas.openxmlformats.org/officeDocument/2006/relationships/hyperlink" Target="https://drive.google.com/open?id=16hCJfT4NzInekR2YyD4jmKaqDqvmPPQZ" TargetMode="External"/><Relationship Id="rId651" Type="http://schemas.openxmlformats.org/officeDocument/2006/relationships/hyperlink" Target="https://drive.google.com/open?id=1xjvbubZ6C8eI0z8-eUIdnd7AelssdqYB" TargetMode="External"/><Relationship Id="rId290" Type="http://schemas.openxmlformats.org/officeDocument/2006/relationships/hyperlink" Target="https://drive.google.com/open?id=1EsNGWz_adKj70YU-xz4O0bp8WnVWZ8p4" TargetMode="External"/><Relationship Id="rId304" Type="http://schemas.openxmlformats.org/officeDocument/2006/relationships/hyperlink" Target="https://drive.google.com/open?id=1gcMECoYnzgGjQUJPVcBUpUphDsLQpr7P" TargetMode="External"/><Relationship Id="rId388" Type="http://schemas.openxmlformats.org/officeDocument/2006/relationships/hyperlink" Target="https://drive.google.com/open?id=1KTv8KEG_7IHfaLRxibmc9kZv2ELYjqvI" TargetMode="External"/><Relationship Id="rId511" Type="http://schemas.openxmlformats.org/officeDocument/2006/relationships/hyperlink" Target="https://drive.google.com/open?id=1F1owZP9jTZXzg9Qy4kaGTOhKIuCBkYY8" TargetMode="External"/><Relationship Id="rId609" Type="http://schemas.openxmlformats.org/officeDocument/2006/relationships/hyperlink" Target="https://drive.google.com/open?id=1v-yro4vA3IMknMh88BfdmdNuHsGAtMU9" TargetMode="External"/><Relationship Id="rId85" Type="http://schemas.openxmlformats.org/officeDocument/2006/relationships/hyperlink" Target="https://drive.google.com/open?id=16knL7rF64EXtCB0-Ch1v5DtfiE2GYjkB" TargetMode="External"/><Relationship Id="rId150" Type="http://schemas.openxmlformats.org/officeDocument/2006/relationships/hyperlink" Target="https://drive.google.com/open?id=1UcE1c7el1mRDeffM6W8IpKJQqrGruj7O" TargetMode="External"/><Relationship Id="rId595" Type="http://schemas.openxmlformats.org/officeDocument/2006/relationships/hyperlink" Target="https://drive.google.com/open?id=1bdpHjTzNTfYTdNA3BLvkRIOAK0oqnywr" TargetMode="External"/><Relationship Id="rId248" Type="http://schemas.openxmlformats.org/officeDocument/2006/relationships/hyperlink" Target="https://drive.google.com/open?id=17OJl6S6Dj5nJT4wXWdRed4swDOrEwMX_" TargetMode="External"/><Relationship Id="rId455" Type="http://schemas.openxmlformats.org/officeDocument/2006/relationships/hyperlink" Target="https://drive.google.com/open?id=1CJ4fyUU1mLF_dFzQTl6QrQXqA52bIo0i" TargetMode="External"/><Relationship Id="rId662" Type="http://schemas.openxmlformats.org/officeDocument/2006/relationships/hyperlink" Target="https://drive.google.com/open?id=1KbW4Fau8B6wCXivbcdfuxnJ8SFYy7Ow6" TargetMode="External"/><Relationship Id="rId12" Type="http://schemas.openxmlformats.org/officeDocument/2006/relationships/hyperlink" Target="https://drive.google.com/open?id=1hc--gS6MN8Gt30bN9MDEvbVlwo4O_i3H" TargetMode="External"/><Relationship Id="rId108" Type="http://schemas.openxmlformats.org/officeDocument/2006/relationships/hyperlink" Target="https://drive.google.com/open?id=1gi307_5CHCaGfqJc0deOdNxcIyxbet8R" TargetMode="External"/><Relationship Id="rId315" Type="http://schemas.openxmlformats.org/officeDocument/2006/relationships/hyperlink" Target="https://drive.google.com/open?id=1nFSy5k_5dEpHD1r7NrzhyR0bvCdUEIlN" TargetMode="External"/><Relationship Id="rId522" Type="http://schemas.openxmlformats.org/officeDocument/2006/relationships/hyperlink" Target="https://drive.google.com/open?id=1oKOZor5DyF6OVwkcYZr0z1iqaNRs9ITY" TargetMode="External"/><Relationship Id="rId96" Type="http://schemas.openxmlformats.org/officeDocument/2006/relationships/hyperlink" Target="https://drive.google.com/open?id=1iD2xJ60iQNL5SLjcp77NJlfR8uZCi7a1" TargetMode="External"/><Relationship Id="rId161" Type="http://schemas.openxmlformats.org/officeDocument/2006/relationships/hyperlink" Target="https://drive.google.com/open?id=12WC1Bu_lEABhJzMA7VMSl0Xd5ugZr4vK" TargetMode="External"/><Relationship Id="rId399" Type="http://schemas.openxmlformats.org/officeDocument/2006/relationships/hyperlink" Target="https://drive.google.com/open?id=1nFSy5k_5dEpHD1r7NrzhyR0bvCdUEIlN" TargetMode="External"/><Relationship Id="rId259" Type="http://schemas.openxmlformats.org/officeDocument/2006/relationships/hyperlink" Target="https://drive.google.com/open?id=1jNB0dX7vprpk3tel6i4HIfX0MLvbF6X5" TargetMode="External"/><Relationship Id="rId466" Type="http://schemas.openxmlformats.org/officeDocument/2006/relationships/hyperlink" Target="https://drive.google.com/open?id=1v-yro4vA3IMknMh88BfdmdNuHsGAtMU9" TargetMode="External"/><Relationship Id="rId673" Type="http://schemas.openxmlformats.org/officeDocument/2006/relationships/hyperlink" Target="https://drive.google.com/open?id=1cxGxrVWMvCNlS6TwjKIt2Jn85z6h57TB" TargetMode="External"/><Relationship Id="rId23" Type="http://schemas.openxmlformats.org/officeDocument/2006/relationships/hyperlink" Target="https://drive.google.com/open?id=1hysLLNyTDspucV_3Tt8ScCWEgMedd8bv" TargetMode="External"/><Relationship Id="rId119" Type="http://schemas.openxmlformats.org/officeDocument/2006/relationships/hyperlink" Target="https://drive.google.com/open?id=1xKDm5adVHh4bLbZX5D9_DIs--dpuGyBZ" TargetMode="External"/><Relationship Id="rId326" Type="http://schemas.openxmlformats.org/officeDocument/2006/relationships/hyperlink" Target="https://drive.google.com/open?id=1J4reBqKoTPKbHWdevUZxxvBmyPGjT3WB" TargetMode="External"/><Relationship Id="rId533" Type="http://schemas.openxmlformats.org/officeDocument/2006/relationships/hyperlink" Target="https://drive.google.com/open?id=1ridLrwe9WGEe03KIPzQMgPQQh44cYVRe" TargetMode="External"/><Relationship Id="rId172" Type="http://schemas.openxmlformats.org/officeDocument/2006/relationships/hyperlink" Target="https://drive.google.com/open?id=1OrC2BsJ_Fmq8vTjYTJQhYYhfuLsI0ja3" TargetMode="External"/><Relationship Id="rId477" Type="http://schemas.openxmlformats.org/officeDocument/2006/relationships/hyperlink" Target="https://drive.google.com/open?id=1--Gd_3wSqldEMAF-BONdGcw5_lDL5F_U" TargetMode="External"/><Relationship Id="rId600" Type="http://schemas.openxmlformats.org/officeDocument/2006/relationships/hyperlink" Target="https://drive.google.com/open?id=1cxGxrVWMvCNlS6TwjKIt2Jn85z6h57TB" TargetMode="External"/><Relationship Id="rId684" Type="http://schemas.openxmlformats.org/officeDocument/2006/relationships/hyperlink" Target="https://drive.google.com/open?id=1bdfPcoVY7gGnfSqAUR9FcOU1nrSE71tH" TargetMode="External"/><Relationship Id="rId337" Type="http://schemas.openxmlformats.org/officeDocument/2006/relationships/hyperlink" Target="https://drive.google.com/open?id=1V0nCk04KMRc8f1xThyXz4NospyzM9Vcw" TargetMode="External"/><Relationship Id="rId34" Type="http://schemas.openxmlformats.org/officeDocument/2006/relationships/hyperlink" Target="https://drive.google.com/open?id=1w4pNzcWOsJWnu7073J3T2700-sZyYIEj" TargetMode="External"/><Relationship Id="rId544" Type="http://schemas.openxmlformats.org/officeDocument/2006/relationships/hyperlink" Target="https://drive.google.com/open?id=1iQK_RCnO4vXVFe2rftGsCCdJpEB6ejOn" TargetMode="External"/><Relationship Id="rId183" Type="http://schemas.openxmlformats.org/officeDocument/2006/relationships/hyperlink" Target="https://drive.google.com/open?id=1xKDm5adVHh4bLbZX5D9_DIs--dpuGyBZ" TargetMode="External"/><Relationship Id="rId390" Type="http://schemas.openxmlformats.org/officeDocument/2006/relationships/hyperlink" Target="https://drive.google.com/open?id=1Dfz8Pk-sa3XC2Kb0H3dcYzbY-oEz24hZ" TargetMode="External"/><Relationship Id="rId404" Type="http://schemas.openxmlformats.org/officeDocument/2006/relationships/hyperlink" Target="https://drive.google.com/open?id=1dZq86c96mfootT4_MRCUh4BvXVjJD2R2" TargetMode="External"/><Relationship Id="rId611" Type="http://schemas.openxmlformats.org/officeDocument/2006/relationships/hyperlink" Target="https://drive.google.com/open?id=1v-yro4vA3IMknMh88BfdmdNuHsGAtMU9" TargetMode="External"/><Relationship Id="rId250" Type="http://schemas.openxmlformats.org/officeDocument/2006/relationships/hyperlink" Target="https://drive.google.com/open?id=1NZCCwDviJ98kXDa4p8trBkUJKXoDum5p" TargetMode="External"/><Relationship Id="rId488" Type="http://schemas.openxmlformats.org/officeDocument/2006/relationships/hyperlink" Target="https://drive.google.com/open?id=1WcOmHe7BkZ0JXVkb0m0s81wXaTRzu2B4" TargetMode="External"/><Relationship Id="rId695" Type="http://schemas.openxmlformats.org/officeDocument/2006/relationships/hyperlink" Target="https://drive.google.com/open?id=1xjvbubZ6C8eI0z8-eUIdnd7AelssdqYB" TargetMode="External"/><Relationship Id="rId709" Type="http://schemas.openxmlformats.org/officeDocument/2006/relationships/hyperlink" Target="https://drive.google.com/open?id=1XyAHqlyKm3cSooUFxa72DZEa7K5u3CT5" TargetMode="External"/><Relationship Id="rId45" Type="http://schemas.openxmlformats.org/officeDocument/2006/relationships/hyperlink" Target="https://drive.google.com/open?id=1pEg5agn5jdMhfl4Pa1dRPaxDB2kT59cP" TargetMode="External"/><Relationship Id="rId110" Type="http://schemas.openxmlformats.org/officeDocument/2006/relationships/hyperlink" Target="https://drive.google.com/open?id=1-QIme5WQ0Nsr951iaxAfC4LvuICgbGrb" TargetMode="External"/><Relationship Id="rId348" Type="http://schemas.openxmlformats.org/officeDocument/2006/relationships/hyperlink" Target="https://drive.google.com/open?id=1XopdzYwEcMagOaa2WB28BzUzzCLgbDlr" TargetMode="External"/><Relationship Id="rId555" Type="http://schemas.openxmlformats.org/officeDocument/2006/relationships/hyperlink" Target="https://drive.google.com/open?id=1iyyuXsFJgof-vuGhbT1Fobdkzo4OyADv" TargetMode="External"/><Relationship Id="rId194" Type="http://schemas.openxmlformats.org/officeDocument/2006/relationships/hyperlink" Target="https://drive.google.com/open?id=1kyY9Cpvkfm7IHNXJ5dbjrBQsKLIJDESP" TargetMode="External"/><Relationship Id="rId208" Type="http://schemas.openxmlformats.org/officeDocument/2006/relationships/hyperlink" Target="https://drive.google.com/open?id=1kmgcYVirPRZq79xjEFqnF9AzX6zVhoFE" TargetMode="External"/><Relationship Id="rId415" Type="http://schemas.openxmlformats.org/officeDocument/2006/relationships/hyperlink" Target="https://drive.google.com/open?id=1nFSy5k_5dEpHD1r7NrzhyR0bvCdUEIlN" TargetMode="External"/><Relationship Id="rId622" Type="http://schemas.openxmlformats.org/officeDocument/2006/relationships/hyperlink" Target="https://drive.google.com/open?id=1pQzRPvBj_zLUQF1x327A_Ozsrhj7_hqF" TargetMode="External"/><Relationship Id="rId261" Type="http://schemas.openxmlformats.org/officeDocument/2006/relationships/hyperlink" Target="https://drive.google.com/open?id=1bdpHjTzNTfYTdNA3BLvkRIOAK0oqnywr" TargetMode="External"/><Relationship Id="rId499" Type="http://schemas.openxmlformats.org/officeDocument/2006/relationships/hyperlink" Target="https://drive.google.com/open?id=1LqwAszkAYNokCpufILz_F-CRU_A-4Wq1" TargetMode="External"/><Relationship Id="rId56" Type="http://schemas.openxmlformats.org/officeDocument/2006/relationships/hyperlink" Target="https://drive.google.com/open?id=165qyP7rI43I8q7e4zdTw8Wd5xKAvZDaG" TargetMode="External"/><Relationship Id="rId359" Type="http://schemas.openxmlformats.org/officeDocument/2006/relationships/hyperlink" Target="https://drive.google.com/open?id=1UDJcOWuLt-FfXe1_rQcErD0tJ1eTDwPS" TargetMode="External"/><Relationship Id="rId566" Type="http://schemas.openxmlformats.org/officeDocument/2006/relationships/hyperlink" Target="https://drive.google.com/open?id=1euBM6QoP56NhYkl2g8T2IRU9qquzh3C9" TargetMode="External"/><Relationship Id="rId121" Type="http://schemas.openxmlformats.org/officeDocument/2006/relationships/hyperlink" Target="https://drive.google.com/open?id=1xKDm5adVHh4bLbZX5D9_DIs--dpuGyBZ" TargetMode="External"/><Relationship Id="rId219" Type="http://schemas.openxmlformats.org/officeDocument/2006/relationships/hyperlink" Target="https://drive.google.com/open?id=1nFSy5k_5dEpHD1r7NrzhyR0bvCdUEIlN" TargetMode="External"/><Relationship Id="rId426" Type="http://schemas.openxmlformats.org/officeDocument/2006/relationships/hyperlink" Target="https://drive.google.com/open?id=1M9zyjOH0sIwZP9kkOsTjB-_RD7dpi41k" TargetMode="External"/><Relationship Id="rId633" Type="http://schemas.openxmlformats.org/officeDocument/2006/relationships/hyperlink" Target="https://drive.google.com/open?id=1b93ySdw3huxxmrYQ1jK0iSB3PhUnUsyD" TargetMode="External"/><Relationship Id="rId67" Type="http://schemas.openxmlformats.org/officeDocument/2006/relationships/hyperlink" Target="https://drive.google.com/open?id=1qBWwLB7l_YGWpxDERoB45wltfRFe1veB" TargetMode="External"/><Relationship Id="rId272" Type="http://schemas.openxmlformats.org/officeDocument/2006/relationships/hyperlink" Target="https://drive.google.com/open?id=1apRqAbWig9QHrZITIWBTjcwwk0jKyqyt" TargetMode="External"/><Relationship Id="rId577" Type="http://schemas.openxmlformats.org/officeDocument/2006/relationships/hyperlink" Target="https://drive.google.com/open?id=1PKNvNSuPwMGIHddOCTDTmOGQ0WiYyx4S" TargetMode="External"/><Relationship Id="rId700" Type="http://schemas.openxmlformats.org/officeDocument/2006/relationships/hyperlink" Target="https://drive.google.com/open?id=1YFy-QkXteFQ7Qy3y-cGXRmFusNCMcXqN" TargetMode="External"/><Relationship Id="rId132" Type="http://schemas.openxmlformats.org/officeDocument/2006/relationships/hyperlink" Target="https://drive.google.com/open?id=1WBPALfk7zokYY09M90bA28u0Vo-NUKGj" TargetMode="External"/><Relationship Id="rId437" Type="http://schemas.openxmlformats.org/officeDocument/2006/relationships/hyperlink" Target="https://drive.google.com/open?id=1pQzRPvBj_zLUQF1x327A_Ozsrhj7_hqF" TargetMode="External"/><Relationship Id="rId644" Type="http://schemas.openxmlformats.org/officeDocument/2006/relationships/hyperlink" Target="https://drive.google.com/open?id=1oKOZor5DyF6OVwkcYZr0z1iqaNRs9ITY" TargetMode="External"/><Relationship Id="rId283" Type="http://schemas.openxmlformats.org/officeDocument/2006/relationships/hyperlink" Target="https://drive.google.com/open?id=1U0lWTM6-gmyHV24UcwQCpoOpNU_yozsB" TargetMode="External"/><Relationship Id="rId490" Type="http://schemas.openxmlformats.org/officeDocument/2006/relationships/hyperlink" Target="https://drive.google.com/open?id=1bdpHjTzNTfYTdNA3BLvkRIOAK0oqnywr" TargetMode="External"/><Relationship Id="rId504" Type="http://schemas.openxmlformats.org/officeDocument/2006/relationships/hyperlink" Target="https://drive.google.com/open?id=1v-yro4vA3IMknMh88BfdmdNuHsGAtMU9" TargetMode="External"/><Relationship Id="rId711" Type="http://schemas.openxmlformats.org/officeDocument/2006/relationships/hyperlink" Target="https://drive.google.com/open?id=1MGzrPsLfqNtEJPt0yx40puSc4Db_wWxb" TargetMode="External"/><Relationship Id="rId78" Type="http://schemas.openxmlformats.org/officeDocument/2006/relationships/hyperlink" Target="https://drive.google.com/open?id=1L7PxGLdnv_cuzPNJQUy970OIOM15It5r" TargetMode="External"/><Relationship Id="rId143" Type="http://schemas.openxmlformats.org/officeDocument/2006/relationships/hyperlink" Target="https://drive.google.com/open?id=1bZl37j56hV0MOVQUC_zOJ_TsMADnNB7n" TargetMode="External"/><Relationship Id="rId350" Type="http://schemas.openxmlformats.org/officeDocument/2006/relationships/hyperlink" Target="https://drive.google.com/open?id=19-E4S9IT-XgRCGDYGy8okO0tI95LFRj1" TargetMode="External"/><Relationship Id="rId588" Type="http://schemas.openxmlformats.org/officeDocument/2006/relationships/hyperlink" Target="https://drive.google.com/open?id=1Z3gKjZH1xaORFEhSjexql8NlZl8GXg9F" TargetMode="External"/><Relationship Id="rId9" Type="http://schemas.openxmlformats.org/officeDocument/2006/relationships/hyperlink" Target="https://drive.google.com/file/d/1Ikywiw8b7Suc4tKXGBqAIB4AcUYCf5Bw/view?usp=sharing" TargetMode="External"/><Relationship Id="rId210" Type="http://schemas.openxmlformats.org/officeDocument/2006/relationships/hyperlink" Target="https://drive.google.com/open?id=11_5WV0D9z7Kr8ojiG3jODoD8wfjw5BnZ" TargetMode="External"/><Relationship Id="rId448" Type="http://schemas.openxmlformats.org/officeDocument/2006/relationships/hyperlink" Target="https://drive.google.com/open?id=1zVrpIuY14Z4qtH7jTtKij9w-zFpVz9Q_" TargetMode="External"/><Relationship Id="rId655" Type="http://schemas.openxmlformats.org/officeDocument/2006/relationships/hyperlink" Target="https://drive.google.com/open?id=1zVrpIuY14Z4qtH7jTtKij9w-zFpVz9Q_" TargetMode="External"/><Relationship Id="rId294" Type="http://schemas.openxmlformats.org/officeDocument/2006/relationships/hyperlink" Target="https://drive.google.com/open?id=1Zh17C-nQutJBuzr2wtSv1uIYyrncJwbP" TargetMode="External"/><Relationship Id="rId308" Type="http://schemas.openxmlformats.org/officeDocument/2006/relationships/hyperlink" Target="https://drive.google.com/open?id=1Xk9aYbk5bIfP9asB2pa03kJbpB5gMO2W" TargetMode="External"/><Relationship Id="rId515" Type="http://schemas.openxmlformats.org/officeDocument/2006/relationships/hyperlink" Target="https://drive.google.com/open?id=1bdpHjTzNTfYTdNA3BLvkRIOAK0oqnywr" TargetMode="External"/><Relationship Id="rId722" Type="http://schemas.openxmlformats.org/officeDocument/2006/relationships/hyperlink" Target="https://drive.google.com/open?id=1VvGfORJ6L6VwYRUDV8aJ3Nq6jB6_9anA" TargetMode="External"/><Relationship Id="rId89" Type="http://schemas.openxmlformats.org/officeDocument/2006/relationships/hyperlink" Target="https://drive.google.com/file/d/1pFitVuWhzUN7CGVxLShY6-Ilp6_aT0--/view?usp=sharing" TargetMode="External"/><Relationship Id="rId154" Type="http://schemas.openxmlformats.org/officeDocument/2006/relationships/hyperlink" Target="https://drive.google.com/open?id=1tOarnDIaGM_OF8MHhbNUtCueQpZTjLZi" TargetMode="External"/><Relationship Id="rId361" Type="http://schemas.openxmlformats.org/officeDocument/2006/relationships/hyperlink" Target="https://drive.google.com/open?id=1cmXkCyGXDG9eiWnBM7vqHgG4UcjgVSsg" TargetMode="External"/><Relationship Id="rId599" Type="http://schemas.openxmlformats.org/officeDocument/2006/relationships/hyperlink" Target="https://drive.google.com/open?id=1oKOZor5DyF6OVwkcYZr0z1iqaNRs9ITY" TargetMode="External"/><Relationship Id="rId459" Type="http://schemas.openxmlformats.org/officeDocument/2006/relationships/hyperlink" Target="https://drive.google.com/open?id=1l-lvbEw3it3tSH-2gJOLW0q-Z8XPLGGq" TargetMode="External"/><Relationship Id="rId666" Type="http://schemas.openxmlformats.org/officeDocument/2006/relationships/hyperlink" Target="https://drive.google.com/open?id=1KbW4Fau8B6wCXivbcdfuxnJ8SFYy7Ow6" TargetMode="External"/><Relationship Id="rId16" Type="http://schemas.openxmlformats.org/officeDocument/2006/relationships/hyperlink" Target="https://drive.google.com/open?id=1lWiW7u10wCX6nxI5LY7yjbLJdHaN7pZe" TargetMode="External"/><Relationship Id="rId221" Type="http://schemas.openxmlformats.org/officeDocument/2006/relationships/hyperlink" Target="https://drive.google.com/open?id=1nFSy5k_5dEpHD1r7NrzhyR0bvCdUEIlN" TargetMode="External"/><Relationship Id="rId319" Type="http://schemas.openxmlformats.org/officeDocument/2006/relationships/hyperlink" Target="https://drive.google.com/open?id=16knL7rF64EXtCB0-Ch1v5DtfiE2GYjkB" TargetMode="External"/><Relationship Id="rId526" Type="http://schemas.openxmlformats.org/officeDocument/2006/relationships/hyperlink" Target="https://drive.google.com/open?id=1lPaVOdYRv96X1_3N5OYB5TnG02gUybVZ" TargetMode="External"/><Relationship Id="rId733" Type="http://schemas.openxmlformats.org/officeDocument/2006/relationships/table" Target="../tables/table1.xml"/><Relationship Id="rId165" Type="http://schemas.openxmlformats.org/officeDocument/2006/relationships/hyperlink" Target="https://drive.google.com/open?id=12WC1Bu_lEABhJzMA7VMSl0Xd5ugZr4vK" TargetMode="External"/><Relationship Id="rId372" Type="http://schemas.openxmlformats.org/officeDocument/2006/relationships/hyperlink" Target="https://drive.google.com/open?id=1Y2ZIS2fAIpt4z7PED-wo73NExL0Jhirw" TargetMode="External"/><Relationship Id="rId677" Type="http://schemas.openxmlformats.org/officeDocument/2006/relationships/hyperlink" Target="https://drive.google.com/open?id=1pEg5agn5jdMhfl4Pa1dRPaxDB2kT59cP" TargetMode="External"/><Relationship Id="rId232" Type="http://schemas.openxmlformats.org/officeDocument/2006/relationships/hyperlink" Target="https://drive.google.com/open?id=1s3D_tnSRagmWrMvrrNMwbbFxlntsyQTu" TargetMode="External"/><Relationship Id="rId27" Type="http://schemas.openxmlformats.org/officeDocument/2006/relationships/hyperlink" Target="https://drive.google.com/open?id=1uOV-FJDxvB8STlGwppnVzhdQjWMjxj5o" TargetMode="External"/><Relationship Id="rId537" Type="http://schemas.openxmlformats.org/officeDocument/2006/relationships/hyperlink" Target="https://drive.google.com/open?id=1zxw5zirk6qjtJodfKG30SUdPPy-7Wzqs" TargetMode="External"/><Relationship Id="rId80" Type="http://schemas.openxmlformats.org/officeDocument/2006/relationships/hyperlink" Target="https://drive.google.com/open?id=1GqLc4WovtU8u7VB_PUdSkcFM8gYS92wt" TargetMode="External"/><Relationship Id="rId176" Type="http://schemas.openxmlformats.org/officeDocument/2006/relationships/hyperlink" Target="https://drive.google.com/open?id=17fSvcUJLwN2Kms_1-73bTup2TYqEEvPJ" TargetMode="External"/><Relationship Id="rId383" Type="http://schemas.openxmlformats.org/officeDocument/2006/relationships/hyperlink" Target="https://drive.google.com/open?id=1nFSy5k_5dEpHD1r7NrzhyR0bvCdUEIlN" TargetMode="External"/><Relationship Id="rId590" Type="http://schemas.openxmlformats.org/officeDocument/2006/relationships/hyperlink" Target="https://drive.google.com/open?id=11p2QNU7VgcZ5zS0oOiO-QeGiFsHITYl-" TargetMode="External"/><Relationship Id="rId604" Type="http://schemas.openxmlformats.org/officeDocument/2006/relationships/hyperlink" Target="https://drive.google.com/open?id=1wuW2pvh_iEWYW7RelbXzphT8F6tHFZXV" TargetMode="External"/><Relationship Id="rId243" Type="http://schemas.openxmlformats.org/officeDocument/2006/relationships/hyperlink" Target="https://drive.google.com/open?id=1euBM6QoP56NhYkl2g8T2IRU9qquzh3C9" TargetMode="External"/><Relationship Id="rId450" Type="http://schemas.openxmlformats.org/officeDocument/2006/relationships/hyperlink" Target="https://drive.google.com/open?id=1b93ySdw3huxxmrYQ1jK0iSB3PhUnUsyD" TargetMode="External"/><Relationship Id="rId688" Type="http://schemas.openxmlformats.org/officeDocument/2006/relationships/hyperlink" Target="https://drive.google.com/open?id=1K85rz9OcODFwIf3hKT5A_GcwzVYCunZl" TargetMode="External"/><Relationship Id="rId38" Type="http://schemas.openxmlformats.org/officeDocument/2006/relationships/hyperlink" Target="https://drive.google.com/open?id=1yY51bLVORZNuX2M_-fi8E_ibxPLY3sVa" TargetMode="External"/><Relationship Id="rId103" Type="http://schemas.openxmlformats.org/officeDocument/2006/relationships/hyperlink" Target="https://drive.google.com/open?id=16knL7rF64EXtCB0-Ch1v5DtfiE2GYjkB" TargetMode="External"/><Relationship Id="rId310" Type="http://schemas.openxmlformats.org/officeDocument/2006/relationships/hyperlink" Target="https://drive.google.com/open?id=1lCvaJoZ9GBKT-85Hx0Fvr0j53xQ3F_-D" TargetMode="External"/><Relationship Id="rId548" Type="http://schemas.openxmlformats.org/officeDocument/2006/relationships/hyperlink" Target="https://drive.google.com/open?id=12_Zmhh6Wxy44YOiyB40cMEAAmH5T2knX" TargetMode="External"/><Relationship Id="rId91" Type="http://schemas.openxmlformats.org/officeDocument/2006/relationships/hyperlink" Target="https://drive.google.com/open?id=1WzqRWhxunzyieJR6BIOBizRkCsr8ZlGN" TargetMode="External"/><Relationship Id="rId187" Type="http://schemas.openxmlformats.org/officeDocument/2006/relationships/hyperlink" Target="https://drive.google.com/open?id=1uOV-FJDxvB8STlGwppnVzhdQjWMjxj5o" TargetMode="External"/><Relationship Id="rId394" Type="http://schemas.openxmlformats.org/officeDocument/2006/relationships/hyperlink" Target="https://drive.google.com/open?id=1Vaeoxk9m0SIhvz_-rEcq5yzz2viU6M_J" TargetMode="External"/><Relationship Id="rId408" Type="http://schemas.openxmlformats.org/officeDocument/2006/relationships/hyperlink" Target="https://drive.google.com/open?id=1cdkT1XmcXBNQcpv25O07D_eokNXj0b8S" TargetMode="External"/><Relationship Id="rId615" Type="http://schemas.openxmlformats.org/officeDocument/2006/relationships/hyperlink" Target="https://drive.google.com/open?id=1v-yro4vA3IMknMh88BfdmdNuHsGAtMU9" TargetMode="External"/><Relationship Id="rId254" Type="http://schemas.openxmlformats.org/officeDocument/2006/relationships/hyperlink" Target="https://drive.google.com/open?id=1Yol8lipxSuJiD5KUCQ3pVa0z3jHackTO" TargetMode="External"/><Relationship Id="rId699" Type="http://schemas.openxmlformats.org/officeDocument/2006/relationships/hyperlink" Target="https://drive.google.com/open?id=1YFy-QkXteFQ7Qy3y-cGXRmFusNCMcXqN" TargetMode="External"/><Relationship Id="rId49" Type="http://schemas.openxmlformats.org/officeDocument/2006/relationships/hyperlink" Target="https://drive.google.com/open?id=1bZl37j56hV0MOVQUC_zOJ_TsMADnNB7n" TargetMode="External"/><Relationship Id="rId114" Type="http://schemas.openxmlformats.org/officeDocument/2006/relationships/hyperlink" Target="https://drive.google.com/open?id=12un7xcASGLyqzkJlYiCkQ4y1NNn54Yr5" TargetMode="External"/><Relationship Id="rId461" Type="http://schemas.openxmlformats.org/officeDocument/2006/relationships/hyperlink" Target="https://drive.google.com/open?id=1nPhQkkq1M6M1i4Csq1kLLcuVLC6Cibg3" TargetMode="External"/><Relationship Id="rId559" Type="http://schemas.openxmlformats.org/officeDocument/2006/relationships/hyperlink" Target="https://drive.google.com/open?id=1FJIqoqY02ho_zG2nHf447gOSd64Gy_KF" TargetMode="External"/><Relationship Id="rId198" Type="http://schemas.openxmlformats.org/officeDocument/2006/relationships/hyperlink" Target="https://drive.google.com/open?id=1temaROAxA4uYhamBDqs8EpkhFOb0CGyk" TargetMode="External"/><Relationship Id="rId321" Type="http://schemas.openxmlformats.org/officeDocument/2006/relationships/hyperlink" Target="https://drive.google.com/open?id=16knL7rF64EXtCB0-Ch1v5DtfiE2GYjkB" TargetMode="External"/><Relationship Id="rId419" Type="http://schemas.openxmlformats.org/officeDocument/2006/relationships/hyperlink" Target="https://drive.google.com/open?id=16knL7rF64EXtCB0-Ch1v5DtfiE2GYjkB" TargetMode="External"/><Relationship Id="rId626" Type="http://schemas.openxmlformats.org/officeDocument/2006/relationships/hyperlink" Target="https://drive.google.com/open?id=1YFy-QkXteFQ7Qy3y-cGXRmFusNCMcXqN" TargetMode="External"/><Relationship Id="rId265" Type="http://schemas.openxmlformats.org/officeDocument/2006/relationships/hyperlink" Target="https://drive.google.com/open?id=1uOV-FJDxvB8STlGwppnVzhdQjWMjxj5o" TargetMode="External"/><Relationship Id="rId472" Type="http://schemas.openxmlformats.org/officeDocument/2006/relationships/hyperlink" Target="https://drive.google.com/open?id=1f492WouB2srcPiOf4BO8NqomNsLlswDl" TargetMode="External"/><Relationship Id="rId125" Type="http://schemas.openxmlformats.org/officeDocument/2006/relationships/hyperlink" Target="https://drive.google.com/open?id=1XopdzYwEcMagOaa2WB28BzUzzCLgbDlr" TargetMode="External"/><Relationship Id="rId332" Type="http://schemas.openxmlformats.org/officeDocument/2006/relationships/hyperlink" Target="https://drive.google.com/open?id=1DmuZDXJo-JcmVa5b59EsAxPNSCMKjtX8" TargetMode="External"/><Relationship Id="rId637" Type="http://schemas.openxmlformats.org/officeDocument/2006/relationships/hyperlink" Target="https://drive.google.com/open?id=1uOV-FJDxvB8STlGwppnVzhdQjWMjxj5o" TargetMode="External"/><Relationship Id="rId276" Type="http://schemas.openxmlformats.org/officeDocument/2006/relationships/hyperlink" Target="https://drive.google.com/file/d/1pFitVuWhzUN7CGVxLShY6-Ilp6_aT0--/view?usp=sharing" TargetMode="External"/><Relationship Id="rId483" Type="http://schemas.openxmlformats.org/officeDocument/2006/relationships/hyperlink" Target="https://drive.google.com/open?id=1-H_zTI317Pc9-D5atr09mCLjiu7LQ6jM" TargetMode="External"/><Relationship Id="rId690" Type="http://schemas.openxmlformats.org/officeDocument/2006/relationships/hyperlink" Target="https://drive.google.com/open?id=1jNB0dX7vprpk3tel6i4HIfX0MLvbF6X5" TargetMode="External"/><Relationship Id="rId704" Type="http://schemas.openxmlformats.org/officeDocument/2006/relationships/hyperlink" Target="https://drive.google.com/open?id=1jNB0dX7vprpk3tel6i4HIfX0MLvbF6X5" TargetMode="External"/><Relationship Id="rId40" Type="http://schemas.openxmlformats.org/officeDocument/2006/relationships/hyperlink" Target="https://drive.google.com/open?id=1XkVpBnz0p5pJNWvy1rLW1yXc3UV3RuvE" TargetMode="External"/><Relationship Id="rId136" Type="http://schemas.openxmlformats.org/officeDocument/2006/relationships/hyperlink" Target="https://drive.google.com/open?id=1FqTZmGwOXo6Tl_dJBrGQb-Pnq3owE6eh" TargetMode="External"/><Relationship Id="rId343" Type="http://schemas.openxmlformats.org/officeDocument/2006/relationships/hyperlink" Target="https://drive.google.com/open?id=1hysLLNyTDspucV_3Tt8ScCWEgMedd8bv" TargetMode="External"/><Relationship Id="rId550" Type="http://schemas.openxmlformats.org/officeDocument/2006/relationships/hyperlink" Target="https://drive.google.com/open?id=144e-jrD6iHRSOwK6L9h3W95_7muf8kMq" TargetMode="External"/><Relationship Id="rId203" Type="http://schemas.openxmlformats.org/officeDocument/2006/relationships/hyperlink" Target="https://drive.google.com/open?id=1-fr_zsf-7fSXhRxegEztRfDKVGALmS4z" TargetMode="External"/><Relationship Id="rId648" Type="http://schemas.openxmlformats.org/officeDocument/2006/relationships/hyperlink" Target="https://drive.google.com/open?id=1uOV-FJDxvB8STlGwppnVzhdQjWMjxj5o" TargetMode="External"/><Relationship Id="rId287" Type="http://schemas.openxmlformats.org/officeDocument/2006/relationships/hyperlink" Target="https://drive.google.com/open?id=1pEg5agn5jdMhfl4Pa1dRPaxDB2kT59cP" TargetMode="External"/><Relationship Id="rId410" Type="http://schemas.openxmlformats.org/officeDocument/2006/relationships/hyperlink" Target="https://drive.google.com/open?id=10DI71eioKoUtXXwnW1HxBQ4b7keAt7Py" TargetMode="External"/><Relationship Id="rId494" Type="http://schemas.openxmlformats.org/officeDocument/2006/relationships/hyperlink" Target="https://drive.google.com/open?id=1YFy-QkXteFQ7Qy3y-cGXRmFusNCMcXqN" TargetMode="External"/><Relationship Id="rId508" Type="http://schemas.openxmlformats.org/officeDocument/2006/relationships/hyperlink" Target="https://drive.google.com/open?id=1v-yro4vA3IMknMh88BfdmdNuHsGAtMU9" TargetMode="External"/><Relationship Id="rId715" Type="http://schemas.openxmlformats.org/officeDocument/2006/relationships/hyperlink" Target="https://drive.google.com/open?id=195Nt2QyFm2vF_nQatQf2cvvhnudkfcTY" TargetMode="External"/><Relationship Id="rId147" Type="http://schemas.openxmlformats.org/officeDocument/2006/relationships/hyperlink" Target="https://drive.google.com/open?id=1xKDm5adVHh4bLbZX5D9_DIs--dpuGyBZ" TargetMode="External"/><Relationship Id="rId354" Type="http://schemas.openxmlformats.org/officeDocument/2006/relationships/hyperlink" Target="https://drive.google.com/open?id=1oh3p6m9CRm4W6ZNUmqUysBBcBWTXScn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765"/>
  <sheetViews>
    <sheetView tabSelected="1" zoomScale="80" zoomScaleNormal="80" workbookViewId="0">
      <pane xSplit="2" ySplit="3" topLeftCell="C1208" activePane="bottomRight" state="frozen"/>
      <selection pane="topRight" activeCell="C1" sqref="C1"/>
      <selection pane="bottomLeft" activeCell="A4" sqref="A4"/>
      <selection pane="bottomRight" activeCell="F1253" sqref="F1253"/>
    </sheetView>
  </sheetViews>
  <sheetFormatPr defaultColWidth="14.42578125" defaultRowHeight="15" customHeight="1" x14ac:dyDescent="0.25"/>
  <cols>
    <col min="1" max="1" width="5.28515625" style="9" customWidth="1"/>
    <col min="2" max="2" width="37.140625" style="9" customWidth="1"/>
    <col min="3" max="3" width="19" style="9" customWidth="1"/>
    <col min="4" max="4" width="12.85546875" style="9" customWidth="1"/>
    <col min="5" max="5" width="15.42578125" style="9" customWidth="1"/>
    <col min="6" max="6" width="35.85546875" style="47" customWidth="1"/>
    <col min="7" max="8" width="8.7109375" style="9" customWidth="1"/>
    <col min="9" max="9" width="13.85546875" style="9" customWidth="1"/>
    <col min="10" max="10" width="22.42578125" style="9" customWidth="1"/>
    <col min="11" max="11" width="23.140625" style="9" customWidth="1"/>
    <col min="12" max="12" width="14.7109375" style="9" customWidth="1"/>
    <col min="13" max="13" width="13.5703125" style="9" customWidth="1"/>
    <col min="14" max="14" width="12.28515625" style="9" customWidth="1"/>
    <col min="15" max="15" width="13.7109375" style="9" customWidth="1"/>
    <col min="16" max="18" width="12.5703125" style="9" customWidth="1"/>
    <col min="19" max="19" width="11.85546875" style="9" customWidth="1"/>
    <col min="20" max="20" width="8.85546875" style="9" customWidth="1"/>
    <col min="21" max="21" width="14.28515625" style="9" customWidth="1"/>
    <col min="22" max="22" width="14.140625" style="9" customWidth="1"/>
    <col min="23" max="23" width="18.7109375" style="9" customWidth="1"/>
    <col min="24" max="24" width="18" style="9" customWidth="1"/>
    <col min="25" max="30" width="14.42578125" style="9"/>
  </cols>
  <sheetData>
    <row r="1" spans="1:24" ht="20.25" customHeight="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8"/>
    </row>
    <row r="2" spans="1:24" ht="86.25" customHeight="1" x14ac:dyDescent="0.25">
      <c r="A2" s="10" t="s">
        <v>27</v>
      </c>
      <c r="B2" s="10" t="s">
        <v>28</v>
      </c>
      <c r="C2" s="10" t="s">
        <v>29</v>
      </c>
      <c r="D2" s="10" t="s">
        <v>30</v>
      </c>
      <c r="E2" s="11" t="s">
        <v>31</v>
      </c>
      <c r="F2" s="11" t="s">
        <v>32</v>
      </c>
      <c r="G2" s="11" t="s">
        <v>33</v>
      </c>
      <c r="H2" s="11" t="s">
        <v>34</v>
      </c>
      <c r="I2" s="10" t="s">
        <v>35</v>
      </c>
      <c r="J2" s="10" t="s">
        <v>36</v>
      </c>
      <c r="K2" s="10" t="s">
        <v>37</v>
      </c>
      <c r="L2" s="10" t="s">
        <v>38</v>
      </c>
      <c r="M2" s="12" t="s">
        <v>39</v>
      </c>
      <c r="N2" s="10" t="s">
        <v>40</v>
      </c>
      <c r="O2" s="10" t="s">
        <v>41</v>
      </c>
      <c r="P2" s="10" t="s">
        <v>42</v>
      </c>
      <c r="Q2" s="13" t="s">
        <v>43</v>
      </c>
      <c r="R2" s="8"/>
      <c r="S2" s="11" t="s">
        <v>44</v>
      </c>
      <c r="T2" s="10" t="s">
        <v>45</v>
      </c>
      <c r="U2" s="10" t="s">
        <v>46</v>
      </c>
      <c r="V2" s="10" t="s">
        <v>47</v>
      </c>
      <c r="W2" s="10" t="s">
        <v>1</v>
      </c>
      <c r="X2" s="10" t="s">
        <v>48</v>
      </c>
    </row>
    <row r="3" spans="1:24" ht="36.75" customHeight="1" x14ac:dyDescent="0.25">
      <c r="A3" s="10"/>
      <c r="B3" s="10"/>
      <c r="C3" s="10"/>
      <c r="D3" s="10"/>
      <c r="E3" s="11"/>
      <c r="F3" s="11"/>
      <c r="G3" s="11"/>
      <c r="H3" s="11"/>
      <c r="I3" s="10"/>
      <c r="J3" s="10"/>
      <c r="K3" s="14"/>
      <c r="L3" s="10"/>
      <c r="M3" s="10"/>
      <c r="N3" s="10"/>
      <c r="O3" s="10"/>
      <c r="P3" s="10"/>
      <c r="Q3" s="11" t="s">
        <v>49</v>
      </c>
      <c r="R3" s="11" t="s">
        <v>50</v>
      </c>
      <c r="S3" s="11"/>
      <c r="T3" s="10"/>
      <c r="U3" s="10"/>
      <c r="V3" s="10"/>
      <c r="W3" s="10"/>
      <c r="X3" s="10"/>
    </row>
    <row r="4" spans="1:24" ht="60" customHeight="1" x14ac:dyDescent="0.25">
      <c r="A4" s="10">
        <v>1</v>
      </c>
      <c r="B4" s="10" t="s">
        <v>51</v>
      </c>
      <c r="C4" s="10" t="s">
        <v>52</v>
      </c>
      <c r="D4" s="10" t="s">
        <v>52</v>
      </c>
      <c r="E4" s="10" t="s">
        <v>0</v>
      </c>
      <c r="F4" s="10" t="s">
        <v>53</v>
      </c>
      <c r="G4" s="10"/>
      <c r="H4" s="10"/>
      <c r="I4" s="10">
        <v>1965</v>
      </c>
      <c r="J4" s="10" t="s">
        <v>54</v>
      </c>
      <c r="K4" s="15" t="s">
        <v>55</v>
      </c>
      <c r="L4" s="15" t="s">
        <v>56</v>
      </c>
      <c r="M4" s="11" t="s">
        <v>22</v>
      </c>
      <c r="N4" s="11">
        <v>2434</v>
      </c>
      <c r="O4" s="11">
        <v>6937</v>
      </c>
      <c r="P4" s="11">
        <v>5</v>
      </c>
      <c r="Q4" s="11">
        <v>129</v>
      </c>
      <c r="R4" s="11" t="s">
        <v>57</v>
      </c>
      <c r="S4" s="11">
        <v>215</v>
      </c>
      <c r="T4" s="11">
        <v>64</v>
      </c>
      <c r="U4" s="16">
        <v>43353</v>
      </c>
      <c r="V4" s="16">
        <v>47005</v>
      </c>
      <c r="W4" s="10" t="s">
        <v>10</v>
      </c>
      <c r="X4" s="10" t="s">
        <v>17</v>
      </c>
    </row>
    <row r="5" spans="1:24" ht="60" customHeight="1" x14ac:dyDescent="0.25">
      <c r="A5" s="10">
        <f t="shared" ref="A5:A909" si="0">1+A4</f>
        <v>2</v>
      </c>
      <c r="B5" s="10" t="s">
        <v>58</v>
      </c>
      <c r="C5" s="10" t="s">
        <v>52</v>
      </c>
      <c r="D5" s="10" t="s">
        <v>52</v>
      </c>
      <c r="E5" s="10" t="s">
        <v>0</v>
      </c>
      <c r="F5" s="10" t="s">
        <v>59</v>
      </c>
      <c r="G5" s="10"/>
      <c r="H5" s="10"/>
      <c r="I5" s="10">
        <v>1966</v>
      </c>
      <c r="J5" s="10" t="s">
        <v>60</v>
      </c>
      <c r="K5" s="15" t="s">
        <v>61</v>
      </c>
      <c r="L5" s="15" t="s">
        <v>56</v>
      </c>
      <c r="M5" s="11" t="s">
        <v>26</v>
      </c>
      <c r="N5" s="10">
        <v>4366</v>
      </c>
      <c r="O5" s="10">
        <v>12443</v>
      </c>
      <c r="P5" s="10">
        <v>5</v>
      </c>
      <c r="Q5" s="10">
        <v>254</v>
      </c>
      <c r="R5" s="10" t="s">
        <v>57</v>
      </c>
      <c r="S5" s="10">
        <v>360</v>
      </c>
      <c r="T5" s="10">
        <v>102</v>
      </c>
      <c r="U5" s="16">
        <v>43353</v>
      </c>
      <c r="V5" s="16">
        <v>47005</v>
      </c>
      <c r="W5" s="10" t="s">
        <v>10</v>
      </c>
      <c r="X5" s="10" t="s">
        <v>17</v>
      </c>
    </row>
    <row r="6" spans="1:24" ht="60" customHeight="1" x14ac:dyDescent="0.25">
      <c r="A6" s="10">
        <f t="shared" si="0"/>
        <v>3</v>
      </c>
      <c r="B6" s="10" t="s">
        <v>62</v>
      </c>
      <c r="C6" s="10" t="s">
        <v>52</v>
      </c>
      <c r="D6" s="10" t="s">
        <v>52</v>
      </c>
      <c r="E6" s="10" t="s">
        <v>2</v>
      </c>
      <c r="F6" s="10" t="s">
        <v>63</v>
      </c>
      <c r="G6" s="10"/>
      <c r="H6" s="10"/>
      <c r="I6" s="10">
        <v>1973</v>
      </c>
      <c r="J6" s="10" t="s">
        <v>64</v>
      </c>
      <c r="K6" s="15" t="s">
        <v>65</v>
      </c>
      <c r="L6" s="15" t="s">
        <v>56</v>
      </c>
      <c r="M6" s="11" t="s">
        <v>22</v>
      </c>
      <c r="N6" s="10">
        <v>6685</v>
      </c>
      <c r="O6" s="10">
        <v>21583</v>
      </c>
      <c r="P6" s="10">
        <v>8</v>
      </c>
      <c r="Q6" s="10">
        <v>62</v>
      </c>
      <c r="R6" s="10" t="s">
        <v>66</v>
      </c>
      <c r="S6" s="10">
        <v>312</v>
      </c>
      <c r="T6" s="10">
        <v>90</v>
      </c>
      <c r="U6" s="16">
        <v>43392</v>
      </c>
      <c r="V6" s="16">
        <v>47044</v>
      </c>
      <c r="W6" s="10" t="s">
        <v>10</v>
      </c>
      <c r="X6" s="10" t="s">
        <v>17</v>
      </c>
    </row>
    <row r="7" spans="1:24" ht="60" customHeight="1" x14ac:dyDescent="0.25">
      <c r="A7" s="10">
        <f t="shared" si="0"/>
        <v>4</v>
      </c>
      <c r="B7" s="11" t="s">
        <v>67</v>
      </c>
      <c r="C7" s="11" t="s">
        <v>68</v>
      </c>
      <c r="D7" s="11" t="s">
        <v>69</v>
      </c>
      <c r="E7" s="10" t="s">
        <v>2</v>
      </c>
      <c r="F7" s="17" t="s">
        <v>70</v>
      </c>
      <c r="G7" s="11"/>
      <c r="H7" s="11"/>
      <c r="I7" s="11">
        <v>1978</v>
      </c>
      <c r="J7" s="11" t="s">
        <v>71</v>
      </c>
      <c r="K7" s="15" t="s">
        <v>72</v>
      </c>
      <c r="L7" s="15" t="s">
        <v>56</v>
      </c>
      <c r="M7" s="11" t="s">
        <v>26</v>
      </c>
      <c r="N7" s="11">
        <v>1367.06</v>
      </c>
      <c r="O7" s="11">
        <v>4350.7</v>
      </c>
      <c r="P7" s="11">
        <v>3</v>
      </c>
      <c r="Q7" s="11">
        <v>118.44</v>
      </c>
      <c r="R7" s="11" t="s">
        <v>66</v>
      </c>
      <c r="S7" s="11">
        <v>446.2</v>
      </c>
      <c r="T7" s="11">
        <v>88.2</v>
      </c>
      <c r="U7" s="18">
        <v>43462</v>
      </c>
      <c r="V7" s="18">
        <v>47114</v>
      </c>
      <c r="W7" s="11" t="s">
        <v>13</v>
      </c>
      <c r="X7" s="11" t="s">
        <v>17</v>
      </c>
    </row>
    <row r="8" spans="1:24" ht="60" customHeight="1" x14ac:dyDescent="0.25">
      <c r="A8" s="10">
        <f t="shared" si="0"/>
        <v>5</v>
      </c>
      <c r="B8" s="10" t="s">
        <v>73</v>
      </c>
      <c r="C8" s="10" t="s">
        <v>74</v>
      </c>
      <c r="D8" s="10" t="s">
        <v>75</v>
      </c>
      <c r="E8" s="10" t="s">
        <v>2</v>
      </c>
      <c r="F8" s="10" t="s">
        <v>76</v>
      </c>
      <c r="G8" s="10"/>
      <c r="H8" s="10"/>
      <c r="I8" s="10">
        <v>1990</v>
      </c>
      <c r="J8" s="11" t="s">
        <v>71</v>
      </c>
      <c r="K8" s="15" t="s">
        <v>72</v>
      </c>
      <c r="L8" s="15" t="s">
        <v>56</v>
      </c>
      <c r="M8" s="10" t="s">
        <v>26</v>
      </c>
      <c r="N8" s="10">
        <v>820.2</v>
      </c>
      <c r="O8" s="10">
        <v>2337.5700000000002</v>
      </c>
      <c r="P8" s="10">
        <v>2</v>
      </c>
      <c r="Q8" s="10">
        <v>202.8</v>
      </c>
      <c r="R8" s="10" t="s">
        <v>66</v>
      </c>
      <c r="S8" s="10">
        <v>844.5</v>
      </c>
      <c r="T8" s="10">
        <v>161.9</v>
      </c>
      <c r="U8" s="16">
        <v>43486</v>
      </c>
      <c r="V8" s="16">
        <v>47138</v>
      </c>
      <c r="W8" s="10" t="s">
        <v>13</v>
      </c>
      <c r="X8" s="10" t="s">
        <v>17</v>
      </c>
    </row>
    <row r="9" spans="1:24" ht="60" customHeight="1" x14ac:dyDescent="0.25">
      <c r="A9" s="10">
        <f t="shared" si="0"/>
        <v>6</v>
      </c>
      <c r="B9" s="11" t="s">
        <v>77</v>
      </c>
      <c r="C9" s="11" t="s">
        <v>78</v>
      </c>
      <c r="D9" s="11" t="s">
        <v>79</v>
      </c>
      <c r="E9" s="10" t="s">
        <v>5</v>
      </c>
      <c r="F9" s="11" t="s">
        <v>80</v>
      </c>
      <c r="G9" s="11"/>
      <c r="H9" s="11"/>
      <c r="I9" s="11">
        <v>1991</v>
      </c>
      <c r="J9" s="11" t="s">
        <v>81</v>
      </c>
      <c r="K9" s="15" t="s">
        <v>82</v>
      </c>
      <c r="L9" s="15" t="s">
        <v>56</v>
      </c>
      <c r="M9" s="11" t="s">
        <v>18</v>
      </c>
      <c r="N9" s="11">
        <v>9948.1200000000008</v>
      </c>
      <c r="O9" s="11">
        <v>33203.699999999997</v>
      </c>
      <c r="P9" s="17" t="s">
        <v>83</v>
      </c>
      <c r="Q9" s="11">
        <v>55.6</v>
      </c>
      <c r="R9" s="11" t="s">
        <v>66</v>
      </c>
      <c r="S9" s="11">
        <v>266</v>
      </c>
      <c r="T9" s="11">
        <v>69.17</v>
      </c>
      <c r="U9" s="18">
        <v>43489</v>
      </c>
      <c r="V9" s="18">
        <v>47141</v>
      </c>
      <c r="W9" s="11" t="s">
        <v>10</v>
      </c>
      <c r="X9" s="11" t="s">
        <v>17</v>
      </c>
    </row>
    <row r="10" spans="1:24" ht="60" customHeight="1" x14ac:dyDescent="0.25">
      <c r="A10" s="10">
        <f t="shared" si="0"/>
        <v>7</v>
      </c>
      <c r="B10" s="11" t="s">
        <v>84</v>
      </c>
      <c r="C10" s="11" t="s">
        <v>85</v>
      </c>
      <c r="D10" s="11" t="s">
        <v>86</v>
      </c>
      <c r="E10" s="10" t="s">
        <v>2</v>
      </c>
      <c r="F10" s="11" t="s">
        <v>87</v>
      </c>
      <c r="G10" s="11"/>
      <c r="H10" s="11"/>
      <c r="I10" s="11">
        <v>1996</v>
      </c>
      <c r="J10" s="11" t="s">
        <v>88</v>
      </c>
      <c r="K10" s="15" t="s">
        <v>89</v>
      </c>
      <c r="L10" s="15" t="s">
        <v>56</v>
      </c>
      <c r="M10" s="11" t="s">
        <v>22</v>
      </c>
      <c r="N10" s="11">
        <v>9881.5</v>
      </c>
      <c r="O10" s="11">
        <v>41451</v>
      </c>
      <c r="P10" s="11">
        <v>3</v>
      </c>
      <c r="Q10" s="11">
        <v>48.6</v>
      </c>
      <c r="R10" s="11" t="s">
        <v>66</v>
      </c>
      <c r="S10" s="11">
        <v>81</v>
      </c>
      <c r="T10" s="11">
        <v>22.4</v>
      </c>
      <c r="U10" s="18">
        <v>43493</v>
      </c>
      <c r="V10" s="18">
        <v>47145</v>
      </c>
      <c r="W10" s="11" t="s">
        <v>10</v>
      </c>
      <c r="X10" s="11" t="s">
        <v>17</v>
      </c>
    </row>
    <row r="11" spans="1:24" ht="60" customHeight="1" x14ac:dyDescent="0.25">
      <c r="A11" s="10">
        <f t="shared" si="0"/>
        <v>8</v>
      </c>
      <c r="B11" s="10" t="s">
        <v>90</v>
      </c>
      <c r="C11" s="10" t="s">
        <v>91</v>
      </c>
      <c r="D11" s="10" t="s">
        <v>75</v>
      </c>
      <c r="E11" s="10" t="s">
        <v>3</v>
      </c>
      <c r="F11" s="10" t="s">
        <v>92</v>
      </c>
      <c r="G11" s="10"/>
      <c r="H11" s="10"/>
      <c r="I11" s="10">
        <v>1963</v>
      </c>
      <c r="J11" s="10" t="s">
        <v>93</v>
      </c>
      <c r="K11" s="15" t="s">
        <v>94</v>
      </c>
      <c r="L11" s="15" t="s">
        <v>56</v>
      </c>
      <c r="M11" s="10" t="s">
        <v>26</v>
      </c>
      <c r="N11" s="19" t="s">
        <v>95</v>
      </c>
      <c r="O11" s="19" t="s">
        <v>96</v>
      </c>
      <c r="P11" s="10">
        <v>2</v>
      </c>
      <c r="Q11" s="10">
        <v>130.19999999999999</v>
      </c>
      <c r="R11" s="10" t="s">
        <v>66</v>
      </c>
      <c r="S11" s="10">
        <v>605</v>
      </c>
      <c r="T11" s="10">
        <v>119</v>
      </c>
      <c r="U11" s="16">
        <v>43508</v>
      </c>
      <c r="V11" s="16">
        <v>47160</v>
      </c>
      <c r="W11" s="10" t="s">
        <v>10</v>
      </c>
      <c r="X11" s="10" t="s">
        <v>17</v>
      </c>
    </row>
    <row r="12" spans="1:24" ht="60" customHeight="1" x14ac:dyDescent="0.25">
      <c r="A12" s="10">
        <f t="shared" si="0"/>
        <v>9</v>
      </c>
      <c r="B12" s="10" t="s">
        <v>97</v>
      </c>
      <c r="C12" s="10" t="s">
        <v>98</v>
      </c>
      <c r="D12" s="10" t="s">
        <v>75</v>
      </c>
      <c r="E12" s="10" t="s">
        <v>5</v>
      </c>
      <c r="F12" s="10" t="s">
        <v>99</v>
      </c>
      <c r="G12" s="10"/>
      <c r="H12" s="10"/>
      <c r="I12" s="10">
        <v>1983</v>
      </c>
      <c r="J12" s="10" t="s">
        <v>93</v>
      </c>
      <c r="K12" s="15" t="s">
        <v>94</v>
      </c>
      <c r="L12" s="15" t="s">
        <v>56</v>
      </c>
      <c r="M12" s="11" t="s">
        <v>24</v>
      </c>
      <c r="N12" s="10">
        <v>3754.5</v>
      </c>
      <c r="O12" s="10">
        <v>11934</v>
      </c>
      <c r="P12" s="10">
        <v>4</v>
      </c>
      <c r="Q12" s="10">
        <v>91.1</v>
      </c>
      <c r="R12" s="10" t="s">
        <v>66</v>
      </c>
      <c r="S12" s="10">
        <v>416</v>
      </c>
      <c r="T12" s="10">
        <v>82</v>
      </c>
      <c r="U12" s="16">
        <v>43516</v>
      </c>
      <c r="V12" s="16">
        <v>47168</v>
      </c>
      <c r="W12" s="10" t="s">
        <v>10</v>
      </c>
      <c r="X12" s="10" t="s">
        <v>17</v>
      </c>
    </row>
    <row r="13" spans="1:24" ht="60" customHeight="1" x14ac:dyDescent="0.25">
      <c r="A13" s="10">
        <f t="shared" si="0"/>
        <v>10</v>
      </c>
      <c r="B13" s="10" t="s">
        <v>101</v>
      </c>
      <c r="C13" s="10" t="s">
        <v>102</v>
      </c>
      <c r="D13" s="10" t="s">
        <v>103</v>
      </c>
      <c r="E13" s="10" t="s">
        <v>2</v>
      </c>
      <c r="F13" s="10" t="s">
        <v>104</v>
      </c>
      <c r="G13" s="10"/>
      <c r="H13" s="10"/>
      <c r="I13" s="10">
        <v>1949</v>
      </c>
      <c r="J13" s="10" t="s">
        <v>105</v>
      </c>
      <c r="K13" s="15" t="s">
        <v>106</v>
      </c>
      <c r="L13" s="15" t="s">
        <v>56</v>
      </c>
      <c r="M13" s="11" t="s">
        <v>26</v>
      </c>
      <c r="N13" s="10">
        <v>630</v>
      </c>
      <c r="O13" s="10">
        <v>1969</v>
      </c>
      <c r="P13" s="10">
        <v>2</v>
      </c>
      <c r="Q13" s="10">
        <v>141.1</v>
      </c>
      <c r="R13" s="10" t="s">
        <v>66</v>
      </c>
      <c r="S13" s="10">
        <v>609</v>
      </c>
      <c r="T13" s="10">
        <v>120.9</v>
      </c>
      <c r="U13" s="16">
        <v>43517</v>
      </c>
      <c r="V13" s="16">
        <v>47169</v>
      </c>
      <c r="W13" s="10" t="s">
        <v>10</v>
      </c>
      <c r="X13" s="10" t="s">
        <v>17</v>
      </c>
    </row>
    <row r="14" spans="1:24" ht="60" customHeight="1" x14ac:dyDescent="0.25">
      <c r="A14" s="10">
        <f t="shared" si="0"/>
        <v>11</v>
      </c>
      <c r="B14" s="10" t="s">
        <v>107</v>
      </c>
      <c r="C14" s="10" t="s">
        <v>102</v>
      </c>
      <c r="D14" s="10" t="s">
        <v>103</v>
      </c>
      <c r="E14" s="10" t="s">
        <v>2</v>
      </c>
      <c r="F14" s="10" t="s">
        <v>104</v>
      </c>
      <c r="G14" s="10"/>
      <c r="H14" s="10"/>
      <c r="I14" s="10">
        <v>1949</v>
      </c>
      <c r="J14" s="10" t="s">
        <v>105</v>
      </c>
      <c r="K14" s="15" t="s">
        <v>106</v>
      </c>
      <c r="L14" s="15" t="s">
        <v>56</v>
      </c>
      <c r="M14" s="11" t="s">
        <v>26</v>
      </c>
      <c r="N14" s="10">
        <v>695.8</v>
      </c>
      <c r="O14" s="10">
        <v>2261</v>
      </c>
      <c r="P14" s="10">
        <v>2</v>
      </c>
      <c r="Q14" s="10">
        <v>164.5</v>
      </c>
      <c r="R14" s="10" t="s">
        <v>66</v>
      </c>
      <c r="S14" s="10">
        <v>730.8</v>
      </c>
      <c r="T14" s="10">
        <v>145.1</v>
      </c>
      <c r="U14" s="16">
        <v>43517</v>
      </c>
      <c r="V14" s="16">
        <v>47169</v>
      </c>
      <c r="W14" s="10" t="s">
        <v>10</v>
      </c>
      <c r="X14" s="10" t="s">
        <v>17</v>
      </c>
    </row>
    <row r="15" spans="1:24" ht="60" customHeight="1" x14ac:dyDescent="0.25">
      <c r="A15" s="10">
        <f t="shared" si="0"/>
        <v>12</v>
      </c>
      <c r="B15" s="10" t="s">
        <v>108</v>
      </c>
      <c r="C15" s="10" t="s">
        <v>52</v>
      </c>
      <c r="D15" s="10" t="s">
        <v>52</v>
      </c>
      <c r="E15" s="10" t="s">
        <v>3</v>
      </c>
      <c r="F15" s="20" t="s">
        <v>109</v>
      </c>
      <c r="G15" s="10"/>
      <c r="H15" s="10"/>
      <c r="I15" s="10">
        <v>1986</v>
      </c>
      <c r="J15" s="10" t="s">
        <v>110</v>
      </c>
      <c r="K15" s="15" t="s">
        <v>111</v>
      </c>
      <c r="L15" s="15" t="s">
        <v>56</v>
      </c>
      <c r="M15" s="11" t="s">
        <v>24</v>
      </c>
      <c r="N15" s="21">
        <v>1446209</v>
      </c>
      <c r="O15" s="10" t="s">
        <v>112</v>
      </c>
      <c r="P15" s="10">
        <v>4</v>
      </c>
      <c r="Q15" s="10" t="s">
        <v>113</v>
      </c>
      <c r="R15" s="10" t="s">
        <v>66</v>
      </c>
      <c r="S15" s="10" t="s">
        <v>114</v>
      </c>
      <c r="T15" s="10" t="s">
        <v>115</v>
      </c>
      <c r="U15" s="16">
        <v>43514</v>
      </c>
      <c r="V15" s="16">
        <v>47166</v>
      </c>
      <c r="W15" s="10" t="s">
        <v>13</v>
      </c>
      <c r="X15" s="10" t="s">
        <v>17</v>
      </c>
    </row>
    <row r="16" spans="1:24" ht="60" customHeight="1" x14ac:dyDescent="0.25">
      <c r="A16" s="10">
        <f t="shared" si="0"/>
        <v>13</v>
      </c>
      <c r="B16" s="10" t="s">
        <v>116</v>
      </c>
      <c r="C16" s="10" t="s">
        <v>52</v>
      </c>
      <c r="D16" s="10" t="s">
        <v>52</v>
      </c>
      <c r="E16" s="10" t="s">
        <v>3</v>
      </c>
      <c r="F16" s="10" t="s">
        <v>117</v>
      </c>
      <c r="G16" s="10"/>
      <c r="H16" s="10"/>
      <c r="I16" s="10">
        <v>2008</v>
      </c>
      <c r="J16" s="10" t="s">
        <v>110</v>
      </c>
      <c r="K16" s="15" t="s">
        <v>111</v>
      </c>
      <c r="L16" s="15" t="s">
        <v>56</v>
      </c>
      <c r="M16" s="11" t="s">
        <v>20</v>
      </c>
      <c r="N16" s="21">
        <v>1012910</v>
      </c>
      <c r="O16" s="10" t="s">
        <v>118</v>
      </c>
      <c r="P16" s="10">
        <v>4</v>
      </c>
      <c r="Q16" s="10" t="s">
        <v>119</v>
      </c>
      <c r="R16" s="10" t="s">
        <v>66</v>
      </c>
      <c r="S16" s="10" t="s">
        <v>120</v>
      </c>
      <c r="T16" s="10" t="s">
        <v>121</v>
      </c>
      <c r="U16" s="16">
        <v>43514</v>
      </c>
      <c r="V16" s="16">
        <v>47166</v>
      </c>
      <c r="W16" s="10" t="s">
        <v>13</v>
      </c>
      <c r="X16" s="10" t="s">
        <v>17</v>
      </c>
    </row>
    <row r="17" spans="1:24" ht="60" customHeight="1" x14ac:dyDescent="0.25">
      <c r="A17" s="10">
        <f t="shared" si="0"/>
        <v>14</v>
      </c>
      <c r="B17" s="10" t="s">
        <v>122</v>
      </c>
      <c r="C17" s="10" t="s">
        <v>123</v>
      </c>
      <c r="D17" s="10" t="s">
        <v>124</v>
      </c>
      <c r="E17" s="10" t="s">
        <v>5</v>
      </c>
      <c r="F17" s="20" t="s">
        <v>125</v>
      </c>
      <c r="G17" s="10"/>
      <c r="H17" s="10"/>
      <c r="I17" s="10">
        <v>1958</v>
      </c>
      <c r="J17" s="20" t="s">
        <v>126</v>
      </c>
      <c r="K17" s="15" t="s">
        <v>127</v>
      </c>
      <c r="L17" s="15" t="s">
        <v>56</v>
      </c>
      <c r="M17" s="11" t="s">
        <v>22</v>
      </c>
      <c r="N17" s="10">
        <v>2882.4</v>
      </c>
      <c r="O17" s="10">
        <v>10281</v>
      </c>
      <c r="P17" s="10">
        <v>3</v>
      </c>
      <c r="Q17" s="10">
        <v>79.2</v>
      </c>
      <c r="R17" s="10" t="s">
        <v>66</v>
      </c>
      <c r="S17" s="10">
        <v>439.9</v>
      </c>
      <c r="T17" s="10">
        <v>86.1</v>
      </c>
      <c r="U17" s="16">
        <v>43517</v>
      </c>
      <c r="V17" s="16">
        <v>47169</v>
      </c>
      <c r="W17" s="10" t="s">
        <v>10</v>
      </c>
      <c r="X17" s="10" t="s">
        <v>17</v>
      </c>
    </row>
    <row r="18" spans="1:24" ht="60" customHeight="1" x14ac:dyDescent="0.25">
      <c r="A18" s="10">
        <f t="shared" si="0"/>
        <v>15</v>
      </c>
      <c r="B18" s="20" t="s">
        <v>128</v>
      </c>
      <c r="C18" s="10" t="s">
        <v>52</v>
      </c>
      <c r="D18" s="10" t="s">
        <v>52</v>
      </c>
      <c r="E18" s="10" t="s">
        <v>0</v>
      </c>
      <c r="F18" s="20" t="s">
        <v>129</v>
      </c>
      <c r="G18" s="10"/>
      <c r="H18" s="10"/>
      <c r="I18" s="10">
        <v>1975</v>
      </c>
      <c r="J18" s="20" t="s">
        <v>131</v>
      </c>
      <c r="K18" s="15" t="s">
        <v>132</v>
      </c>
      <c r="L18" s="15" t="s">
        <v>56</v>
      </c>
      <c r="M18" s="11" t="s">
        <v>26</v>
      </c>
      <c r="N18" s="10">
        <v>3757</v>
      </c>
      <c r="O18" s="10">
        <v>10333</v>
      </c>
      <c r="P18" s="10">
        <v>9</v>
      </c>
      <c r="Q18" s="10">
        <v>239</v>
      </c>
      <c r="R18" s="10" t="s">
        <v>57</v>
      </c>
      <c r="S18" s="10">
        <v>285</v>
      </c>
      <c r="T18" s="10">
        <v>67</v>
      </c>
      <c r="U18" s="16">
        <v>43518</v>
      </c>
      <c r="V18" s="16">
        <v>47170</v>
      </c>
      <c r="W18" s="10" t="s">
        <v>10</v>
      </c>
      <c r="X18" s="10" t="s">
        <v>17</v>
      </c>
    </row>
    <row r="19" spans="1:24" ht="60" customHeight="1" x14ac:dyDescent="0.25">
      <c r="A19" s="10">
        <f t="shared" si="0"/>
        <v>16</v>
      </c>
      <c r="B19" s="20" t="s">
        <v>130</v>
      </c>
      <c r="C19" s="10" t="s">
        <v>52</v>
      </c>
      <c r="D19" s="10" t="s">
        <v>52</v>
      </c>
      <c r="E19" s="10" t="s">
        <v>3</v>
      </c>
      <c r="F19" s="20" t="s">
        <v>133</v>
      </c>
      <c r="G19" s="10"/>
      <c r="H19" s="10"/>
      <c r="I19" s="10">
        <v>1965</v>
      </c>
      <c r="J19" s="20" t="s">
        <v>131</v>
      </c>
      <c r="K19" s="15" t="s">
        <v>132</v>
      </c>
      <c r="L19" s="15" t="s">
        <v>56</v>
      </c>
      <c r="M19" s="11" t="s">
        <v>24</v>
      </c>
      <c r="N19" s="10">
        <v>3870</v>
      </c>
      <c r="O19" s="10">
        <v>14670</v>
      </c>
      <c r="P19" s="10">
        <v>5</v>
      </c>
      <c r="Q19" s="10">
        <v>52</v>
      </c>
      <c r="R19" s="10" t="s">
        <v>66</v>
      </c>
      <c r="S19" s="10">
        <v>287</v>
      </c>
      <c r="T19" s="10">
        <v>80</v>
      </c>
      <c r="U19" s="16">
        <v>43518</v>
      </c>
      <c r="V19" s="16">
        <v>47170</v>
      </c>
      <c r="W19" s="10" t="s">
        <v>10</v>
      </c>
      <c r="X19" s="10" t="s">
        <v>17</v>
      </c>
    </row>
    <row r="20" spans="1:24" ht="60" customHeight="1" x14ac:dyDescent="0.25">
      <c r="A20" s="10">
        <f t="shared" si="0"/>
        <v>17</v>
      </c>
      <c r="B20" s="20" t="s">
        <v>134</v>
      </c>
      <c r="C20" s="10" t="s">
        <v>52</v>
      </c>
      <c r="D20" s="10" t="s">
        <v>52</v>
      </c>
      <c r="E20" s="10" t="s">
        <v>3</v>
      </c>
      <c r="F20" s="20" t="s">
        <v>135</v>
      </c>
      <c r="G20" s="10"/>
      <c r="H20" s="10"/>
      <c r="I20" s="10">
        <v>1953</v>
      </c>
      <c r="J20" s="20" t="s">
        <v>131</v>
      </c>
      <c r="K20" s="15" t="s">
        <v>132</v>
      </c>
      <c r="L20" s="15" t="s">
        <v>56</v>
      </c>
      <c r="M20" s="11" t="s">
        <v>24</v>
      </c>
      <c r="N20" s="19">
        <v>273</v>
      </c>
      <c r="O20" s="10">
        <v>1306</v>
      </c>
      <c r="P20" s="10">
        <v>2</v>
      </c>
      <c r="Q20" s="10">
        <v>52</v>
      </c>
      <c r="R20" s="10" t="s">
        <v>66</v>
      </c>
      <c r="S20" s="10">
        <v>443.45</v>
      </c>
      <c r="T20" s="10">
        <v>186</v>
      </c>
      <c r="U20" s="16">
        <v>43518</v>
      </c>
      <c r="V20" s="16">
        <v>47170</v>
      </c>
      <c r="W20" s="10" t="s">
        <v>10</v>
      </c>
      <c r="X20" s="10" t="s">
        <v>17</v>
      </c>
    </row>
    <row r="21" spans="1:24" ht="60" customHeight="1" x14ac:dyDescent="0.25">
      <c r="A21" s="10">
        <f t="shared" si="0"/>
        <v>18</v>
      </c>
      <c r="B21" s="20" t="s">
        <v>130</v>
      </c>
      <c r="C21" s="10" t="s">
        <v>52</v>
      </c>
      <c r="D21" s="10" t="s">
        <v>52</v>
      </c>
      <c r="E21" s="10" t="s">
        <v>3</v>
      </c>
      <c r="F21" s="20" t="s">
        <v>136</v>
      </c>
      <c r="G21" s="10"/>
      <c r="H21" s="10"/>
      <c r="I21" s="10">
        <v>1917</v>
      </c>
      <c r="J21" s="20" t="s">
        <v>131</v>
      </c>
      <c r="K21" s="15" t="s">
        <v>132</v>
      </c>
      <c r="L21" s="15" t="s">
        <v>56</v>
      </c>
      <c r="M21" s="11" t="s">
        <v>24</v>
      </c>
      <c r="N21" s="10">
        <v>18975</v>
      </c>
      <c r="O21" s="10">
        <v>68856</v>
      </c>
      <c r="P21" s="10">
        <v>4</v>
      </c>
      <c r="Q21" s="10">
        <v>50</v>
      </c>
      <c r="R21" s="10" t="s">
        <v>66</v>
      </c>
      <c r="S21" s="10">
        <v>251</v>
      </c>
      <c r="T21" s="10">
        <v>67</v>
      </c>
      <c r="U21" s="16">
        <v>43518</v>
      </c>
      <c r="V21" s="16">
        <v>47170</v>
      </c>
      <c r="W21" s="10" t="s">
        <v>10</v>
      </c>
      <c r="X21" s="10" t="s">
        <v>17</v>
      </c>
    </row>
    <row r="22" spans="1:24" ht="60" customHeight="1" x14ac:dyDescent="0.25">
      <c r="A22" s="10">
        <f t="shared" si="0"/>
        <v>19</v>
      </c>
      <c r="B22" s="10" t="s">
        <v>137</v>
      </c>
      <c r="C22" s="10" t="s">
        <v>74</v>
      </c>
      <c r="D22" s="10" t="s">
        <v>75</v>
      </c>
      <c r="E22" s="10" t="s">
        <v>5</v>
      </c>
      <c r="F22" s="10" t="s">
        <v>138</v>
      </c>
      <c r="G22" s="10"/>
      <c r="H22" s="10"/>
      <c r="I22" s="10">
        <v>1988</v>
      </c>
      <c r="J22" s="10" t="s">
        <v>93</v>
      </c>
      <c r="K22" s="15" t="s">
        <v>94</v>
      </c>
      <c r="L22" s="15" t="s">
        <v>56</v>
      </c>
      <c r="M22" s="11" t="s">
        <v>26</v>
      </c>
      <c r="N22" s="10">
        <v>11047</v>
      </c>
      <c r="O22" s="10">
        <v>33200</v>
      </c>
      <c r="P22" s="10">
        <v>7</v>
      </c>
      <c r="Q22" s="10">
        <v>115.4</v>
      </c>
      <c r="R22" s="10" t="s">
        <v>66</v>
      </c>
      <c r="S22" s="10">
        <v>547</v>
      </c>
      <c r="T22" s="10">
        <v>107</v>
      </c>
      <c r="U22" s="16">
        <v>43524</v>
      </c>
      <c r="V22" s="16">
        <v>47357</v>
      </c>
      <c r="W22" s="10" t="s">
        <v>10</v>
      </c>
      <c r="X22" s="10" t="s">
        <v>17</v>
      </c>
    </row>
    <row r="23" spans="1:24" ht="60" customHeight="1" x14ac:dyDescent="0.25">
      <c r="A23" s="10">
        <f t="shared" si="0"/>
        <v>20</v>
      </c>
      <c r="B23" s="20" t="s">
        <v>140</v>
      </c>
      <c r="C23" s="10" t="s">
        <v>141</v>
      </c>
      <c r="D23" s="10" t="s">
        <v>142</v>
      </c>
      <c r="E23" s="10" t="s">
        <v>2</v>
      </c>
      <c r="F23" s="10" t="s">
        <v>143</v>
      </c>
      <c r="G23" s="10"/>
      <c r="H23" s="10"/>
      <c r="I23" s="10">
        <v>1968</v>
      </c>
      <c r="J23" s="10" t="s">
        <v>144</v>
      </c>
      <c r="K23" s="15" t="s">
        <v>145</v>
      </c>
      <c r="L23" s="15" t="s">
        <v>56</v>
      </c>
      <c r="M23" s="11" t="s">
        <v>22</v>
      </c>
      <c r="N23" s="10">
        <v>915.46</v>
      </c>
      <c r="O23" s="10">
        <v>2508.36</v>
      </c>
      <c r="P23" s="10">
        <v>5</v>
      </c>
      <c r="Q23" s="10">
        <v>63</v>
      </c>
      <c r="R23" s="10" t="s">
        <v>66</v>
      </c>
      <c r="S23" s="10">
        <v>277</v>
      </c>
      <c r="T23" s="10">
        <v>63</v>
      </c>
      <c r="U23" s="16">
        <v>43500</v>
      </c>
      <c r="V23" s="16">
        <v>47152</v>
      </c>
      <c r="W23" s="10" t="s">
        <v>13</v>
      </c>
      <c r="X23" s="10" t="s">
        <v>17</v>
      </c>
    </row>
    <row r="24" spans="1:24" ht="60" customHeight="1" x14ac:dyDescent="0.25">
      <c r="A24" s="10">
        <f t="shared" si="0"/>
        <v>21</v>
      </c>
      <c r="B24" s="11" t="s">
        <v>146</v>
      </c>
      <c r="C24" s="10" t="s">
        <v>147</v>
      </c>
      <c r="D24" s="10" t="s">
        <v>148</v>
      </c>
      <c r="E24" s="10" t="s">
        <v>0</v>
      </c>
      <c r="F24" s="20" t="s">
        <v>149</v>
      </c>
      <c r="G24" s="11"/>
      <c r="H24" s="11"/>
      <c r="I24" s="11">
        <v>2004</v>
      </c>
      <c r="J24" s="20" t="s">
        <v>150</v>
      </c>
      <c r="K24" s="15" t="s">
        <v>151</v>
      </c>
      <c r="L24" s="15" t="s">
        <v>56</v>
      </c>
      <c r="M24" s="11" t="s">
        <v>26</v>
      </c>
      <c r="N24" s="10">
        <v>8436</v>
      </c>
      <c r="O24" s="10">
        <v>23622</v>
      </c>
      <c r="P24" s="10">
        <v>10</v>
      </c>
      <c r="Q24" s="10">
        <v>163</v>
      </c>
      <c r="R24" s="10" t="s">
        <v>57</v>
      </c>
      <c r="S24" s="10">
        <v>236</v>
      </c>
      <c r="T24" s="10">
        <v>65</v>
      </c>
      <c r="U24" s="18">
        <v>43528</v>
      </c>
      <c r="V24" s="18">
        <v>47180</v>
      </c>
      <c r="W24" s="10" t="s">
        <v>10</v>
      </c>
      <c r="X24" s="10" t="s">
        <v>17</v>
      </c>
    </row>
    <row r="25" spans="1:24" ht="60" customHeight="1" x14ac:dyDescent="0.25">
      <c r="A25" s="10">
        <f t="shared" si="0"/>
        <v>22</v>
      </c>
      <c r="B25" s="20" t="s">
        <v>152</v>
      </c>
      <c r="C25" s="10" t="s">
        <v>153</v>
      </c>
      <c r="D25" s="10" t="s">
        <v>86</v>
      </c>
      <c r="E25" s="10" t="s">
        <v>0</v>
      </c>
      <c r="F25" s="20" t="s">
        <v>154</v>
      </c>
      <c r="G25" s="11"/>
      <c r="H25" s="11"/>
      <c r="I25" s="11">
        <v>1992</v>
      </c>
      <c r="J25" s="10" t="s">
        <v>64</v>
      </c>
      <c r="K25" s="15" t="s">
        <v>65</v>
      </c>
      <c r="L25" s="15" t="s">
        <v>56</v>
      </c>
      <c r="M25" s="11" t="s">
        <v>26</v>
      </c>
      <c r="N25" s="10">
        <v>4110</v>
      </c>
      <c r="O25" s="10">
        <v>10933</v>
      </c>
      <c r="P25" s="10">
        <v>5</v>
      </c>
      <c r="Q25" s="10">
        <v>224</v>
      </c>
      <c r="R25" s="10" t="s">
        <v>57</v>
      </c>
      <c r="S25" s="10">
        <v>333</v>
      </c>
      <c r="T25" s="10">
        <v>65.650000000000006</v>
      </c>
      <c r="U25" s="18">
        <v>43530</v>
      </c>
      <c r="V25" s="18">
        <v>47182</v>
      </c>
      <c r="W25" s="10" t="s">
        <v>10</v>
      </c>
      <c r="X25" s="10" t="s">
        <v>14</v>
      </c>
    </row>
    <row r="26" spans="1:24" ht="60" customHeight="1" x14ac:dyDescent="0.25">
      <c r="A26" s="10">
        <f t="shared" si="0"/>
        <v>23</v>
      </c>
      <c r="B26" s="20" t="s">
        <v>155</v>
      </c>
      <c r="C26" s="10" t="s">
        <v>85</v>
      </c>
      <c r="D26" s="10" t="s">
        <v>86</v>
      </c>
      <c r="E26" s="10" t="s">
        <v>2</v>
      </c>
      <c r="F26" s="22" t="s">
        <v>156</v>
      </c>
      <c r="G26" s="11"/>
      <c r="H26" s="11"/>
      <c r="I26" s="11" t="s">
        <v>157</v>
      </c>
      <c r="J26" s="11" t="s">
        <v>158</v>
      </c>
      <c r="K26" s="15" t="s">
        <v>159</v>
      </c>
      <c r="L26" s="15" t="s">
        <v>56</v>
      </c>
      <c r="M26" s="11" t="s">
        <v>24</v>
      </c>
      <c r="N26" s="10">
        <v>2305.1999999999998</v>
      </c>
      <c r="O26" s="10">
        <v>7260.4</v>
      </c>
      <c r="P26" s="10">
        <v>4</v>
      </c>
      <c r="Q26" s="10">
        <v>68.2</v>
      </c>
      <c r="R26" s="10" t="s">
        <v>66</v>
      </c>
      <c r="S26" s="10">
        <v>298</v>
      </c>
      <c r="T26" s="10">
        <v>58</v>
      </c>
      <c r="U26" s="18">
        <v>43523</v>
      </c>
      <c r="V26" s="18">
        <v>47175</v>
      </c>
      <c r="W26" s="10" t="s">
        <v>10</v>
      </c>
      <c r="X26" s="10" t="s">
        <v>17</v>
      </c>
    </row>
    <row r="27" spans="1:24" ht="60" customHeight="1" x14ac:dyDescent="0.25">
      <c r="A27" s="10">
        <f t="shared" si="0"/>
        <v>24</v>
      </c>
      <c r="B27" s="10" t="s">
        <v>160</v>
      </c>
      <c r="C27" s="10" t="s">
        <v>102</v>
      </c>
      <c r="D27" s="10" t="s">
        <v>103</v>
      </c>
      <c r="E27" s="10" t="s">
        <v>2</v>
      </c>
      <c r="F27" s="10" t="s">
        <v>161</v>
      </c>
      <c r="G27" s="10"/>
      <c r="H27" s="10"/>
      <c r="I27" s="10">
        <v>1956</v>
      </c>
      <c r="J27" s="10" t="s">
        <v>105</v>
      </c>
      <c r="K27" s="15" t="s">
        <v>106</v>
      </c>
      <c r="L27" s="15" t="s">
        <v>56</v>
      </c>
      <c r="M27" s="11" t="s">
        <v>26</v>
      </c>
      <c r="N27" s="10">
        <v>1581</v>
      </c>
      <c r="O27" s="10">
        <v>4742</v>
      </c>
      <c r="P27" s="10">
        <v>2</v>
      </c>
      <c r="Q27" s="10">
        <v>102.1</v>
      </c>
      <c r="R27" s="10" t="s">
        <v>66</v>
      </c>
      <c r="S27" s="10">
        <v>386.5</v>
      </c>
      <c r="T27" s="10">
        <v>77.2</v>
      </c>
      <c r="U27" s="16">
        <v>43452</v>
      </c>
      <c r="V27" s="18">
        <v>47104</v>
      </c>
      <c r="W27" s="10" t="s">
        <v>10</v>
      </c>
      <c r="X27" s="10" t="s">
        <v>17</v>
      </c>
    </row>
    <row r="28" spans="1:24" ht="60" customHeight="1" x14ac:dyDescent="0.25">
      <c r="A28" s="10">
        <f t="shared" si="0"/>
        <v>25</v>
      </c>
      <c r="B28" s="10" t="s">
        <v>162</v>
      </c>
      <c r="C28" s="10" t="s">
        <v>102</v>
      </c>
      <c r="D28" s="10" t="s">
        <v>103</v>
      </c>
      <c r="E28" s="10" t="s">
        <v>5</v>
      </c>
      <c r="F28" s="10" t="s">
        <v>163</v>
      </c>
      <c r="G28" s="10"/>
      <c r="H28" s="10"/>
      <c r="I28" s="10">
        <v>1956</v>
      </c>
      <c r="J28" s="10" t="s">
        <v>105</v>
      </c>
      <c r="K28" s="15" t="s">
        <v>106</v>
      </c>
      <c r="L28" s="15" t="s">
        <v>56</v>
      </c>
      <c r="M28" s="11" t="s">
        <v>22</v>
      </c>
      <c r="N28" s="10">
        <v>1824</v>
      </c>
      <c r="O28" s="10">
        <v>5471</v>
      </c>
      <c r="P28" s="10">
        <v>2</v>
      </c>
      <c r="Q28" s="10">
        <v>84.1</v>
      </c>
      <c r="R28" s="10" t="s">
        <v>66</v>
      </c>
      <c r="S28" s="10">
        <v>372.6</v>
      </c>
      <c r="T28" s="10">
        <v>73.5</v>
      </c>
      <c r="U28" s="16">
        <v>43460</v>
      </c>
      <c r="V28" s="18">
        <v>47112</v>
      </c>
      <c r="W28" s="10" t="s">
        <v>10</v>
      </c>
      <c r="X28" s="10" t="s">
        <v>17</v>
      </c>
    </row>
    <row r="29" spans="1:24" ht="60" customHeight="1" x14ac:dyDescent="0.25">
      <c r="A29" s="10">
        <f t="shared" si="0"/>
        <v>26</v>
      </c>
      <c r="B29" s="10" t="s">
        <v>164</v>
      </c>
      <c r="C29" s="10" t="s">
        <v>102</v>
      </c>
      <c r="D29" s="10" t="s">
        <v>103</v>
      </c>
      <c r="E29" s="10" t="s">
        <v>5</v>
      </c>
      <c r="F29" s="10" t="s">
        <v>163</v>
      </c>
      <c r="G29" s="10"/>
      <c r="H29" s="10"/>
      <c r="I29" s="10">
        <v>1956</v>
      </c>
      <c r="J29" s="10" t="s">
        <v>105</v>
      </c>
      <c r="K29" s="15" t="s">
        <v>106</v>
      </c>
      <c r="L29" s="15" t="s">
        <v>56</v>
      </c>
      <c r="M29" s="11" t="s">
        <v>22</v>
      </c>
      <c r="N29" s="10">
        <v>1432</v>
      </c>
      <c r="O29" s="10">
        <v>5108</v>
      </c>
      <c r="P29" s="10">
        <v>2</v>
      </c>
      <c r="Q29" s="10">
        <v>78.2</v>
      </c>
      <c r="R29" s="10" t="s">
        <v>66</v>
      </c>
      <c r="S29" s="10">
        <v>408.4</v>
      </c>
      <c r="T29" s="10">
        <v>80.400000000000006</v>
      </c>
      <c r="U29" s="16">
        <v>43460</v>
      </c>
      <c r="V29" s="18">
        <v>47112</v>
      </c>
      <c r="W29" s="10" t="s">
        <v>10</v>
      </c>
      <c r="X29" s="10" t="s">
        <v>17</v>
      </c>
    </row>
    <row r="30" spans="1:24" ht="60" customHeight="1" x14ac:dyDescent="0.25">
      <c r="A30" s="10">
        <f t="shared" si="0"/>
        <v>27</v>
      </c>
      <c r="B30" s="10" t="s">
        <v>165</v>
      </c>
      <c r="C30" s="10" t="s">
        <v>166</v>
      </c>
      <c r="D30" s="10" t="s">
        <v>79</v>
      </c>
      <c r="E30" s="10" t="s">
        <v>0</v>
      </c>
      <c r="F30" s="10" t="s">
        <v>167</v>
      </c>
      <c r="G30" s="10"/>
      <c r="H30" s="10"/>
      <c r="I30" s="10">
        <v>1988</v>
      </c>
      <c r="J30" s="10" t="s">
        <v>81</v>
      </c>
      <c r="K30" s="15" t="s">
        <v>82</v>
      </c>
      <c r="L30" s="15" t="s">
        <v>56</v>
      </c>
      <c r="M30" s="11" t="s">
        <v>26</v>
      </c>
      <c r="N30" s="10">
        <v>3859</v>
      </c>
      <c r="O30" s="10">
        <v>21421</v>
      </c>
      <c r="P30" s="10">
        <v>9</v>
      </c>
      <c r="Q30" s="10">
        <v>407.5</v>
      </c>
      <c r="R30" s="10" t="s">
        <v>57</v>
      </c>
      <c r="S30" s="10">
        <v>440.8</v>
      </c>
      <c r="T30" s="10">
        <v>87.7</v>
      </c>
      <c r="U30" s="18">
        <v>43535</v>
      </c>
      <c r="V30" s="18">
        <v>47187</v>
      </c>
      <c r="W30" s="10" t="s">
        <v>13</v>
      </c>
      <c r="X30" s="10" t="s">
        <v>11</v>
      </c>
    </row>
    <row r="31" spans="1:24" ht="60" customHeight="1" x14ac:dyDescent="0.25">
      <c r="A31" s="10">
        <f t="shared" si="0"/>
        <v>28</v>
      </c>
      <c r="B31" s="10" t="s">
        <v>168</v>
      </c>
      <c r="C31" s="10" t="s">
        <v>102</v>
      </c>
      <c r="D31" s="10" t="s">
        <v>103</v>
      </c>
      <c r="E31" s="10" t="s">
        <v>2</v>
      </c>
      <c r="F31" s="10" t="s">
        <v>169</v>
      </c>
      <c r="G31" s="10"/>
      <c r="H31" s="10"/>
      <c r="I31" s="10">
        <v>1959</v>
      </c>
      <c r="J31" s="10" t="s">
        <v>105</v>
      </c>
      <c r="K31" s="15" t="s">
        <v>106</v>
      </c>
      <c r="L31" s="15" t="s">
        <v>56</v>
      </c>
      <c r="M31" s="11" t="s">
        <v>24</v>
      </c>
      <c r="N31" s="10">
        <v>717</v>
      </c>
      <c r="O31" s="10">
        <v>2078</v>
      </c>
      <c r="P31" s="10">
        <v>2</v>
      </c>
      <c r="Q31" s="10">
        <v>98.4</v>
      </c>
      <c r="R31" s="10" t="s">
        <v>66</v>
      </c>
      <c r="S31" s="10">
        <v>409.1</v>
      </c>
      <c r="T31" s="10">
        <v>80.900000000000006</v>
      </c>
      <c r="U31" s="18">
        <v>43536</v>
      </c>
      <c r="V31" s="18">
        <v>47188</v>
      </c>
      <c r="W31" s="10" t="s">
        <v>10</v>
      </c>
      <c r="X31" s="10" t="s">
        <v>17</v>
      </c>
    </row>
    <row r="32" spans="1:24" ht="60" customHeight="1" x14ac:dyDescent="0.25">
      <c r="A32" s="10">
        <f t="shared" si="0"/>
        <v>29</v>
      </c>
      <c r="B32" s="20" t="s">
        <v>170</v>
      </c>
      <c r="C32" s="10" t="s">
        <v>102</v>
      </c>
      <c r="D32" s="10" t="s">
        <v>103</v>
      </c>
      <c r="E32" s="10" t="s">
        <v>5</v>
      </c>
      <c r="F32" s="20" t="s">
        <v>171</v>
      </c>
      <c r="G32" s="11"/>
      <c r="H32" s="11"/>
      <c r="I32" s="11">
        <v>1976</v>
      </c>
      <c r="J32" s="10" t="s">
        <v>105</v>
      </c>
      <c r="K32" s="15" t="s">
        <v>106</v>
      </c>
      <c r="L32" s="15" t="s">
        <v>56</v>
      </c>
      <c r="M32" s="11" t="s">
        <v>22</v>
      </c>
      <c r="N32" s="10">
        <v>1626</v>
      </c>
      <c r="O32" s="10">
        <v>4563</v>
      </c>
      <c r="P32" s="10">
        <v>3</v>
      </c>
      <c r="Q32" s="10">
        <v>78.099999999999994</v>
      </c>
      <c r="R32" s="10" t="s">
        <v>66</v>
      </c>
      <c r="S32" s="10">
        <v>310.3</v>
      </c>
      <c r="T32" s="10">
        <v>61.5</v>
      </c>
      <c r="U32" s="18">
        <v>43536</v>
      </c>
      <c r="V32" s="18">
        <v>47188</v>
      </c>
      <c r="W32" s="10" t="s">
        <v>10</v>
      </c>
      <c r="X32" s="10" t="s">
        <v>17</v>
      </c>
    </row>
    <row r="33" spans="1:24" ht="60" customHeight="1" x14ac:dyDescent="0.25">
      <c r="A33" s="10">
        <f t="shared" si="0"/>
        <v>30</v>
      </c>
      <c r="B33" s="20" t="s">
        <v>172</v>
      </c>
      <c r="C33" s="10" t="s">
        <v>173</v>
      </c>
      <c r="D33" s="10" t="s">
        <v>174</v>
      </c>
      <c r="E33" s="10" t="s">
        <v>0</v>
      </c>
      <c r="F33" s="20" t="s">
        <v>175</v>
      </c>
      <c r="G33" s="11"/>
      <c r="H33" s="11"/>
      <c r="I33" s="11">
        <v>1957</v>
      </c>
      <c r="J33" s="20" t="s">
        <v>176</v>
      </c>
      <c r="K33" s="15" t="s">
        <v>177</v>
      </c>
      <c r="L33" s="15" t="s">
        <v>56</v>
      </c>
      <c r="M33" s="11" t="s">
        <v>26</v>
      </c>
      <c r="N33" s="10">
        <v>9639</v>
      </c>
      <c r="O33" s="10">
        <v>31421</v>
      </c>
      <c r="P33" s="10">
        <v>6</v>
      </c>
      <c r="Q33" s="10" t="s">
        <v>178</v>
      </c>
      <c r="R33" s="10" t="s">
        <v>57</v>
      </c>
      <c r="S33" s="10" t="s">
        <v>179</v>
      </c>
      <c r="T33" s="10" t="s">
        <v>180</v>
      </c>
      <c r="U33" s="18">
        <v>43536</v>
      </c>
      <c r="V33" s="18">
        <v>47188</v>
      </c>
      <c r="W33" s="10" t="s">
        <v>13</v>
      </c>
      <c r="X33" s="10" t="s">
        <v>17</v>
      </c>
    </row>
    <row r="34" spans="1:24" ht="60" customHeight="1" x14ac:dyDescent="0.25">
      <c r="A34" s="10">
        <f t="shared" si="0"/>
        <v>31</v>
      </c>
      <c r="B34" s="20" t="s">
        <v>181</v>
      </c>
      <c r="C34" s="10" t="s">
        <v>182</v>
      </c>
      <c r="D34" s="10" t="s">
        <v>174</v>
      </c>
      <c r="E34" s="10" t="s">
        <v>0</v>
      </c>
      <c r="F34" s="20" t="s">
        <v>183</v>
      </c>
      <c r="G34" s="11"/>
      <c r="H34" s="11"/>
      <c r="I34" s="11">
        <v>1996</v>
      </c>
      <c r="J34" s="20" t="s">
        <v>184</v>
      </c>
      <c r="K34" s="15" t="s">
        <v>185</v>
      </c>
      <c r="L34" s="15" t="s">
        <v>56</v>
      </c>
      <c r="M34" s="11" t="s">
        <v>24</v>
      </c>
      <c r="N34" s="10">
        <v>5349</v>
      </c>
      <c r="O34" s="10">
        <v>14432</v>
      </c>
      <c r="P34" s="10">
        <v>10</v>
      </c>
      <c r="Q34" s="10">
        <v>147.1</v>
      </c>
      <c r="R34" s="10" t="s">
        <v>66</v>
      </c>
      <c r="S34" s="10">
        <v>242.3</v>
      </c>
      <c r="T34" s="10">
        <v>88.3</v>
      </c>
      <c r="U34" s="18">
        <v>43536</v>
      </c>
      <c r="V34" s="18">
        <v>47188</v>
      </c>
      <c r="W34" s="10" t="s">
        <v>13</v>
      </c>
      <c r="X34" s="10" t="s">
        <v>17</v>
      </c>
    </row>
    <row r="35" spans="1:24" ht="60" customHeight="1" x14ac:dyDescent="0.25">
      <c r="A35" s="10">
        <f t="shared" si="0"/>
        <v>32</v>
      </c>
      <c r="B35" s="11" t="s">
        <v>186</v>
      </c>
      <c r="C35" s="10" t="s">
        <v>187</v>
      </c>
      <c r="D35" s="10" t="s">
        <v>103</v>
      </c>
      <c r="E35" s="10" t="s">
        <v>0</v>
      </c>
      <c r="F35" s="23" t="s">
        <v>188</v>
      </c>
      <c r="G35" s="11"/>
      <c r="H35" s="11"/>
      <c r="I35" s="11">
        <v>1973</v>
      </c>
      <c r="J35" s="20" t="s">
        <v>189</v>
      </c>
      <c r="K35" s="15" t="s">
        <v>190</v>
      </c>
      <c r="L35" s="15" t="s">
        <v>56</v>
      </c>
      <c r="M35" s="11" t="s">
        <v>26</v>
      </c>
      <c r="N35" s="10">
        <v>10996</v>
      </c>
      <c r="O35" s="10">
        <v>25326</v>
      </c>
      <c r="P35" s="10">
        <v>5</v>
      </c>
      <c r="Q35" s="10">
        <v>329</v>
      </c>
      <c r="R35" s="10" t="s">
        <v>57</v>
      </c>
      <c r="S35" s="10">
        <v>263</v>
      </c>
      <c r="T35" s="10">
        <v>98</v>
      </c>
      <c r="U35" s="18">
        <v>43524</v>
      </c>
      <c r="V35" s="18">
        <v>47176</v>
      </c>
      <c r="W35" s="10" t="s">
        <v>13</v>
      </c>
      <c r="X35" s="10" t="s">
        <v>17</v>
      </c>
    </row>
    <row r="36" spans="1:24" ht="60" customHeight="1" x14ac:dyDescent="0.25">
      <c r="A36" s="10">
        <f t="shared" si="0"/>
        <v>33</v>
      </c>
      <c r="B36" s="20" t="s">
        <v>191</v>
      </c>
      <c r="C36" s="10" t="s">
        <v>52</v>
      </c>
      <c r="D36" s="24" t="s">
        <v>52</v>
      </c>
      <c r="E36" s="10" t="s">
        <v>0</v>
      </c>
      <c r="F36" s="20" t="s">
        <v>192</v>
      </c>
      <c r="G36" s="11"/>
      <c r="H36" s="11"/>
      <c r="I36" s="11">
        <v>1998</v>
      </c>
      <c r="J36" s="10" t="s">
        <v>93</v>
      </c>
      <c r="K36" s="15" t="s">
        <v>94</v>
      </c>
      <c r="L36" s="15" t="s">
        <v>56</v>
      </c>
      <c r="M36" s="11" t="s">
        <v>26</v>
      </c>
      <c r="N36" s="10">
        <v>28963</v>
      </c>
      <c r="O36" s="10">
        <v>84995</v>
      </c>
      <c r="P36" s="10">
        <v>18</v>
      </c>
      <c r="Q36" s="10" t="s">
        <v>193</v>
      </c>
      <c r="R36" s="10" t="s">
        <v>57</v>
      </c>
      <c r="S36" s="10">
        <v>333</v>
      </c>
      <c r="T36" s="10">
        <v>66</v>
      </c>
      <c r="U36" s="18">
        <v>43531</v>
      </c>
      <c r="V36" s="18">
        <v>47183</v>
      </c>
      <c r="W36" s="10" t="s">
        <v>13</v>
      </c>
      <c r="X36" s="10" t="s">
        <v>17</v>
      </c>
    </row>
    <row r="37" spans="1:24" ht="60" customHeight="1" x14ac:dyDescent="0.25">
      <c r="A37" s="10">
        <f t="shared" si="0"/>
        <v>34</v>
      </c>
      <c r="B37" s="20" t="s">
        <v>194</v>
      </c>
      <c r="C37" s="10" t="s">
        <v>102</v>
      </c>
      <c r="D37" s="10" t="s">
        <v>103</v>
      </c>
      <c r="E37" s="10" t="s">
        <v>0</v>
      </c>
      <c r="F37" s="20" t="s">
        <v>195</v>
      </c>
      <c r="G37" s="11"/>
      <c r="H37" s="11"/>
      <c r="I37" s="11">
        <v>1993</v>
      </c>
      <c r="J37" s="20" t="s">
        <v>196</v>
      </c>
      <c r="K37" s="15" t="s">
        <v>197</v>
      </c>
      <c r="L37" s="15" t="s">
        <v>56</v>
      </c>
      <c r="M37" s="11" t="s">
        <v>22</v>
      </c>
      <c r="N37" s="10">
        <v>8149.4</v>
      </c>
      <c r="O37" s="10">
        <v>22601</v>
      </c>
      <c r="P37" s="10">
        <v>9</v>
      </c>
      <c r="Q37" s="10">
        <v>118</v>
      </c>
      <c r="R37" s="10" t="s">
        <v>57</v>
      </c>
      <c r="S37" s="10">
        <v>155</v>
      </c>
      <c r="T37" s="10">
        <v>40</v>
      </c>
      <c r="U37" s="18">
        <v>43530</v>
      </c>
      <c r="V37" s="18">
        <v>47182</v>
      </c>
      <c r="W37" s="10" t="s">
        <v>10</v>
      </c>
      <c r="X37" s="10" t="s">
        <v>17</v>
      </c>
    </row>
    <row r="38" spans="1:24" ht="60" customHeight="1" x14ac:dyDescent="0.25">
      <c r="A38" s="10">
        <f t="shared" si="0"/>
        <v>35</v>
      </c>
      <c r="B38" s="11" t="s">
        <v>139</v>
      </c>
      <c r="C38" s="10" t="s">
        <v>74</v>
      </c>
      <c r="D38" s="10" t="s">
        <v>75</v>
      </c>
      <c r="E38" s="10" t="s">
        <v>5</v>
      </c>
      <c r="F38" s="20" t="s">
        <v>198</v>
      </c>
      <c r="G38" s="11"/>
      <c r="H38" s="11"/>
      <c r="I38" s="11">
        <v>1962</v>
      </c>
      <c r="J38" s="11" t="s">
        <v>158</v>
      </c>
      <c r="K38" s="15" t="s">
        <v>159</v>
      </c>
      <c r="L38" s="15" t="s">
        <v>56</v>
      </c>
      <c r="M38" s="11" t="s">
        <v>22</v>
      </c>
      <c r="N38" s="10">
        <v>3498</v>
      </c>
      <c r="O38" s="10">
        <v>11504</v>
      </c>
      <c r="P38" s="10">
        <v>3</v>
      </c>
      <c r="Q38" s="10">
        <v>71.7</v>
      </c>
      <c r="R38" s="10" t="s">
        <v>66</v>
      </c>
      <c r="S38" s="10">
        <v>382</v>
      </c>
      <c r="T38" s="10">
        <v>74</v>
      </c>
      <c r="U38" s="18">
        <v>43528</v>
      </c>
      <c r="V38" s="18">
        <v>47180</v>
      </c>
      <c r="W38" s="10" t="s">
        <v>10</v>
      </c>
      <c r="X38" s="10" t="s">
        <v>17</v>
      </c>
    </row>
    <row r="39" spans="1:24" ht="60" customHeight="1" x14ac:dyDescent="0.25">
      <c r="A39" s="10">
        <f t="shared" si="0"/>
        <v>36</v>
      </c>
      <c r="B39" s="11" t="s">
        <v>139</v>
      </c>
      <c r="C39" s="10" t="s">
        <v>74</v>
      </c>
      <c r="D39" s="10" t="s">
        <v>75</v>
      </c>
      <c r="E39" s="10" t="s">
        <v>5</v>
      </c>
      <c r="F39" s="11" t="s">
        <v>199</v>
      </c>
      <c r="G39" s="11"/>
      <c r="H39" s="11"/>
      <c r="I39" s="11">
        <v>1977</v>
      </c>
      <c r="J39" s="11" t="s">
        <v>158</v>
      </c>
      <c r="K39" s="15" t="s">
        <v>159</v>
      </c>
      <c r="L39" s="15" t="s">
        <v>56</v>
      </c>
      <c r="M39" s="11" t="s">
        <v>26</v>
      </c>
      <c r="N39" s="10">
        <v>7125</v>
      </c>
      <c r="O39" s="10">
        <v>23514</v>
      </c>
      <c r="P39" s="10">
        <v>5</v>
      </c>
      <c r="Q39" s="10">
        <v>120.1</v>
      </c>
      <c r="R39" s="10" t="s">
        <v>66</v>
      </c>
      <c r="S39" s="10">
        <v>517</v>
      </c>
      <c r="T39" s="10">
        <v>102</v>
      </c>
      <c r="U39" s="18">
        <v>43528</v>
      </c>
      <c r="V39" s="18">
        <v>47180</v>
      </c>
      <c r="W39" s="10" t="s">
        <v>13</v>
      </c>
      <c r="X39" s="10" t="s">
        <v>17</v>
      </c>
    </row>
    <row r="40" spans="1:24" ht="60" customHeight="1" x14ac:dyDescent="0.25">
      <c r="A40" s="10">
        <f t="shared" si="0"/>
        <v>37</v>
      </c>
      <c r="B40" s="11" t="s">
        <v>200</v>
      </c>
      <c r="C40" s="10" t="s">
        <v>201</v>
      </c>
      <c r="D40" s="10" t="s">
        <v>75</v>
      </c>
      <c r="E40" s="10" t="s">
        <v>5</v>
      </c>
      <c r="F40" s="20" t="s">
        <v>202</v>
      </c>
      <c r="G40" s="11"/>
      <c r="H40" s="11"/>
      <c r="I40" s="11">
        <v>2003</v>
      </c>
      <c r="J40" s="11" t="s">
        <v>158</v>
      </c>
      <c r="K40" s="15" t="s">
        <v>159</v>
      </c>
      <c r="L40" s="15" t="s">
        <v>56</v>
      </c>
      <c r="M40" s="11" t="s">
        <v>26</v>
      </c>
      <c r="N40" s="10">
        <v>110</v>
      </c>
      <c r="O40" s="10">
        <v>275</v>
      </c>
      <c r="P40" s="10">
        <v>1</v>
      </c>
      <c r="Q40" s="10">
        <v>194.5</v>
      </c>
      <c r="R40" s="10" t="s">
        <v>66</v>
      </c>
      <c r="S40" s="10">
        <v>640</v>
      </c>
      <c r="T40" s="10">
        <v>126</v>
      </c>
      <c r="U40" s="18">
        <v>43529</v>
      </c>
      <c r="V40" s="18">
        <v>47181</v>
      </c>
      <c r="W40" s="10" t="s">
        <v>10</v>
      </c>
      <c r="X40" s="10" t="s">
        <v>17</v>
      </c>
    </row>
    <row r="41" spans="1:24" ht="60" customHeight="1" x14ac:dyDescent="0.25">
      <c r="A41" s="10">
        <f t="shared" si="0"/>
        <v>38</v>
      </c>
      <c r="B41" s="10" t="s">
        <v>203</v>
      </c>
      <c r="C41" s="10" t="s">
        <v>204</v>
      </c>
      <c r="D41" s="10" t="s">
        <v>75</v>
      </c>
      <c r="E41" s="10" t="s">
        <v>2</v>
      </c>
      <c r="F41" s="10" t="s">
        <v>205</v>
      </c>
      <c r="G41" s="11"/>
      <c r="H41" s="11"/>
      <c r="I41" s="11">
        <v>1984</v>
      </c>
      <c r="J41" s="10" t="s">
        <v>93</v>
      </c>
      <c r="K41" s="15" t="s">
        <v>94</v>
      </c>
      <c r="L41" s="15" t="s">
        <v>56</v>
      </c>
      <c r="M41" s="11" t="s">
        <v>26</v>
      </c>
      <c r="N41" s="10">
        <v>423</v>
      </c>
      <c r="O41" s="10">
        <v>1569</v>
      </c>
      <c r="P41" s="10">
        <v>2</v>
      </c>
      <c r="Q41" s="10">
        <v>126</v>
      </c>
      <c r="R41" s="10" t="s">
        <v>66</v>
      </c>
      <c r="S41" s="10">
        <v>683</v>
      </c>
      <c r="T41" s="10">
        <v>135</v>
      </c>
      <c r="U41" s="18">
        <v>43534</v>
      </c>
      <c r="V41" s="18">
        <v>47186</v>
      </c>
      <c r="W41" s="10" t="s">
        <v>10</v>
      </c>
      <c r="X41" s="10" t="s">
        <v>17</v>
      </c>
    </row>
    <row r="42" spans="1:24" ht="60" customHeight="1" x14ac:dyDescent="0.25">
      <c r="A42" s="10">
        <f t="shared" si="0"/>
        <v>39</v>
      </c>
      <c r="B42" s="20" t="s">
        <v>206</v>
      </c>
      <c r="C42" s="10" t="s">
        <v>207</v>
      </c>
      <c r="D42" s="10" t="s">
        <v>148</v>
      </c>
      <c r="E42" s="10" t="s">
        <v>0</v>
      </c>
      <c r="F42" s="20" t="s">
        <v>208</v>
      </c>
      <c r="G42" s="11"/>
      <c r="H42" s="11"/>
      <c r="I42" s="11">
        <v>2011</v>
      </c>
      <c r="J42" s="20" t="s">
        <v>209</v>
      </c>
      <c r="K42" s="15" t="s">
        <v>210</v>
      </c>
      <c r="L42" s="15" t="s">
        <v>56</v>
      </c>
      <c r="M42" s="11" t="s">
        <v>20</v>
      </c>
      <c r="N42" s="10">
        <v>25981</v>
      </c>
      <c r="O42" s="10">
        <v>77943</v>
      </c>
      <c r="P42" s="10" t="s">
        <v>211</v>
      </c>
      <c r="Q42" s="10">
        <v>85</v>
      </c>
      <c r="R42" s="10" t="s">
        <v>57</v>
      </c>
      <c r="S42" s="10">
        <v>199</v>
      </c>
      <c r="T42" s="10">
        <v>37</v>
      </c>
      <c r="U42" s="18">
        <v>43543</v>
      </c>
      <c r="V42" s="18">
        <v>47195</v>
      </c>
      <c r="W42" s="10" t="s">
        <v>13</v>
      </c>
      <c r="X42" s="10" t="s">
        <v>17</v>
      </c>
    </row>
    <row r="43" spans="1:24" ht="60" customHeight="1" x14ac:dyDescent="0.25">
      <c r="A43" s="10">
        <f t="shared" si="0"/>
        <v>40</v>
      </c>
      <c r="B43" s="10" t="s">
        <v>203</v>
      </c>
      <c r="C43" s="10" t="s">
        <v>204</v>
      </c>
      <c r="D43" s="10" t="s">
        <v>75</v>
      </c>
      <c r="E43" s="10" t="s">
        <v>0</v>
      </c>
      <c r="F43" s="10" t="s">
        <v>212</v>
      </c>
      <c r="G43" s="11"/>
      <c r="H43" s="11"/>
      <c r="I43" s="11">
        <v>1963</v>
      </c>
      <c r="J43" s="10" t="s">
        <v>93</v>
      </c>
      <c r="K43" s="15" t="s">
        <v>94</v>
      </c>
      <c r="L43" s="15" t="s">
        <v>56</v>
      </c>
      <c r="M43" s="11" t="s">
        <v>26</v>
      </c>
      <c r="N43" s="10">
        <v>907</v>
      </c>
      <c r="O43" s="10">
        <v>2856</v>
      </c>
      <c r="P43" s="10">
        <v>2</v>
      </c>
      <c r="Q43" s="10">
        <v>400.6</v>
      </c>
      <c r="R43" s="10" t="s">
        <v>66</v>
      </c>
      <c r="S43" s="10">
        <v>576</v>
      </c>
      <c r="T43" s="10">
        <v>114</v>
      </c>
      <c r="U43" s="18">
        <v>43538</v>
      </c>
      <c r="V43" s="18">
        <v>47190</v>
      </c>
      <c r="W43" s="10" t="s">
        <v>13</v>
      </c>
      <c r="X43" s="10" t="s">
        <v>17</v>
      </c>
    </row>
    <row r="44" spans="1:24" ht="60" customHeight="1" x14ac:dyDescent="0.25">
      <c r="A44" s="10">
        <f t="shared" si="0"/>
        <v>41</v>
      </c>
      <c r="B44" s="11" t="s">
        <v>213</v>
      </c>
      <c r="C44" s="10" t="s">
        <v>85</v>
      </c>
      <c r="D44" s="10" t="s">
        <v>86</v>
      </c>
      <c r="E44" s="10" t="s">
        <v>0</v>
      </c>
      <c r="F44" s="11" t="s">
        <v>214</v>
      </c>
      <c r="G44" s="11"/>
      <c r="H44" s="11"/>
      <c r="I44" s="11">
        <v>1975</v>
      </c>
      <c r="J44" s="10" t="s">
        <v>54</v>
      </c>
      <c r="K44" s="15" t="s">
        <v>55</v>
      </c>
      <c r="L44" s="15" t="s">
        <v>56</v>
      </c>
      <c r="M44" s="11" t="s">
        <v>26</v>
      </c>
      <c r="N44" s="10">
        <v>17761</v>
      </c>
      <c r="O44" s="10">
        <v>48305</v>
      </c>
      <c r="P44" s="10">
        <v>9</v>
      </c>
      <c r="Q44" s="10">
        <v>198</v>
      </c>
      <c r="R44" s="10" t="s">
        <v>57</v>
      </c>
      <c r="S44" s="10">
        <v>297</v>
      </c>
      <c r="T44" s="10">
        <v>84</v>
      </c>
      <c r="U44" s="18">
        <v>43537</v>
      </c>
      <c r="V44" s="18">
        <v>47189</v>
      </c>
      <c r="W44" s="10" t="s">
        <v>10</v>
      </c>
      <c r="X44" s="10" t="s">
        <v>17</v>
      </c>
    </row>
    <row r="45" spans="1:24" ht="60" customHeight="1" x14ac:dyDescent="0.25">
      <c r="A45" s="10">
        <f t="shared" si="0"/>
        <v>42</v>
      </c>
      <c r="B45" s="11" t="s">
        <v>215</v>
      </c>
      <c r="C45" s="10" t="s">
        <v>216</v>
      </c>
      <c r="D45" s="10" t="s">
        <v>174</v>
      </c>
      <c r="E45" s="10" t="s">
        <v>0</v>
      </c>
      <c r="F45" s="11" t="s">
        <v>217</v>
      </c>
      <c r="G45" s="11"/>
      <c r="H45" s="11"/>
      <c r="I45" s="11">
        <v>1963</v>
      </c>
      <c r="J45" s="20" t="s">
        <v>218</v>
      </c>
      <c r="K45" s="15" t="s">
        <v>219</v>
      </c>
      <c r="L45" s="15" t="s">
        <v>56</v>
      </c>
      <c r="M45" s="11" t="s">
        <v>26</v>
      </c>
      <c r="N45" s="10">
        <v>2662.52</v>
      </c>
      <c r="O45" s="10">
        <v>7779.88</v>
      </c>
      <c r="P45" s="10">
        <v>3</v>
      </c>
      <c r="Q45" s="10">
        <v>287.85300000000001</v>
      </c>
      <c r="R45" s="10" t="s">
        <v>57</v>
      </c>
      <c r="S45" s="10">
        <v>351.04399999999998</v>
      </c>
      <c r="T45" s="10">
        <v>69.61</v>
      </c>
      <c r="U45" s="18">
        <v>43546</v>
      </c>
      <c r="V45" s="18">
        <v>47198</v>
      </c>
      <c r="W45" s="10" t="s">
        <v>13</v>
      </c>
      <c r="X45" s="10" t="s">
        <v>14</v>
      </c>
    </row>
    <row r="46" spans="1:24" ht="60" customHeight="1" x14ac:dyDescent="0.25">
      <c r="A46" s="10">
        <f t="shared" si="0"/>
        <v>43</v>
      </c>
      <c r="B46" s="10" t="s">
        <v>203</v>
      </c>
      <c r="C46" s="10" t="s">
        <v>204</v>
      </c>
      <c r="D46" s="10" t="s">
        <v>75</v>
      </c>
      <c r="E46" s="10" t="s">
        <v>0</v>
      </c>
      <c r="F46" s="10" t="s">
        <v>220</v>
      </c>
      <c r="G46" s="11"/>
      <c r="H46" s="11"/>
      <c r="I46" s="11">
        <v>1963</v>
      </c>
      <c r="J46" s="10" t="s">
        <v>93</v>
      </c>
      <c r="K46" s="15" t="s">
        <v>94</v>
      </c>
      <c r="L46" s="15" t="s">
        <v>56</v>
      </c>
      <c r="M46" s="11" t="s">
        <v>26</v>
      </c>
      <c r="N46" s="10">
        <v>907</v>
      </c>
      <c r="O46" s="10">
        <v>2856</v>
      </c>
      <c r="P46" s="10">
        <v>2</v>
      </c>
      <c r="Q46" s="10">
        <v>402.9</v>
      </c>
      <c r="R46" s="10" t="s">
        <v>57</v>
      </c>
      <c r="S46" s="10">
        <v>551</v>
      </c>
      <c r="T46" s="10">
        <v>110</v>
      </c>
      <c r="U46" s="18">
        <v>43539</v>
      </c>
      <c r="V46" s="18">
        <v>47191</v>
      </c>
      <c r="W46" s="10" t="s">
        <v>13</v>
      </c>
      <c r="X46" s="10" t="s">
        <v>17</v>
      </c>
    </row>
    <row r="47" spans="1:24" ht="60" customHeight="1" x14ac:dyDescent="0.25">
      <c r="A47" s="10">
        <f t="shared" si="0"/>
        <v>44</v>
      </c>
      <c r="B47" s="10" t="s">
        <v>221</v>
      </c>
      <c r="C47" s="10" t="s">
        <v>201</v>
      </c>
      <c r="D47" s="10" t="s">
        <v>75</v>
      </c>
      <c r="E47" s="10" t="s">
        <v>5</v>
      </c>
      <c r="F47" s="10" t="s">
        <v>222</v>
      </c>
      <c r="G47" s="11"/>
      <c r="H47" s="11"/>
      <c r="I47" s="11">
        <v>1960</v>
      </c>
      <c r="J47" s="10" t="s">
        <v>93</v>
      </c>
      <c r="K47" s="15" t="s">
        <v>94</v>
      </c>
      <c r="L47" s="15" t="s">
        <v>56</v>
      </c>
      <c r="M47" s="11" t="s">
        <v>22</v>
      </c>
      <c r="N47" s="10">
        <v>2088</v>
      </c>
      <c r="O47" s="10">
        <v>7630</v>
      </c>
      <c r="P47" s="10">
        <v>3</v>
      </c>
      <c r="Q47" s="10">
        <v>74.5</v>
      </c>
      <c r="R47" s="10" t="s">
        <v>66</v>
      </c>
      <c r="S47" s="10">
        <v>499</v>
      </c>
      <c r="T47" s="10">
        <v>97</v>
      </c>
      <c r="U47" s="18">
        <v>43542</v>
      </c>
      <c r="V47" s="18">
        <v>47194</v>
      </c>
      <c r="W47" s="10" t="s">
        <v>10</v>
      </c>
      <c r="X47" s="10" t="s">
        <v>17</v>
      </c>
    </row>
    <row r="48" spans="1:24" ht="60" customHeight="1" x14ac:dyDescent="0.25">
      <c r="A48" s="10">
        <f t="shared" si="0"/>
        <v>45</v>
      </c>
      <c r="B48" s="11" t="s">
        <v>223</v>
      </c>
      <c r="C48" s="10" t="s">
        <v>102</v>
      </c>
      <c r="D48" s="10" t="s">
        <v>103</v>
      </c>
      <c r="E48" s="10" t="s">
        <v>0</v>
      </c>
      <c r="F48" s="11" t="s">
        <v>224</v>
      </c>
      <c r="G48" s="11"/>
      <c r="H48" s="11"/>
      <c r="I48" s="11">
        <v>1964</v>
      </c>
      <c r="J48" s="25" t="s">
        <v>225</v>
      </c>
      <c r="K48" s="15" t="s">
        <v>226</v>
      </c>
      <c r="L48" s="15" t="s">
        <v>56</v>
      </c>
      <c r="M48" s="11" t="s">
        <v>26</v>
      </c>
      <c r="N48" s="10">
        <v>3272</v>
      </c>
      <c r="O48" s="10">
        <v>12198</v>
      </c>
      <c r="P48" s="10">
        <v>5</v>
      </c>
      <c r="Q48" s="10">
        <v>191</v>
      </c>
      <c r="R48" s="10" t="s">
        <v>57</v>
      </c>
      <c r="S48" s="10">
        <v>250</v>
      </c>
      <c r="T48" s="10">
        <v>50</v>
      </c>
      <c r="U48" s="18">
        <v>43542</v>
      </c>
      <c r="V48" s="18">
        <v>47194</v>
      </c>
      <c r="W48" s="10" t="s">
        <v>10</v>
      </c>
      <c r="X48" s="10" t="s">
        <v>17</v>
      </c>
    </row>
    <row r="49" spans="1:24" ht="60" customHeight="1" x14ac:dyDescent="0.25">
      <c r="A49" s="10">
        <f t="shared" si="0"/>
        <v>46</v>
      </c>
      <c r="B49" s="20" t="s">
        <v>227</v>
      </c>
      <c r="C49" s="26" t="s">
        <v>52</v>
      </c>
      <c r="D49" s="10" t="s">
        <v>52</v>
      </c>
      <c r="E49" s="10" t="s">
        <v>0</v>
      </c>
      <c r="F49" s="11" t="s">
        <v>228</v>
      </c>
      <c r="G49" s="11"/>
      <c r="H49" s="11"/>
      <c r="I49" s="11">
        <v>1994</v>
      </c>
      <c r="J49" s="20" t="s">
        <v>229</v>
      </c>
      <c r="K49" s="15" t="s">
        <v>230</v>
      </c>
      <c r="L49" s="15" t="s">
        <v>56</v>
      </c>
      <c r="M49" s="11" t="s">
        <v>26</v>
      </c>
      <c r="N49" s="10">
        <v>5828.6</v>
      </c>
      <c r="O49" s="10">
        <v>14571.5</v>
      </c>
      <c r="P49" s="10">
        <v>16</v>
      </c>
      <c r="Q49" s="10">
        <v>189</v>
      </c>
      <c r="R49" s="10" t="s">
        <v>57</v>
      </c>
      <c r="S49" s="10">
        <v>252</v>
      </c>
      <c r="T49" s="10">
        <v>50.22</v>
      </c>
      <c r="U49" s="18">
        <v>43542</v>
      </c>
      <c r="V49" s="18">
        <v>47194</v>
      </c>
      <c r="W49" s="10" t="s">
        <v>10</v>
      </c>
      <c r="X49" s="10" t="s">
        <v>17</v>
      </c>
    </row>
    <row r="50" spans="1:24" ht="60" customHeight="1" x14ac:dyDescent="0.25">
      <c r="A50" s="10">
        <f t="shared" si="0"/>
        <v>47</v>
      </c>
      <c r="B50" s="11" t="s">
        <v>231</v>
      </c>
      <c r="C50" s="10" t="s">
        <v>74</v>
      </c>
      <c r="D50" s="10" t="s">
        <v>75</v>
      </c>
      <c r="E50" s="10" t="s">
        <v>2</v>
      </c>
      <c r="F50" s="20" t="s">
        <v>232</v>
      </c>
      <c r="G50" s="11"/>
      <c r="H50" s="11"/>
      <c r="I50" s="11">
        <v>1940</v>
      </c>
      <c r="J50" s="10" t="s">
        <v>93</v>
      </c>
      <c r="K50" s="15" t="s">
        <v>94</v>
      </c>
      <c r="L50" s="15" t="s">
        <v>56</v>
      </c>
      <c r="M50" s="11" t="s">
        <v>22</v>
      </c>
      <c r="N50" s="10">
        <v>5927</v>
      </c>
      <c r="O50" s="10">
        <v>19430</v>
      </c>
      <c r="P50" s="10">
        <v>4</v>
      </c>
      <c r="Q50" s="10">
        <v>59.7</v>
      </c>
      <c r="R50" s="10" t="s">
        <v>66</v>
      </c>
      <c r="S50" s="10">
        <v>310</v>
      </c>
      <c r="T50" s="10">
        <v>61</v>
      </c>
      <c r="U50" s="18">
        <v>43544</v>
      </c>
      <c r="V50" s="18">
        <v>47196</v>
      </c>
      <c r="W50" s="10" t="s">
        <v>10</v>
      </c>
      <c r="X50" s="10" t="s">
        <v>17</v>
      </c>
    </row>
    <row r="51" spans="1:24" ht="60" customHeight="1" x14ac:dyDescent="0.25">
      <c r="A51" s="10">
        <f t="shared" si="0"/>
        <v>48</v>
      </c>
      <c r="B51" s="11" t="s">
        <v>233</v>
      </c>
      <c r="C51" s="10" t="s">
        <v>234</v>
      </c>
      <c r="D51" s="10" t="s">
        <v>148</v>
      </c>
      <c r="E51" s="10" t="s">
        <v>3</v>
      </c>
      <c r="F51" s="11" t="s">
        <v>235</v>
      </c>
      <c r="G51" s="11"/>
      <c r="H51" s="11"/>
      <c r="I51" s="11">
        <v>1921</v>
      </c>
      <c r="J51" s="20" t="s">
        <v>229</v>
      </c>
      <c r="K51" s="15" t="s">
        <v>230</v>
      </c>
      <c r="L51" s="15" t="s">
        <v>56</v>
      </c>
      <c r="M51" s="11" t="s">
        <v>26</v>
      </c>
      <c r="N51" s="10">
        <v>5282.1</v>
      </c>
      <c r="O51" s="10">
        <v>15846.3</v>
      </c>
      <c r="P51" s="10">
        <v>3</v>
      </c>
      <c r="Q51" s="10">
        <v>75</v>
      </c>
      <c r="R51" s="10" t="s">
        <v>66</v>
      </c>
      <c r="S51" s="10">
        <v>299.81</v>
      </c>
      <c r="T51" s="10">
        <v>59.74</v>
      </c>
      <c r="U51" s="18">
        <v>43542</v>
      </c>
      <c r="V51" s="18">
        <v>47194</v>
      </c>
      <c r="W51" s="10" t="s">
        <v>10</v>
      </c>
      <c r="X51" s="10" t="s">
        <v>17</v>
      </c>
    </row>
    <row r="52" spans="1:24" ht="60" customHeight="1" x14ac:dyDescent="0.25">
      <c r="A52" s="10">
        <f t="shared" si="0"/>
        <v>49</v>
      </c>
      <c r="B52" s="11" t="s">
        <v>236</v>
      </c>
      <c r="C52" s="10" t="s">
        <v>237</v>
      </c>
      <c r="D52" s="10" t="s">
        <v>238</v>
      </c>
      <c r="E52" s="10" t="s">
        <v>0</v>
      </c>
      <c r="F52" s="11" t="s">
        <v>239</v>
      </c>
      <c r="G52" s="11"/>
      <c r="H52" s="11"/>
      <c r="I52" s="11">
        <v>1975</v>
      </c>
      <c r="J52" s="11" t="s">
        <v>240</v>
      </c>
      <c r="K52" s="15" t="s">
        <v>241</v>
      </c>
      <c r="L52" s="15" t="s">
        <v>56</v>
      </c>
      <c r="M52" s="11" t="s">
        <v>26</v>
      </c>
      <c r="N52" s="10">
        <v>5347.65</v>
      </c>
      <c r="O52" s="10">
        <v>13903.89</v>
      </c>
      <c r="P52" s="10">
        <v>5</v>
      </c>
      <c r="Q52" s="10">
        <v>153.29</v>
      </c>
      <c r="R52" s="10" t="s">
        <v>57</v>
      </c>
      <c r="S52" s="10">
        <v>222.73</v>
      </c>
      <c r="T52" s="10">
        <v>66.540000000000006</v>
      </c>
      <c r="U52" s="18">
        <v>43549</v>
      </c>
      <c r="V52" s="18">
        <v>47201</v>
      </c>
      <c r="W52" s="10" t="s">
        <v>10</v>
      </c>
      <c r="X52" s="10" t="s">
        <v>17</v>
      </c>
    </row>
    <row r="53" spans="1:24" ht="60" customHeight="1" x14ac:dyDescent="0.25">
      <c r="A53" s="10">
        <f t="shared" si="0"/>
        <v>50</v>
      </c>
      <c r="B53" s="11" t="s">
        <v>242</v>
      </c>
      <c r="C53" s="10" t="s">
        <v>243</v>
      </c>
      <c r="D53" s="10" t="s">
        <v>238</v>
      </c>
      <c r="E53" s="10" t="s">
        <v>0</v>
      </c>
      <c r="F53" s="11" t="s">
        <v>244</v>
      </c>
      <c r="G53" s="11"/>
      <c r="H53" s="11"/>
      <c r="I53" s="11">
        <v>1968</v>
      </c>
      <c r="J53" s="11" t="s">
        <v>240</v>
      </c>
      <c r="K53" s="15" t="s">
        <v>241</v>
      </c>
      <c r="L53" s="15" t="s">
        <v>56</v>
      </c>
      <c r="M53" s="11" t="s">
        <v>26</v>
      </c>
      <c r="N53" s="10">
        <v>14050.91</v>
      </c>
      <c r="O53" s="10">
        <v>39342.550000000003</v>
      </c>
      <c r="P53" s="10">
        <v>9</v>
      </c>
      <c r="Q53" s="10">
        <v>217.33</v>
      </c>
      <c r="R53" s="10" t="s">
        <v>57</v>
      </c>
      <c r="S53" s="10">
        <v>291.13</v>
      </c>
      <c r="T53" s="10">
        <v>78.86</v>
      </c>
      <c r="U53" s="18">
        <v>43549</v>
      </c>
      <c r="V53" s="18">
        <v>47201</v>
      </c>
      <c r="W53" s="10" t="s">
        <v>10</v>
      </c>
      <c r="X53" s="10" t="s">
        <v>17</v>
      </c>
    </row>
    <row r="54" spans="1:24" ht="60" customHeight="1" x14ac:dyDescent="0.25">
      <c r="A54" s="10">
        <f t="shared" si="0"/>
        <v>51</v>
      </c>
      <c r="B54" s="11" t="s">
        <v>245</v>
      </c>
      <c r="C54" s="10" t="s">
        <v>246</v>
      </c>
      <c r="D54" s="10" t="s">
        <v>247</v>
      </c>
      <c r="E54" s="10" t="s">
        <v>3</v>
      </c>
      <c r="F54" s="11" t="s">
        <v>248</v>
      </c>
      <c r="G54" s="11"/>
      <c r="H54" s="11"/>
      <c r="I54" s="11">
        <v>1911</v>
      </c>
      <c r="J54" s="20" t="s">
        <v>209</v>
      </c>
      <c r="K54" s="15" t="s">
        <v>210</v>
      </c>
      <c r="L54" s="15" t="s">
        <v>56</v>
      </c>
      <c r="M54" s="11" t="s">
        <v>24</v>
      </c>
      <c r="N54" s="10">
        <v>8154</v>
      </c>
      <c r="O54" s="10">
        <v>24462</v>
      </c>
      <c r="P54" s="10">
        <v>4</v>
      </c>
      <c r="Q54" s="10">
        <v>51</v>
      </c>
      <c r="R54" s="10" t="s">
        <v>66</v>
      </c>
      <c r="S54" s="10">
        <v>215</v>
      </c>
      <c r="T54" s="10">
        <v>43</v>
      </c>
      <c r="U54" s="18">
        <v>43550</v>
      </c>
      <c r="V54" s="18">
        <v>47202</v>
      </c>
      <c r="W54" s="10" t="s">
        <v>13</v>
      </c>
      <c r="X54" s="10" t="s">
        <v>17</v>
      </c>
    </row>
    <row r="55" spans="1:24" ht="60" customHeight="1" x14ac:dyDescent="0.25">
      <c r="A55" s="10">
        <f t="shared" si="0"/>
        <v>52</v>
      </c>
      <c r="B55" s="11" t="s">
        <v>139</v>
      </c>
      <c r="C55" s="10" t="s">
        <v>74</v>
      </c>
      <c r="D55" s="10" t="s">
        <v>75</v>
      </c>
      <c r="E55" s="10" t="s">
        <v>5</v>
      </c>
      <c r="F55" s="11" t="s">
        <v>249</v>
      </c>
      <c r="G55" s="11"/>
      <c r="H55" s="11"/>
      <c r="I55" s="11">
        <v>1962</v>
      </c>
      <c r="J55" s="10" t="s">
        <v>93</v>
      </c>
      <c r="K55" s="15" t="s">
        <v>94</v>
      </c>
      <c r="L55" s="15" t="s">
        <v>56</v>
      </c>
      <c r="M55" s="11" t="s">
        <v>22</v>
      </c>
      <c r="N55" s="10">
        <v>1156</v>
      </c>
      <c r="O55" s="10">
        <v>3815</v>
      </c>
      <c r="P55" s="10">
        <v>2</v>
      </c>
      <c r="Q55" s="10">
        <v>79.400000000000006</v>
      </c>
      <c r="R55" s="10" t="s">
        <v>66</v>
      </c>
      <c r="S55" s="10">
        <v>395</v>
      </c>
      <c r="T55" s="10">
        <v>78</v>
      </c>
      <c r="U55" s="18">
        <v>43545</v>
      </c>
      <c r="V55" s="18">
        <v>47197</v>
      </c>
      <c r="W55" s="10" t="s">
        <v>10</v>
      </c>
      <c r="X55" s="10" t="s">
        <v>17</v>
      </c>
    </row>
    <row r="56" spans="1:24" ht="60" customHeight="1" x14ac:dyDescent="0.25">
      <c r="A56" s="10">
        <f t="shared" si="0"/>
        <v>53</v>
      </c>
      <c r="B56" s="27" t="s">
        <v>250</v>
      </c>
      <c r="C56" s="10" t="s">
        <v>251</v>
      </c>
      <c r="D56" s="24" t="s">
        <v>238</v>
      </c>
      <c r="E56" s="10" t="s">
        <v>5</v>
      </c>
      <c r="F56" s="28" t="s">
        <v>252</v>
      </c>
      <c r="G56" s="11"/>
      <c r="H56" s="11"/>
      <c r="I56" s="11">
        <v>1971</v>
      </c>
      <c r="J56" s="20" t="s">
        <v>131</v>
      </c>
      <c r="K56" s="15" t="s">
        <v>132</v>
      </c>
      <c r="L56" s="15" t="s">
        <v>56</v>
      </c>
      <c r="M56" s="11" t="s">
        <v>26</v>
      </c>
      <c r="N56" s="10">
        <v>857</v>
      </c>
      <c r="O56" s="10">
        <v>2572</v>
      </c>
      <c r="P56" s="10">
        <v>2</v>
      </c>
      <c r="Q56" s="10">
        <v>104</v>
      </c>
      <c r="R56" s="10" t="s">
        <v>66</v>
      </c>
      <c r="S56" s="10">
        <v>389</v>
      </c>
      <c r="T56" s="10">
        <v>102</v>
      </c>
      <c r="U56" s="18">
        <v>43544</v>
      </c>
      <c r="V56" s="18">
        <v>47196</v>
      </c>
      <c r="W56" s="10" t="s">
        <v>10</v>
      </c>
      <c r="X56" s="10" t="s">
        <v>17</v>
      </c>
    </row>
    <row r="57" spans="1:24" ht="60" customHeight="1" x14ac:dyDescent="0.25">
      <c r="A57" s="10">
        <f t="shared" si="0"/>
        <v>54</v>
      </c>
      <c r="B57" s="11" t="s">
        <v>253</v>
      </c>
      <c r="C57" s="10" t="s">
        <v>254</v>
      </c>
      <c r="D57" s="10" t="s">
        <v>255</v>
      </c>
      <c r="E57" s="10" t="s">
        <v>2</v>
      </c>
      <c r="F57" s="11" t="s">
        <v>256</v>
      </c>
      <c r="G57" s="11"/>
      <c r="H57" s="11"/>
      <c r="I57" s="11"/>
      <c r="J57" s="10" t="s">
        <v>93</v>
      </c>
      <c r="K57" s="15" t="s">
        <v>94</v>
      </c>
      <c r="L57" s="15" t="s">
        <v>56</v>
      </c>
      <c r="M57" s="11" t="s">
        <v>24</v>
      </c>
      <c r="N57" s="10">
        <v>520.5</v>
      </c>
      <c r="O57" s="10">
        <v>1535</v>
      </c>
      <c r="P57" s="10">
        <v>2</v>
      </c>
      <c r="Q57" s="10">
        <v>90.8</v>
      </c>
      <c r="R57" s="10" t="s">
        <v>66</v>
      </c>
      <c r="S57" s="10">
        <v>331</v>
      </c>
      <c r="T57" s="10">
        <v>65</v>
      </c>
      <c r="U57" s="18">
        <v>43523</v>
      </c>
      <c r="V57" s="18">
        <v>47175</v>
      </c>
      <c r="W57" s="10" t="s">
        <v>10</v>
      </c>
      <c r="X57" s="10" t="s">
        <v>17</v>
      </c>
    </row>
    <row r="58" spans="1:24" ht="60" customHeight="1" x14ac:dyDescent="0.25">
      <c r="A58" s="10">
        <f t="shared" si="0"/>
        <v>55</v>
      </c>
      <c r="B58" s="11" t="s">
        <v>257</v>
      </c>
      <c r="C58" s="10" t="s">
        <v>258</v>
      </c>
      <c r="D58" s="10" t="s">
        <v>75</v>
      </c>
      <c r="E58" s="10" t="s">
        <v>2</v>
      </c>
      <c r="F58" s="24" t="s">
        <v>259</v>
      </c>
      <c r="G58" s="11"/>
      <c r="H58" s="11"/>
      <c r="I58" s="11" t="s">
        <v>260</v>
      </c>
      <c r="J58" s="11" t="s">
        <v>261</v>
      </c>
      <c r="K58" s="15" t="s">
        <v>262</v>
      </c>
      <c r="L58" s="15" t="s">
        <v>56</v>
      </c>
      <c r="M58" s="11" t="s">
        <v>15</v>
      </c>
      <c r="N58" s="10">
        <v>453</v>
      </c>
      <c r="O58" s="10">
        <v>1920</v>
      </c>
      <c r="P58" s="10">
        <v>4</v>
      </c>
      <c r="Q58" s="10">
        <v>35.1</v>
      </c>
      <c r="R58" s="10" t="s">
        <v>66</v>
      </c>
      <c r="S58" s="10">
        <v>152</v>
      </c>
      <c r="T58" s="10">
        <v>30</v>
      </c>
      <c r="U58" s="18">
        <v>43546</v>
      </c>
      <c r="V58" s="18">
        <v>47198</v>
      </c>
      <c r="W58" s="10" t="s">
        <v>13</v>
      </c>
      <c r="X58" s="10" t="s">
        <v>17</v>
      </c>
    </row>
    <row r="59" spans="1:24" ht="60" customHeight="1" x14ac:dyDescent="0.25">
      <c r="A59" s="10">
        <f t="shared" si="0"/>
        <v>56</v>
      </c>
      <c r="B59" s="11" t="s">
        <v>263</v>
      </c>
      <c r="C59" s="10" t="s">
        <v>258</v>
      </c>
      <c r="D59" s="10" t="s">
        <v>75</v>
      </c>
      <c r="E59" s="10" t="s">
        <v>2</v>
      </c>
      <c r="F59" s="24" t="s">
        <v>259</v>
      </c>
      <c r="G59" s="11"/>
      <c r="H59" s="11"/>
      <c r="I59" s="11" t="s">
        <v>264</v>
      </c>
      <c r="J59" s="11" t="s">
        <v>261</v>
      </c>
      <c r="K59" s="15" t="s">
        <v>262</v>
      </c>
      <c r="L59" s="15" t="s">
        <v>56</v>
      </c>
      <c r="M59" s="11" t="s">
        <v>22</v>
      </c>
      <c r="N59" s="10">
        <v>390</v>
      </c>
      <c r="O59" s="10">
        <v>1560</v>
      </c>
      <c r="P59" s="10">
        <v>1</v>
      </c>
      <c r="Q59" s="10">
        <v>86</v>
      </c>
      <c r="R59" s="10" t="s">
        <v>66</v>
      </c>
      <c r="S59" s="10">
        <v>217</v>
      </c>
      <c r="T59" s="10">
        <v>43</v>
      </c>
      <c r="U59" s="18">
        <v>43546</v>
      </c>
      <c r="V59" s="18">
        <v>47198</v>
      </c>
      <c r="W59" s="10" t="s">
        <v>10</v>
      </c>
      <c r="X59" s="10" t="s">
        <v>17</v>
      </c>
    </row>
    <row r="60" spans="1:24" ht="60" customHeight="1" x14ac:dyDescent="0.25">
      <c r="A60" s="10">
        <f t="shared" si="0"/>
        <v>57</v>
      </c>
      <c r="B60" s="11" t="s">
        <v>265</v>
      </c>
      <c r="C60" s="10" t="s">
        <v>258</v>
      </c>
      <c r="D60" s="10" t="s">
        <v>75</v>
      </c>
      <c r="E60" s="10" t="s">
        <v>2</v>
      </c>
      <c r="F60" s="24" t="s">
        <v>259</v>
      </c>
      <c r="G60" s="11"/>
      <c r="H60" s="11"/>
      <c r="I60" s="11" t="s">
        <v>266</v>
      </c>
      <c r="J60" s="11" t="s">
        <v>261</v>
      </c>
      <c r="K60" s="15" t="s">
        <v>262</v>
      </c>
      <c r="L60" s="15" t="s">
        <v>56</v>
      </c>
      <c r="M60" s="10" t="s">
        <v>267</v>
      </c>
      <c r="N60" s="10">
        <v>594</v>
      </c>
      <c r="O60" s="10">
        <v>3928</v>
      </c>
      <c r="P60" s="10">
        <v>3</v>
      </c>
      <c r="Q60" s="13" t="s">
        <v>268</v>
      </c>
      <c r="R60" s="7"/>
      <c r="S60" s="7"/>
      <c r="T60" s="8"/>
      <c r="U60" s="18">
        <v>43546</v>
      </c>
      <c r="V60" s="11" t="s">
        <v>268</v>
      </c>
      <c r="W60" s="10" t="s">
        <v>16</v>
      </c>
      <c r="X60" s="10" t="s">
        <v>14</v>
      </c>
    </row>
    <row r="61" spans="1:24" ht="60" customHeight="1" x14ac:dyDescent="0.25">
      <c r="A61" s="10">
        <f t="shared" si="0"/>
        <v>58</v>
      </c>
      <c r="B61" s="11" t="s">
        <v>269</v>
      </c>
      <c r="C61" s="10" t="s">
        <v>74</v>
      </c>
      <c r="D61" s="10" t="s">
        <v>75</v>
      </c>
      <c r="E61" s="10" t="s">
        <v>2</v>
      </c>
      <c r="F61" s="24" t="s">
        <v>259</v>
      </c>
      <c r="G61" s="11"/>
      <c r="H61" s="11"/>
      <c r="I61" s="11">
        <v>1834</v>
      </c>
      <c r="J61" s="11" t="s">
        <v>261</v>
      </c>
      <c r="K61" s="15" t="s">
        <v>262</v>
      </c>
      <c r="L61" s="15" t="s">
        <v>56</v>
      </c>
      <c r="M61" s="11" t="s">
        <v>20</v>
      </c>
      <c r="N61" s="10">
        <v>1910</v>
      </c>
      <c r="O61" s="10">
        <v>8213</v>
      </c>
      <c r="P61" s="10">
        <v>2</v>
      </c>
      <c r="Q61" s="10">
        <v>70</v>
      </c>
      <c r="R61" s="10" t="s">
        <v>66</v>
      </c>
      <c r="S61" s="10">
        <v>285</v>
      </c>
      <c r="T61" s="10">
        <v>56</v>
      </c>
      <c r="U61" s="18">
        <v>43546</v>
      </c>
      <c r="V61" s="18">
        <v>47198</v>
      </c>
      <c r="W61" s="10" t="s">
        <v>10</v>
      </c>
      <c r="X61" s="10" t="s">
        <v>17</v>
      </c>
    </row>
    <row r="62" spans="1:24" ht="60" customHeight="1" x14ac:dyDescent="0.25">
      <c r="A62" s="10">
        <f t="shared" si="0"/>
        <v>59</v>
      </c>
      <c r="B62" s="11" t="s">
        <v>270</v>
      </c>
      <c r="C62" s="10" t="s">
        <v>271</v>
      </c>
      <c r="D62" s="10" t="s">
        <v>255</v>
      </c>
      <c r="E62" s="10" t="s">
        <v>2</v>
      </c>
      <c r="F62" s="11" t="s">
        <v>272</v>
      </c>
      <c r="G62" s="11"/>
      <c r="H62" s="11"/>
      <c r="I62" s="11" t="s">
        <v>157</v>
      </c>
      <c r="J62" s="24" t="s">
        <v>93</v>
      </c>
      <c r="K62" s="15" t="s">
        <v>94</v>
      </c>
      <c r="L62" s="15" t="s">
        <v>56</v>
      </c>
      <c r="M62" s="11" t="s">
        <v>24</v>
      </c>
      <c r="N62" s="10">
        <v>491.5</v>
      </c>
      <c r="O62" s="10">
        <v>1394</v>
      </c>
      <c r="P62" s="10">
        <v>2</v>
      </c>
      <c r="Q62" s="10">
        <v>90.5</v>
      </c>
      <c r="R62" s="10" t="s">
        <v>66</v>
      </c>
      <c r="S62" s="10">
        <v>325</v>
      </c>
      <c r="T62" s="10">
        <v>64</v>
      </c>
      <c r="U62" s="11" t="s">
        <v>273</v>
      </c>
      <c r="V62" s="18">
        <v>47177</v>
      </c>
      <c r="W62" s="10" t="s">
        <v>10</v>
      </c>
      <c r="X62" s="10" t="s">
        <v>17</v>
      </c>
    </row>
    <row r="63" spans="1:24" ht="60" customHeight="1" x14ac:dyDescent="0.25">
      <c r="A63" s="10">
        <f t="shared" si="0"/>
        <v>60</v>
      </c>
      <c r="B63" s="11" t="s">
        <v>274</v>
      </c>
      <c r="C63" s="10" t="s">
        <v>52</v>
      </c>
      <c r="D63" s="10" t="s">
        <v>52</v>
      </c>
      <c r="E63" s="10" t="s">
        <v>0</v>
      </c>
      <c r="F63" s="11" t="s">
        <v>275</v>
      </c>
      <c r="G63" s="11"/>
      <c r="H63" s="11"/>
      <c r="I63" s="11">
        <v>2012</v>
      </c>
      <c r="J63" s="11" t="s">
        <v>276</v>
      </c>
      <c r="K63" s="15" t="s">
        <v>277</v>
      </c>
      <c r="L63" s="15" t="s">
        <v>56</v>
      </c>
      <c r="M63" s="11" t="s">
        <v>20</v>
      </c>
      <c r="N63" s="10">
        <v>38786</v>
      </c>
      <c r="O63" s="10">
        <v>116357</v>
      </c>
      <c r="P63" s="10">
        <v>25</v>
      </c>
      <c r="Q63" s="10">
        <v>97</v>
      </c>
      <c r="R63" s="10" t="s">
        <v>57</v>
      </c>
      <c r="S63" s="10">
        <v>168</v>
      </c>
      <c r="T63" s="10">
        <v>50</v>
      </c>
      <c r="U63" s="18">
        <v>43556</v>
      </c>
      <c r="V63" s="18">
        <v>47208</v>
      </c>
      <c r="W63" s="10" t="s">
        <v>10</v>
      </c>
      <c r="X63" s="10" t="s">
        <v>17</v>
      </c>
    </row>
    <row r="64" spans="1:24" ht="60" customHeight="1" x14ac:dyDescent="0.25">
      <c r="A64" s="10">
        <f t="shared" si="0"/>
        <v>61</v>
      </c>
      <c r="B64" s="11" t="s">
        <v>278</v>
      </c>
      <c r="C64" s="10" t="s">
        <v>52</v>
      </c>
      <c r="D64" s="10" t="s">
        <v>52</v>
      </c>
      <c r="E64" s="10" t="s">
        <v>0</v>
      </c>
      <c r="F64" s="11" t="s">
        <v>275</v>
      </c>
      <c r="G64" s="11"/>
      <c r="H64" s="11"/>
      <c r="I64" s="11">
        <v>2011</v>
      </c>
      <c r="J64" s="11" t="s">
        <v>276</v>
      </c>
      <c r="K64" s="15" t="s">
        <v>277</v>
      </c>
      <c r="L64" s="15" t="s">
        <v>56</v>
      </c>
      <c r="M64" s="11" t="s">
        <v>22</v>
      </c>
      <c r="N64" s="10">
        <v>19398</v>
      </c>
      <c r="O64" s="10">
        <v>60367</v>
      </c>
      <c r="P64" s="10">
        <v>25</v>
      </c>
      <c r="Q64" s="10">
        <v>111</v>
      </c>
      <c r="R64" s="10" t="s">
        <v>57</v>
      </c>
      <c r="S64" s="10">
        <v>187</v>
      </c>
      <c r="T64" s="10">
        <v>55</v>
      </c>
      <c r="U64" s="18">
        <v>43556</v>
      </c>
      <c r="V64" s="18">
        <v>47208</v>
      </c>
      <c r="W64" s="10" t="s">
        <v>10</v>
      </c>
      <c r="X64" s="10" t="s">
        <v>17</v>
      </c>
    </row>
    <row r="65" spans="1:24" ht="60" customHeight="1" x14ac:dyDescent="0.25">
      <c r="A65" s="10">
        <f t="shared" si="0"/>
        <v>62</v>
      </c>
      <c r="B65" s="11" t="s">
        <v>279</v>
      </c>
      <c r="C65" s="10" t="s">
        <v>85</v>
      </c>
      <c r="D65" s="10" t="s">
        <v>86</v>
      </c>
      <c r="E65" s="10" t="s">
        <v>2</v>
      </c>
      <c r="F65" s="11" t="s">
        <v>280</v>
      </c>
      <c r="G65" s="11"/>
      <c r="H65" s="11"/>
      <c r="I65" s="11">
        <v>1860</v>
      </c>
      <c r="J65" s="11" t="s">
        <v>88</v>
      </c>
      <c r="K65" s="15" t="s">
        <v>89</v>
      </c>
      <c r="L65" s="15" t="s">
        <v>56</v>
      </c>
      <c r="M65" s="11" t="s">
        <v>26</v>
      </c>
      <c r="N65" s="10">
        <v>10436.6</v>
      </c>
      <c r="O65" s="10">
        <v>46044.53</v>
      </c>
      <c r="P65" s="10">
        <v>4</v>
      </c>
      <c r="Q65" s="10">
        <v>80.900000000000006</v>
      </c>
      <c r="R65" s="10" t="s">
        <v>66</v>
      </c>
      <c r="S65" s="10">
        <v>214.6</v>
      </c>
      <c r="T65" s="10">
        <v>58.2</v>
      </c>
      <c r="U65" s="18">
        <v>43550</v>
      </c>
      <c r="V65" s="18">
        <v>47202</v>
      </c>
      <c r="W65" s="10" t="s">
        <v>13</v>
      </c>
      <c r="X65" s="10" t="s">
        <v>17</v>
      </c>
    </row>
    <row r="66" spans="1:24" ht="60" customHeight="1" x14ac:dyDescent="0.25">
      <c r="A66" s="10">
        <f t="shared" si="0"/>
        <v>63</v>
      </c>
      <c r="B66" s="11" t="s">
        <v>281</v>
      </c>
      <c r="C66" s="10" t="s">
        <v>85</v>
      </c>
      <c r="D66" s="10" t="s">
        <v>86</v>
      </c>
      <c r="E66" s="10" t="s">
        <v>2</v>
      </c>
      <c r="F66" s="11" t="s">
        <v>280</v>
      </c>
      <c r="G66" s="11"/>
      <c r="H66" s="11"/>
      <c r="I66" s="11" t="s">
        <v>282</v>
      </c>
      <c r="J66" s="11" t="s">
        <v>88</v>
      </c>
      <c r="K66" s="15" t="s">
        <v>89</v>
      </c>
      <c r="L66" s="15" t="s">
        <v>56</v>
      </c>
      <c r="M66" s="11" t="s">
        <v>24</v>
      </c>
      <c r="N66" s="10">
        <v>3843.1</v>
      </c>
      <c r="O66" s="10">
        <v>14116.28</v>
      </c>
      <c r="P66" s="10">
        <v>3</v>
      </c>
      <c r="Q66" s="10">
        <v>69.099999999999994</v>
      </c>
      <c r="R66" s="10" t="s">
        <v>66</v>
      </c>
      <c r="S66" s="10">
        <v>214.6</v>
      </c>
      <c r="T66" s="10">
        <v>58.2</v>
      </c>
      <c r="U66" s="18">
        <v>43550</v>
      </c>
      <c r="V66" s="18">
        <v>47202</v>
      </c>
      <c r="W66" s="10" t="s">
        <v>13</v>
      </c>
      <c r="X66" s="10" t="s">
        <v>11</v>
      </c>
    </row>
    <row r="67" spans="1:24" ht="60" customHeight="1" x14ac:dyDescent="0.25">
      <c r="A67" s="10">
        <f t="shared" si="0"/>
        <v>64</v>
      </c>
      <c r="B67" s="11" t="s">
        <v>283</v>
      </c>
      <c r="C67" s="10" t="s">
        <v>284</v>
      </c>
      <c r="D67" s="10" t="s">
        <v>285</v>
      </c>
      <c r="E67" s="10" t="s">
        <v>0</v>
      </c>
      <c r="F67" s="11" t="s">
        <v>286</v>
      </c>
      <c r="G67" s="11"/>
      <c r="H67" s="11"/>
      <c r="I67" s="11">
        <v>1960</v>
      </c>
      <c r="J67" s="11" t="s">
        <v>287</v>
      </c>
      <c r="K67" s="15" t="s">
        <v>288</v>
      </c>
      <c r="L67" s="15" t="s">
        <v>56</v>
      </c>
      <c r="M67" s="11" t="s">
        <v>26</v>
      </c>
      <c r="N67" s="10">
        <v>1927.1</v>
      </c>
      <c r="O67" s="10">
        <v>6941</v>
      </c>
      <c r="P67" s="10">
        <v>5</v>
      </c>
      <c r="Q67" s="10">
        <v>305.5</v>
      </c>
      <c r="R67" s="10" t="s">
        <v>57</v>
      </c>
      <c r="S67" s="10">
        <v>378</v>
      </c>
      <c r="T67" s="10">
        <v>75.5</v>
      </c>
      <c r="U67" s="18">
        <v>43558</v>
      </c>
      <c r="V67" s="18">
        <v>47210</v>
      </c>
      <c r="W67" s="10" t="s">
        <v>13</v>
      </c>
      <c r="X67" s="10" t="s">
        <v>17</v>
      </c>
    </row>
    <row r="68" spans="1:24" ht="60" customHeight="1" x14ac:dyDescent="0.25">
      <c r="A68" s="10">
        <f t="shared" si="0"/>
        <v>65</v>
      </c>
      <c r="B68" s="11" t="s">
        <v>289</v>
      </c>
      <c r="C68" s="10" t="s">
        <v>68</v>
      </c>
      <c r="D68" s="10" t="s">
        <v>69</v>
      </c>
      <c r="E68" s="10" t="s">
        <v>0</v>
      </c>
      <c r="F68" s="11" t="s">
        <v>290</v>
      </c>
      <c r="G68" s="11"/>
      <c r="H68" s="11"/>
      <c r="I68" s="11">
        <v>1983</v>
      </c>
      <c r="J68" s="11" t="s">
        <v>291</v>
      </c>
      <c r="K68" s="15" t="s">
        <v>292</v>
      </c>
      <c r="L68" s="15" t="s">
        <v>56</v>
      </c>
      <c r="M68" s="11" t="s">
        <v>26</v>
      </c>
      <c r="N68" s="10">
        <v>13231.71</v>
      </c>
      <c r="O68" s="10">
        <v>37463.47</v>
      </c>
      <c r="P68" s="10">
        <v>9</v>
      </c>
      <c r="Q68" s="10">
        <v>174.61</v>
      </c>
      <c r="R68" s="10" t="s">
        <v>57</v>
      </c>
      <c r="S68" s="10">
        <v>228.25</v>
      </c>
      <c r="T68" s="10">
        <v>59.81</v>
      </c>
      <c r="U68" s="18">
        <v>43554</v>
      </c>
      <c r="V68" s="18">
        <v>47206</v>
      </c>
      <c r="W68" s="10" t="s">
        <v>10</v>
      </c>
      <c r="X68" s="10" t="s">
        <v>17</v>
      </c>
    </row>
    <row r="69" spans="1:24" ht="60" customHeight="1" x14ac:dyDescent="0.25">
      <c r="A69" s="10">
        <f t="shared" si="0"/>
        <v>66</v>
      </c>
      <c r="B69" s="11" t="s">
        <v>293</v>
      </c>
      <c r="C69" s="10" t="s">
        <v>102</v>
      </c>
      <c r="D69" s="10" t="s">
        <v>103</v>
      </c>
      <c r="E69" s="10" t="s">
        <v>0</v>
      </c>
      <c r="F69" s="11" t="s">
        <v>294</v>
      </c>
      <c r="G69" s="11"/>
      <c r="H69" s="11"/>
      <c r="I69" s="11">
        <v>1992</v>
      </c>
      <c r="J69" s="11" t="s">
        <v>225</v>
      </c>
      <c r="K69" s="15" t="s">
        <v>226</v>
      </c>
      <c r="L69" s="15" t="s">
        <v>295</v>
      </c>
      <c r="M69" s="11" t="s">
        <v>24</v>
      </c>
      <c r="N69" s="10">
        <v>7397.68</v>
      </c>
      <c r="O69" s="10">
        <v>26409</v>
      </c>
      <c r="P69" s="10">
        <v>9</v>
      </c>
      <c r="Q69" s="10">
        <v>152</v>
      </c>
      <c r="R69" s="10" t="s">
        <v>57</v>
      </c>
      <c r="S69" s="10">
        <v>202</v>
      </c>
      <c r="T69" s="10">
        <v>40</v>
      </c>
      <c r="U69" s="18">
        <v>43556</v>
      </c>
      <c r="V69" s="18">
        <v>47208</v>
      </c>
      <c r="W69" s="10" t="s">
        <v>10</v>
      </c>
      <c r="X69" s="10" t="s">
        <v>17</v>
      </c>
    </row>
    <row r="70" spans="1:24" ht="60" customHeight="1" x14ac:dyDescent="0.25">
      <c r="A70" s="10">
        <f t="shared" si="0"/>
        <v>67</v>
      </c>
      <c r="B70" s="11" t="s">
        <v>296</v>
      </c>
      <c r="C70" s="10" t="s">
        <v>297</v>
      </c>
      <c r="D70" s="10" t="s">
        <v>298</v>
      </c>
      <c r="E70" s="10" t="s">
        <v>0</v>
      </c>
      <c r="F70" s="11" t="s">
        <v>299</v>
      </c>
      <c r="G70" s="11"/>
      <c r="H70" s="11"/>
      <c r="I70" s="11">
        <v>1967</v>
      </c>
      <c r="J70" s="11" t="s">
        <v>300</v>
      </c>
      <c r="K70" s="15" t="s">
        <v>301</v>
      </c>
      <c r="L70" s="15" t="s">
        <v>295</v>
      </c>
      <c r="M70" s="11" t="s">
        <v>26</v>
      </c>
      <c r="N70" s="10">
        <v>6099.28</v>
      </c>
      <c r="O70" s="10">
        <v>17382.95</v>
      </c>
      <c r="P70" s="10">
        <v>5</v>
      </c>
      <c r="Q70" s="10">
        <v>219.95</v>
      </c>
      <c r="R70" s="10" t="s">
        <v>57</v>
      </c>
      <c r="S70" s="10">
        <v>287.37</v>
      </c>
      <c r="T70" s="10">
        <v>57.15</v>
      </c>
      <c r="U70" s="18">
        <v>43547</v>
      </c>
      <c r="V70" s="18">
        <v>47199</v>
      </c>
      <c r="W70" s="10" t="s">
        <v>13</v>
      </c>
      <c r="X70" s="10" t="s">
        <v>14</v>
      </c>
    </row>
    <row r="71" spans="1:24" ht="60" customHeight="1" x14ac:dyDescent="0.25">
      <c r="A71" s="10">
        <f t="shared" si="0"/>
        <v>68</v>
      </c>
      <c r="B71" s="11" t="s">
        <v>302</v>
      </c>
      <c r="C71" s="10" t="s">
        <v>303</v>
      </c>
      <c r="D71" s="10" t="s">
        <v>75</v>
      </c>
      <c r="E71" s="10" t="s">
        <v>5</v>
      </c>
      <c r="F71" s="11" t="s">
        <v>304</v>
      </c>
      <c r="G71" s="11"/>
      <c r="H71" s="11"/>
      <c r="I71" s="11">
        <v>2003</v>
      </c>
      <c r="J71" s="11" t="s">
        <v>158</v>
      </c>
      <c r="K71" s="15" t="s">
        <v>159</v>
      </c>
      <c r="L71" s="15" t="s">
        <v>295</v>
      </c>
      <c r="M71" s="11" t="s">
        <v>26</v>
      </c>
      <c r="N71" s="10">
        <v>79</v>
      </c>
      <c r="O71" s="10">
        <v>218</v>
      </c>
      <c r="P71" s="10">
        <v>2</v>
      </c>
      <c r="Q71" s="10">
        <v>169.6</v>
      </c>
      <c r="R71" s="10" t="s">
        <v>66</v>
      </c>
      <c r="S71" s="10">
        <v>615</v>
      </c>
      <c r="T71" s="10">
        <v>121</v>
      </c>
      <c r="U71" s="18">
        <v>43549</v>
      </c>
      <c r="V71" s="18">
        <v>47201</v>
      </c>
      <c r="W71" s="10" t="s">
        <v>10</v>
      </c>
      <c r="X71" s="10" t="s">
        <v>17</v>
      </c>
    </row>
    <row r="72" spans="1:24" ht="60" customHeight="1" x14ac:dyDescent="0.25">
      <c r="A72" s="10">
        <f t="shared" si="0"/>
        <v>69</v>
      </c>
      <c r="B72" s="10" t="s">
        <v>221</v>
      </c>
      <c r="C72" s="10" t="s">
        <v>303</v>
      </c>
      <c r="D72" s="10" t="s">
        <v>75</v>
      </c>
      <c r="E72" s="10" t="s">
        <v>5</v>
      </c>
      <c r="F72" s="11" t="s">
        <v>305</v>
      </c>
      <c r="G72" s="11"/>
      <c r="H72" s="11"/>
      <c r="I72" s="11">
        <v>1982</v>
      </c>
      <c r="J72" s="11" t="s">
        <v>158</v>
      </c>
      <c r="K72" s="15" t="s">
        <v>159</v>
      </c>
      <c r="L72" s="15" t="s">
        <v>295</v>
      </c>
      <c r="M72" s="11" t="s">
        <v>26</v>
      </c>
      <c r="N72" s="10">
        <v>2197</v>
      </c>
      <c r="O72" s="10">
        <v>7087</v>
      </c>
      <c r="P72" s="10">
        <v>3</v>
      </c>
      <c r="Q72" s="10">
        <v>113</v>
      </c>
      <c r="R72" s="10" t="s">
        <v>66</v>
      </c>
      <c r="S72" s="10">
        <v>571</v>
      </c>
      <c r="T72" s="10">
        <v>112</v>
      </c>
      <c r="U72" s="18">
        <v>43549</v>
      </c>
      <c r="V72" s="18">
        <v>47201</v>
      </c>
      <c r="W72" s="10" t="s">
        <v>10</v>
      </c>
      <c r="X72" s="10" t="s">
        <v>17</v>
      </c>
    </row>
    <row r="73" spans="1:24" ht="60" customHeight="1" x14ac:dyDescent="0.25">
      <c r="A73" s="10">
        <f t="shared" si="0"/>
        <v>70</v>
      </c>
      <c r="B73" s="10" t="s">
        <v>306</v>
      </c>
      <c r="C73" s="10" t="s">
        <v>74</v>
      </c>
      <c r="D73" s="10" t="s">
        <v>75</v>
      </c>
      <c r="E73" s="10" t="s">
        <v>5</v>
      </c>
      <c r="F73" s="11" t="s">
        <v>307</v>
      </c>
      <c r="G73" s="11"/>
      <c r="H73" s="11"/>
      <c r="I73" s="11">
        <v>1962</v>
      </c>
      <c r="J73" s="11" t="s">
        <v>158</v>
      </c>
      <c r="K73" s="15" t="s">
        <v>159</v>
      </c>
      <c r="L73" s="15" t="s">
        <v>295</v>
      </c>
      <c r="M73" s="11" t="s">
        <v>26</v>
      </c>
      <c r="N73" s="10">
        <v>6838</v>
      </c>
      <c r="O73" s="10">
        <v>21199</v>
      </c>
      <c r="P73" s="10">
        <v>3</v>
      </c>
      <c r="Q73" s="10">
        <v>138.30000000000001</v>
      </c>
      <c r="R73" s="10" t="s">
        <v>66</v>
      </c>
      <c r="S73" s="10">
        <v>656</v>
      </c>
      <c r="T73" s="10">
        <v>129</v>
      </c>
      <c r="U73" s="18">
        <v>43549</v>
      </c>
      <c r="V73" s="18">
        <v>47201</v>
      </c>
      <c r="W73" s="10" t="s">
        <v>10</v>
      </c>
      <c r="X73" s="10" t="s">
        <v>17</v>
      </c>
    </row>
    <row r="74" spans="1:24" ht="60" customHeight="1" x14ac:dyDescent="0.25">
      <c r="A74" s="10">
        <f t="shared" si="0"/>
        <v>71</v>
      </c>
      <c r="B74" s="11" t="s">
        <v>308</v>
      </c>
      <c r="C74" s="10" t="s">
        <v>74</v>
      </c>
      <c r="D74" s="10" t="s">
        <v>75</v>
      </c>
      <c r="E74" s="10" t="s">
        <v>2</v>
      </c>
      <c r="F74" s="11" t="s">
        <v>309</v>
      </c>
      <c r="G74" s="11"/>
      <c r="H74" s="11"/>
      <c r="I74" s="11">
        <v>1979</v>
      </c>
      <c r="J74" s="11" t="s">
        <v>158</v>
      </c>
      <c r="K74" s="15" t="s">
        <v>159</v>
      </c>
      <c r="L74" s="15" t="s">
        <v>295</v>
      </c>
      <c r="M74" s="11" t="s">
        <v>24</v>
      </c>
      <c r="N74" s="10">
        <v>1672</v>
      </c>
      <c r="O74" s="10">
        <v>6426</v>
      </c>
      <c r="P74" s="10">
        <v>2</v>
      </c>
      <c r="Q74" s="10">
        <v>103.9</v>
      </c>
      <c r="R74" s="10" t="s">
        <v>66</v>
      </c>
      <c r="S74" s="10">
        <v>593</v>
      </c>
      <c r="T74" s="10">
        <v>117</v>
      </c>
      <c r="U74" s="18">
        <v>43549</v>
      </c>
      <c r="V74" s="18">
        <v>47201</v>
      </c>
      <c r="W74" s="10" t="s">
        <v>10</v>
      </c>
      <c r="X74" s="10" t="s">
        <v>17</v>
      </c>
    </row>
    <row r="75" spans="1:24" ht="60" customHeight="1" x14ac:dyDescent="0.25">
      <c r="A75" s="10">
        <f t="shared" si="0"/>
        <v>72</v>
      </c>
      <c r="B75" s="11" t="s">
        <v>310</v>
      </c>
      <c r="C75" s="10" t="s">
        <v>182</v>
      </c>
      <c r="D75" s="10" t="s">
        <v>174</v>
      </c>
      <c r="E75" s="10" t="s">
        <v>2</v>
      </c>
      <c r="F75" s="11" t="s">
        <v>311</v>
      </c>
      <c r="G75" s="11"/>
      <c r="H75" s="11"/>
      <c r="I75" s="11">
        <v>2010</v>
      </c>
      <c r="J75" s="24" t="s">
        <v>105</v>
      </c>
      <c r="K75" s="15" t="s">
        <v>312</v>
      </c>
      <c r="L75" s="15" t="s">
        <v>56</v>
      </c>
      <c r="M75" s="11" t="s">
        <v>22</v>
      </c>
      <c r="N75" s="10">
        <v>2080</v>
      </c>
      <c r="O75" s="10">
        <v>5246</v>
      </c>
      <c r="P75" s="10">
        <v>3</v>
      </c>
      <c r="Q75" s="10">
        <v>77.099999999999994</v>
      </c>
      <c r="R75" s="10" t="s">
        <v>66</v>
      </c>
      <c r="S75" s="10">
        <v>252.8</v>
      </c>
      <c r="T75" s="10">
        <v>49.5</v>
      </c>
      <c r="U75" s="18">
        <v>43539</v>
      </c>
      <c r="V75" s="18">
        <v>47191</v>
      </c>
      <c r="W75" s="10" t="s">
        <v>10</v>
      </c>
      <c r="X75" s="10" t="s">
        <v>17</v>
      </c>
    </row>
    <row r="76" spans="1:24" ht="60" customHeight="1" x14ac:dyDescent="0.25">
      <c r="A76" s="10">
        <f t="shared" si="0"/>
        <v>73</v>
      </c>
      <c r="B76" s="11" t="s">
        <v>313</v>
      </c>
      <c r="C76" s="10" t="s">
        <v>204</v>
      </c>
      <c r="D76" s="10" t="s">
        <v>75</v>
      </c>
      <c r="E76" s="10" t="s">
        <v>5</v>
      </c>
      <c r="F76" s="11" t="s">
        <v>314</v>
      </c>
      <c r="G76" s="11"/>
      <c r="H76" s="11"/>
      <c r="I76" s="11">
        <v>1963</v>
      </c>
      <c r="J76" s="11" t="s">
        <v>93</v>
      </c>
      <c r="K76" s="15" t="s">
        <v>94</v>
      </c>
      <c r="L76" s="15" t="s">
        <v>56</v>
      </c>
      <c r="M76" s="11" t="s">
        <v>26</v>
      </c>
      <c r="N76" s="10">
        <v>174</v>
      </c>
      <c r="O76" s="10">
        <v>593</v>
      </c>
      <c r="P76" s="10">
        <v>2</v>
      </c>
      <c r="Q76" s="10">
        <v>163</v>
      </c>
      <c r="R76" s="10" t="s">
        <v>66</v>
      </c>
      <c r="S76" s="10">
        <v>763</v>
      </c>
      <c r="T76" s="10">
        <v>148</v>
      </c>
      <c r="U76" s="18">
        <v>43536</v>
      </c>
      <c r="V76" s="18">
        <v>47188</v>
      </c>
      <c r="W76" s="10" t="s">
        <v>10</v>
      </c>
      <c r="X76" s="10" t="s">
        <v>17</v>
      </c>
    </row>
    <row r="77" spans="1:24" ht="60" customHeight="1" x14ac:dyDescent="0.25">
      <c r="A77" s="10">
        <f t="shared" si="0"/>
        <v>74</v>
      </c>
      <c r="B77" s="26" t="s">
        <v>315</v>
      </c>
      <c r="C77" s="10" t="s">
        <v>316</v>
      </c>
      <c r="D77" s="10" t="s">
        <v>317</v>
      </c>
      <c r="E77" s="10" t="s">
        <v>3</v>
      </c>
      <c r="F77" s="26" t="s">
        <v>318</v>
      </c>
      <c r="G77" s="11"/>
      <c r="H77" s="11"/>
      <c r="I77" s="11">
        <v>1910</v>
      </c>
      <c r="J77" s="11" t="s">
        <v>276</v>
      </c>
      <c r="K77" s="15" t="s">
        <v>277</v>
      </c>
      <c r="L77" s="15" t="s">
        <v>56</v>
      </c>
      <c r="M77" s="11" t="s">
        <v>22</v>
      </c>
      <c r="N77" s="10">
        <v>4120</v>
      </c>
      <c r="O77" s="10">
        <v>18464</v>
      </c>
      <c r="P77" s="10">
        <v>4</v>
      </c>
      <c r="Q77" s="10">
        <v>43</v>
      </c>
      <c r="R77" s="10" t="s">
        <v>66</v>
      </c>
      <c r="S77" s="10">
        <v>285</v>
      </c>
      <c r="T77" s="10">
        <v>81</v>
      </c>
      <c r="U77" s="18">
        <v>43560</v>
      </c>
      <c r="V77" s="18">
        <v>47212</v>
      </c>
      <c r="W77" s="10" t="s">
        <v>10</v>
      </c>
      <c r="X77" s="10" t="s">
        <v>17</v>
      </c>
    </row>
    <row r="78" spans="1:24" ht="60" customHeight="1" x14ac:dyDescent="0.25">
      <c r="A78" s="10">
        <f t="shared" si="0"/>
        <v>75</v>
      </c>
      <c r="B78" s="11" t="s">
        <v>319</v>
      </c>
      <c r="C78" s="10" t="s">
        <v>320</v>
      </c>
      <c r="D78" s="10" t="s">
        <v>79</v>
      </c>
      <c r="E78" s="10" t="s">
        <v>3</v>
      </c>
      <c r="F78" s="11" t="s">
        <v>321</v>
      </c>
      <c r="G78" s="11"/>
      <c r="H78" s="11"/>
      <c r="I78" s="11">
        <v>1912</v>
      </c>
      <c r="J78" s="10" t="s">
        <v>54</v>
      </c>
      <c r="K78" s="15" t="s">
        <v>55</v>
      </c>
      <c r="L78" s="15" t="s">
        <v>56</v>
      </c>
      <c r="M78" s="11" t="s">
        <v>26</v>
      </c>
      <c r="N78" s="10">
        <v>377</v>
      </c>
      <c r="O78" s="10">
        <v>1394</v>
      </c>
      <c r="P78" s="10">
        <v>2</v>
      </c>
      <c r="Q78" s="10">
        <v>76</v>
      </c>
      <c r="R78" s="10" t="s">
        <v>66</v>
      </c>
      <c r="S78" s="10">
        <v>396</v>
      </c>
      <c r="T78" s="10">
        <v>108</v>
      </c>
      <c r="U78" s="18">
        <v>43490</v>
      </c>
      <c r="V78" s="18">
        <v>47142</v>
      </c>
      <c r="W78" s="10" t="s">
        <v>10</v>
      </c>
      <c r="X78" s="10" t="s">
        <v>17</v>
      </c>
    </row>
    <row r="79" spans="1:24" ht="60" customHeight="1" x14ac:dyDescent="0.25">
      <c r="A79" s="10">
        <f t="shared" si="0"/>
        <v>76</v>
      </c>
      <c r="B79" s="11" t="s">
        <v>319</v>
      </c>
      <c r="C79" s="10" t="s">
        <v>320</v>
      </c>
      <c r="D79" s="10" t="s">
        <v>79</v>
      </c>
      <c r="E79" s="10" t="s">
        <v>3</v>
      </c>
      <c r="F79" s="11" t="s">
        <v>322</v>
      </c>
      <c r="G79" s="11"/>
      <c r="H79" s="11"/>
      <c r="I79" s="11">
        <v>1912</v>
      </c>
      <c r="J79" s="10" t="s">
        <v>54</v>
      </c>
      <c r="K79" s="15" t="s">
        <v>55</v>
      </c>
      <c r="L79" s="15" t="s">
        <v>56</v>
      </c>
      <c r="M79" s="11" t="s">
        <v>22</v>
      </c>
      <c r="N79" s="10">
        <v>1988</v>
      </c>
      <c r="O79" s="10">
        <v>9008</v>
      </c>
      <c r="P79" s="10">
        <v>2</v>
      </c>
      <c r="Q79" s="10">
        <v>45</v>
      </c>
      <c r="R79" s="10" t="s">
        <v>66</v>
      </c>
      <c r="S79" s="10">
        <v>303</v>
      </c>
      <c r="T79" s="10">
        <v>86</v>
      </c>
      <c r="U79" s="18">
        <v>43490</v>
      </c>
      <c r="V79" s="18">
        <v>47142</v>
      </c>
      <c r="W79" s="10" t="s">
        <v>10</v>
      </c>
      <c r="X79" s="10" t="s">
        <v>17</v>
      </c>
    </row>
    <row r="80" spans="1:24" ht="60" customHeight="1" x14ac:dyDescent="0.25">
      <c r="A80" s="10">
        <f t="shared" si="0"/>
        <v>77</v>
      </c>
      <c r="B80" s="11" t="s">
        <v>323</v>
      </c>
      <c r="C80" s="10" t="s">
        <v>320</v>
      </c>
      <c r="D80" s="10" t="s">
        <v>79</v>
      </c>
      <c r="E80" s="10" t="s">
        <v>0</v>
      </c>
      <c r="F80" s="11" t="s">
        <v>324</v>
      </c>
      <c r="G80" s="11"/>
      <c r="H80" s="11"/>
      <c r="I80" s="11">
        <v>1989</v>
      </c>
      <c r="J80" s="10" t="s">
        <v>54</v>
      </c>
      <c r="K80" s="15" t="s">
        <v>55</v>
      </c>
      <c r="L80" s="15" t="s">
        <v>56</v>
      </c>
      <c r="M80" s="11" t="s">
        <v>26</v>
      </c>
      <c r="N80" s="10">
        <v>6870</v>
      </c>
      <c r="O80" s="10">
        <v>19806</v>
      </c>
      <c r="P80" s="10">
        <v>5</v>
      </c>
      <c r="Q80" s="10">
        <v>181</v>
      </c>
      <c r="R80" s="10" t="s">
        <v>57</v>
      </c>
      <c r="S80" s="10">
        <v>283</v>
      </c>
      <c r="T80" s="10">
        <v>81</v>
      </c>
      <c r="U80" s="18">
        <v>43490</v>
      </c>
      <c r="V80" s="18">
        <v>47142</v>
      </c>
      <c r="W80" s="10" t="s">
        <v>10</v>
      </c>
      <c r="X80" s="10" t="s">
        <v>17</v>
      </c>
    </row>
    <row r="81" spans="1:24" ht="60" customHeight="1" x14ac:dyDescent="0.25">
      <c r="A81" s="10">
        <f t="shared" si="0"/>
        <v>78</v>
      </c>
      <c r="B81" s="11" t="s">
        <v>325</v>
      </c>
      <c r="C81" s="10" t="s">
        <v>320</v>
      </c>
      <c r="D81" s="10" t="s">
        <v>79</v>
      </c>
      <c r="E81" s="10" t="s">
        <v>3</v>
      </c>
      <c r="F81" s="11" t="s">
        <v>326</v>
      </c>
      <c r="G81" s="11"/>
      <c r="H81" s="11"/>
      <c r="I81" s="11">
        <v>2008</v>
      </c>
      <c r="J81" s="10" t="s">
        <v>54</v>
      </c>
      <c r="K81" s="15" t="s">
        <v>55</v>
      </c>
      <c r="L81" s="15" t="s">
        <v>56</v>
      </c>
      <c r="M81" s="11" t="s">
        <v>22</v>
      </c>
      <c r="N81" s="10">
        <v>466</v>
      </c>
      <c r="O81" s="10">
        <v>1678</v>
      </c>
      <c r="P81" s="10">
        <v>1</v>
      </c>
      <c r="Q81" s="10">
        <v>44</v>
      </c>
      <c r="R81" s="10" t="s">
        <v>66</v>
      </c>
      <c r="S81" s="10">
        <v>233</v>
      </c>
      <c r="T81" s="10">
        <v>66</v>
      </c>
      <c r="U81" s="18">
        <v>43490</v>
      </c>
      <c r="V81" s="18">
        <v>47142</v>
      </c>
      <c r="W81" s="10" t="s">
        <v>10</v>
      </c>
      <c r="X81" s="10" t="s">
        <v>17</v>
      </c>
    </row>
    <row r="82" spans="1:24" ht="60" customHeight="1" x14ac:dyDescent="0.25">
      <c r="A82" s="10">
        <f t="shared" si="0"/>
        <v>79</v>
      </c>
      <c r="B82" s="11" t="s">
        <v>325</v>
      </c>
      <c r="C82" s="10" t="s">
        <v>320</v>
      </c>
      <c r="D82" s="10" t="s">
        <v>79</v>
      </c>
      <c r="E82" s="10" t="s">
        <v>3</v>
      </c>
      <c r="F82" s="11" t="s">
        <v>327</v>
      </c>
      <c r="G82" s="11"/>
      <c r="H82" s="11"/>
      <c r="I82" s="11">
        <v>1898</v>
      </c>
      <c r="J82" s="10" t="s">
        <v>54</v>
      </c>
      <c r="K82" s="15" t="s">
        <v>55</v>
      </c>
      <c r="L82" s="15" t="s">
        <v>56</v>
      </c>
      <c r="M82" s="11" t="s">
        <v>26</v>
      </c>
      <c r="N82" s="10">
        <v>748</v>
      </c>
      <c r="O82" s="10">
        <v>1944</v>
      </c>
      <c r="P82" s="10">
        <v>2</v>
      </c>
      <c r="Q82" s="10">
        <v>112</v>
      </c>
      <c r="R82" s="10" t="s">
        <v>66</v>
      </c>
      <c r="S82" s="10">
        <v>416</v>
      </c>
      <c r="T82" s="10">
        <v>115</v>
      </c>
      <c r="U82" s="18">
        <v>43490</v>
      </c>
      <c r="V82" s="18">
        <v>47142</v>
      </c>
      <c r="W82" s="10" t="s">
        <v>10</v>
      </c>
      <c r="X82" s="10" t="s">
        <v>17</v>
      </c>
    </row>
    <row r="83" spans="1:24" ht="60" customHeight="1" x14ac:dyDescent="0.25">
      <c r="A83" s="10">
        <f t="shared" si="0"/>
        <v>80</v>
      </c>
      <c r="B83" s="11" t="s">
        <v>328</v>
      </c>
      <c r="C83" s="10" t="s">
        <v>329</v>
      </c>
      <c r="D83" s="10" t="s">
        <v>79</v>
      </c>
      <c r="E83" s="10" t="s">
        <v>3</v>
      </c>
      <c r="F83" s="11" t="s">
        <v>330</v>
      </c>
      <c r="G83" s="11"/>
      <c r="H83" s="11"/>
      <c r="I83" s="11">
        <v>1984</v>
      </c>
      <c r="J83" s="10" t="s">
        <v>54</v>
      </c>
      <c r="K83" s="15" t="s">
        <v>55</v>
      </c>
      <c r="L83" s="15" t="s">
        <v>56</v>
      </c>
      <c r="M83" s="11" t="s">
        <v>26</v>
      </c>
      <c r="N83" s="10">
        <v>3075</v>
      </c>
      <c r="O83" s="10">
        <v>9227</v>
      </c>
      <c r="P83" s="10">
        <v>5</v>
      </c>
      <c r="Q83" s="10">
        <v>58</v>
      </c>
      <c r="R83" s="10" t="s">
        <v>66</v>
      </c>
      <c r="S83" s="10">
        <v>275</v>
      </c>
      <c r="T83" s="10">
        <v>80</v>
      </c>
      <c r="U83" s="18">
        <v>43492</v>
      </c>
      <c r="V83" s="18">
        <v>47144</v>
      </c>
      <c r="W83" s="10" t="s">
        <v>10</v>
      </c>
      <c r="X83" s="10" t="s">
        <v>17</v>
      </c>
    </row>
    <row r="84" spans="1:24" ht="60" customHeight="1" x14ac:dyDescent="0.25">
      <c r="A84" s="10">
        <f t="shared" si="0"/>
        <v>81</v>
      </c>
      <c r="B84" s="10" t="s">
        <v>331</v>
      </c>
      <c r="C84" s="27" t="s">
        <v>320</v>
      </c>
      <c r="D84" s="10" t="s">
        <v>79</v>
      </c>
      <c r="E84" s="10" t="s">
        <v>2</v>
      </c>
      <c r="F84" s="11" t="s">
        <v>332</v>
      </c>
      <c r="G84" s="11"/>
      <c r="H84" s="11"/>
      <c r="I84" s="11">
        <v>1972</v>
      </c>
      <c r="J84" s="10" t="s">
        <v>54</v>
      </c>
      <c r="K84" s="15" t="s">
        <v>55</v>
      </c>
      <c r="L84" s="15" t="s">
        <v>56</v>
      </c>
      <c r="M84" s="11" t="s">
        <v>22</v>
      </c>
      <c r="N84" s="10">
        <v>519</v>
      </c>
      <c r="O84" s="10">
        <v>1542</v>
      </c>
      <c r="P84" s="10">
        <v>1</v>
      </c>
      <c r="Q84" s="10">
        <v>83</v>
      </c>
      <c r="R84" s="10" t="s">
        <v>66</v>
      </c>
      <c r="S84" s="10">
        <v>293</v>
      </c>
      <c r="T84" s="10">
        <v>69</v>
      </c>
      <c r="U84" s="18">
        <v>43491</v>
      </c>
      <c r="V84" s="18">
        <v>47143</v>
      </c>
      <c r="W84" s="10" t="s">
        <v>10</v>
      </c>
      <c r="X84" s="10" t="s">
        <v>17</v>
      </c>
    </row>
    <row r="85" spans="1:24" ht="60" customHeight="1" x14ac:dyDescent="0.25">
      <c r="A85" s="10">
        <f t="shared" si="0"/>
        <v>82</v>
      </c>
      <c r="B85" s="10" t="s">
        <v>331</v>
      </c>
      <c r="C85" s="11" t="s">
        <v>320</v>
      </c>
      <c r="D85" s="10" t="s">
        <v>79</v>
      </c>
      <c r="E85" s="10" t="s">
        <v>0</v>
      </c>
      <c r="F85" s="11" t="s">
        <v>333</v>
      </c>
      <c r="G85" s="11"/>
      <c r="H85" s="11"/>
      <c r="I85" s="11">
        <v>1979</v>
      </c>
      <c r="J85" s="10" t="s">
        <v>54</v>
      </c>
      <c r="K85" s="15" t="s">
        <v>55</v>
      </c>
      <c r="L85" s="15" t="s">
        <v>56</v>
      </c>
      <c r="M85" s="11" t="s">
        <v>26</v>
      </c>
      <c r="N85" s="10">
        <v>2545</v>
      </c>
      <c r="O85" s="10">
        <v>8562</v>
      </c>
      <c r="P85" s="10">
        <v>2</v>
      </c>
      <c r="Q85" s="10">
        <v>250</v>
      </c>
      <c r="R85" s="10" t="s">
        <v>57</v>
      </c>
      <c r="S85" s="10">
        <v>303</v>
      </c>
      <c r="T85" s="10">
        <v>72</v>
      </c>
      <c r="U85" s="18">
        <v>43491</v>
      </c>
      <c r="V85" s="18">
        <v>47143</v>
      </c>
      <c r="W85" s="10" t="s">
        <v>10</v>
      </c>
      <c r="X85" s="10" t="s">
        <v>17</v>
      </c>
    </row>
    <row r="86" spans="1:24" ht="60" customHeight="1" x14ac:dyDescent="0.25">
      <c r="A86" s="10">
        <f t="shared" si="0"/>
        <v>83</v>
      </c>
      <c r="B86" s="10" t="s">
        <v>334</v>
      </c>
      <c r="C86" s="10" t="s">
        <v>329</v>
      </c>
      <c r="D86" s="10" t="s">
        <v>79</v>
      </c>
      <c r="E86" s="10" t="s">
        <v>3</v>
      </c>
      <c r="F86" s="11" t="s">
        <v>335</v>
      </c>
      <c r="G86" s="11"/>
      <c r="H86" s="11"/>
      <c r="I86" s="11">
        <v>1984</v>
      </c>
      <c r="J86" s="10" t="s">
        <v>54</v>
      </c>
      <c r="K86" s="15" t="s">
        <v>55</v>
      </c>
      <c r="L86" s="15" t="s">
        <v>56</v>
      </c>
      <c r="M86" s="11" t="s">
        <v>24</v>
      </c>
      <c r="N86" s="10">
        <v>2093</v>
      </c>
      <c r="O86" s="10">
        <v>9634</v>
      </c>
      <c r="P86" s="10">
        <v>2</v>
      </c>
      <c r="Q86" s="10">
        <v>53</v>
      </c>
      <c r="R86" s="10" t="s">
        <v>66</v>
      </c>
      <c r="S86" s="10">
        <v>345</v>
      </c>
      <c r="T86" s="10">
        <v>96</v>
      </c>
      <c r="U86" s="18">
        <v>43492</v>
      </c>
      <c r="V86" s="18">
        <v>47144</v>
      </c>
      <c r="W86" s="10" t="s">
        <v>10</v>
      </c>
      <c r="X86" s="10" t="s">
        <v>17</v>
      </c>
    </row>
    <row r="87" spans="1:24" ht="60" customHeight="1" x14ac:dyDescent="0.25">
      <c r="A87" s="10">
        <f t="shared" si="0"/>
        <v>84</v>
      </c>
      <c r="B87" s="11" t="s">
        <v>336</v>
      </c>
      <c r="C87" s="10" t="s">
        <v>78</v>
      </c>
      <c r="D87" s="10" t="s">
        <v>79</v>
      </c>
      <c r="E87" s="10" t="s">
        <v>3</v>
      </c>
      <c r="F87" s="11" t="s">
        <v>337</v>
      </c>
      <c r="G87" s="11"/>
      <c r="H87" s="11"/>
      <c r="I87" s="11">
        <v>1971</v>
      </c>
      <c r="J87" s="10" t="s">
        <v>54</v>
      </c>
      <c r="K87" s="15" t="s">
        <v>55</v>
      </c>
      <c r="L87" s="15" t="s">
        <v>56</v>
      </c>
      <c r="M87" s="11" t="s">
        <v>26</v>
      </c>
      <c r="N87" s="10">
        <v>4202</v>
      </c>
      <c r="O87" s="10">
        <v>13014</v>
      </c>
      <c r="P87" s="10">
        <v>3</v>
      </c>
      <c r="Q87" s="10">
        <v>67</v>
      </c>
      <c r="R87" s="10" t="s">
        <v>66</v>
      </c>
      <c r="S87" s="10">
        <v>299</v>
      </c>
      <c r="T87" s="10">
        <v>83</v>
      </c>
      <c r="U87" s="18">
        <v>43493</v>
      </c>
      <c r="V87" s="18">
        <v>47145</v>
      </c>
      <c r="W87" s="10" t="s">
        <v>10</v>
      </c>
      <c r="X87" s="10" t="s">
        <v>17</v>
      </c>
    </row>
    <row r="88" spans="1:24" ht="60" customHeight="1" x14ac:dyDescent="0.25">
      <c r="A88" s="10">
        <f t="shared" si="0"/>
        <v>85</v>
      </c>
      <c r="B88" s="11" t="s">
        <v>338</v>
      </c>
      <c r="C88" s="10" t="s">
        <v>78</v>
      </c>
      <c r="D88" s="10" t="s">
        <v>79</v>
      </c>
      <c r="E88" s="10" t="s">
        <v>2</v>
      </c>
      <c r="F88" s="11" t="s">
        <v>339</v>
      </c>
      <c r="G88" s="11"/>
      <c r="H88" s="11"/>
      <c r="I88" s="11">
        <v>1992</v>
      </c>
      <c r="J88" s="10" t="s">
        <v>54</v>
      </c>
      <c r="K88" s="15" t="s">
        <v>55</v>
      </c>
      <c r="L88" s="15" t="s">
        <v>56</v>
      </c>
      <c r="M88" s="11" t="s">
        <v>20</v>
      </c>
      <c r="N88" s="10">
        <v>7545</v>
      </c>
      <c r="O88" s="10">
        <v>30192</v>
      </c>
      <c r="P88" s="10">
        <v>5</v>
      </c>
      <c r="Q88" s="10">
        <v>49</v>
      </c>
      <c r="R88" s="10" t="s">
        <v>66</v>
      </c>
      <c r="S88" s="10">
        <v>313</v>
      </c>
      <c r="T88" s="10">
        <v>92</v>
      </c>
      <c r="U88" s="18">
        <v>43494</v>
      </c>
      <c r="V88" s="18">
        <v>47146</v>
      </c>
      <c r="W88" s="10" t="s">
        <v>10</v>
      </c>
      <c r="X88" s="10" t="s">
        <v>17</v>
      </c>
    </row>
    <row r="89" spans="1:24" ht="60" customHeight="1" x14ac:dyDescent="0.25">
      <c r="A89" s="10">
        <f t="shared" si="0"/>
        <v>86</v>
      </c>
      <c r="B89" s="11" t="s">
        <v>340</v>
      </c>
      <c r="C89" s="10" t="s">
        <v>78</v>
      </c>
      <c r="D89" s="10" t="s">
        <v>79</v>
      </c>
      <c r="E89" s="10" t="s">
        <v>2</v>
      </c>
      <c r="F89" s="11" t="s">
        <v>341</v>
      </c>
      <c r="G89" s="11"/>
      <c r="H89" s="11"/>
      <c r="I89" s="11">
        <v>1983</v>
      </c>
      <c r="J89" s="10" t="s">
        <v>54</v>
      </c>
      <c r="K89" s="15" t="s">
        <v>55</v>
      </c>
      <c r="L89" s="15" t="s">
        <v>56</v>
      </c>
      <c r="M89" s="11" t="s">
        <v>18</v>
      </c>
      <c r="N89" s="10">
        <v>2554</v>
      </c>
      <c r="O89" s="10">
        <v>12944</v>
      </c>
      <c r="P89" s="10">
        <v>3</v>
      </c>
      <c r="Q89" s="10">
        <v>54</v>
      </c>
      <c r="R89" s="10" t="s">
        <v>66</v>
      </c>
      <c r="S89" s="10">
        <v>401</v>
      </c>
      <c r="T89" s="10">
        <v>113</v>
      </c>
      <c r="U89" s="18">
        <v>43495</v>
      </c>
      <c r="V89" s="18">
        <v>47147</v>
      </c>
      <c r="W89" s="10" t="s">
        <v>10</v>
      </c>
      <c r="X89" s="10" t="s">
        <v>17</v>
      </c>
    </row>
    <row r="90" spans="1:24" ht="60" customHeight="1" x14ac:dyDescent="0.25">
      <c r="A90" s="10">
        <f t="shared" si="0"/>
        <v>87</v>
      </c>
      <c r="B90" s="11" t="s">
        <v>342</v>
      </c>
      <c r="C90" s="10" t="s">
        <v>78</v>
      </c>
      <c r="D90" s="10" t="s">
        <v>79</v>
      </c>
      <c r="E90" s="10" t="s">
        <v>2</v>
      </c>
      <c r="F90" s="11" t="s">
        <v>343</v>
      </c>
      <c r="G90" s="11"/>
      <c r="H90" s="11"/>
      <c r="I90" s="11">
        <v>1958</v>
      </c>
      <c r="J90" s="10" t="s">
        <v>54</v>
      </c>
      <c r="K90" s="15" t="s">
        <v>55</v>
      </c>
      <c r="L90" s="15" t="s">
        <v>56</v>
      </c>
      <c r="M90" s="11" t="s">
        <v>15</v>
      </c>
      <c r="N90" s="10">
        <v>3899</v>
      </c>
      <c r="O90" s="10">
        <v>24906</v>
      </c>
      <c r="P90" s="10">
        <v>4</v>
      </c>
      <c r="Q90" s="10">
        <v>32</v>
      </c>
      <c r="R90" s="10" t="s">
        <v>66</v>
      </c>
      <c r="S90" s="10">
        <v>332</v>
      </c>
      <c r="T90" s="10">
        <v>98</v>
      </c>
      <c r="U90" s="18">
        <v>43496</v>
      </c>
      <c r="V90" s="18">
        <v>47148</v>
      </c>
      <c r="W90" s="10" t="s">
        <v>13</v>
      </c>
      <c r="X90" s="10" t="s">
        <v>17</v>
      </c>
    </row>
    <row r="91" spans="1:24" ht="60" customHeight="1" x14ac:dyDescent="0.25">
      <c r="A91" s="10">
        <f t="shared" si="0"/>
        <v>88</v>
      </c>
      <c r="B91" s="11" t="s">
        <v>344</v>
      </c>
      <c r="C91" s="10" t="s">
        <v>345</v>
      </c>
      <c r="D91" s="10" t="s">
        <v>79</v>
      </c>
      <c r="E91" s="10" t="s">
        <v>3</v>
      </c>
      <c r="F91" s="11" t="s">
        <v>346</v>
      </c>
      <c r="G91" s="11"/>
      <c r="H91" s="11"/>
      <c r="I91" s="11">
        <v>1977</v>
      </c>
      <c r="J91" s="10" t="s">
        <v>54</v>
      </c>
      <c r="K91" s="15" t="s">
        <v>55</v>
      </c>
      <c r="L91" s="15" t="s">
        <v>56</v>
      </c>
      <c r="M91" s="11" t="s">
        <v>26</v>
      </c>
      <c r="N91" s="10">
        <v>2686</v>
      </c>
      <c r="O91" s="10">
        <v>10156</v>
      </c>
      <c r="P91" s="10">
        <v>3</v>
      </c>
      <c r="Q91" s="10">
        <v>79</v>
      </c>
      <c r="R91" s="10" t="s">
        <v>66</v>
      </c>
      <c r="S91" s="10">
        <v>424</v>
      </c>
      <c r="T91" s="10">
        <v>117</v>
      </c>
      <c r="U91" s="18">
        <v>43496</v>
      </c>
      <c r="V91" s="18">
        <v>47148</v>
      </c>
      <c r="W91" s="10" t="s">
        <v>10</v>
      </c>
      <c r="X91" s="10" t="s">
        <v>17</v>
      </c>
    </row>
    <row r="92" spans="1:24" ht="60" customHeight="1" x14ac:dyDescent="0.25">
      <c r="A92" s="10">
        <f t="shared" si="0"/>
        <v>89</v>
      </c>
      <c r="B92" s="11" t="s">
        <v>347</v>
      </c>
      <c r="C92" s="10"/>
      <c r="D92" s="10" t="s">
        <v>79</v>
      </c>
      <c r="E92" s="10" t="s">
        <v>3</v>
      </c>
      <c r="F92" s="11" t="s">
        <v>348</v>
      </c>
      <c r="G92" s="11"/>
      <c r="H92" s="11"/>
      <c r="I92" s="11">
        <v>1972</v>
      </c>
      <c r="J92" s="10" t="s">
        <v>54</v>
      </c>
      <c r="K92" s="15" t="s">
        <v>55</v>
      </c>
      <c r="L92" s="15" t="s">
        <v>56</v>
      </c>
      <c r="M92" s="11" t="s">
        <v>15</v>
      </c>
      <c r="N92" s="10">
        <v>1840</v>
      </c>
      <c r="O92" s="10">
        <v>7841</v>
      </c>
      <c r="P92" s="10">
        <v>2</v>
      </c>
      <c r="Q92" s="10">
        <v>27</v>
      </c>
      <c r="R92" s="10" t="s">
        <v>66</v>
      </c>
      <c r="S92" s="10">
        <v>234</v>
      </c>
      <c r="T92" s="10">
        <v>76</v>
      </c>
      <c r="U92" s="18">
        <v>43497</v>
      </c>
      <c r="V92" s="18">
        <v>47149</v>
      </c>
      <c r="W92" s="10" t="s">
        <v>13</v>
      </c>
      <c r="X92" s="10" t="s">
        <v>17</v>
      </c>
    </row>
    <row r="93" spans="1:24" ht="60" customHeight="1" x14ac:dyDescent="0.25">
      <c r="A93" s="10">
        <f t="shared" si="0"/>
        <v>90</v>
      </c>
      <c r="B93" s="11" t="s">
        <v>349</v>
      </c>
      <c r="C93" s="10"/>
      <c r="D93" s="10" t="s">
        <v>142</v>
      </c>
      <c r="E93" s="10" t="s">
        <v>2</v>
      </c>
      <c r="F93" s="11" t="s">
        <v>350</v>
      </c>
      <c r="G93" s="11"/>
      <c r="H93" s="11"/>
      <c r="I93" s="11">
        <v>1986</v>
      </c>
      <c r="J93" s="11" t="s">
        <v>93</v>
      </c>
      <c r="K93" s="15" t="s">
        <v>94</v>
      </c>
      <c r="L93" s="15" t="s">
        <v>56</v>
      </c>
      <c r="M93" s="11" t="s">
        <v>26</v>
      </c>
      <c r="N93" s="10">
        <v>538.9</v>
      </c>
      <c r="O93" s="10">
        <v>1602</v>
      </c>
      <c r="P93" s="10">
        <v>2</v>
      </c>
      <c r="Q93" s="10">
        <v>109.5</v>
      </c>
      <c r="R93" s="10" t="s">
        <v>66</v>
      </c>
      <c r="S93" s="10">
        <v>417</v>
      </c>
      <c r="T93" s="10">
        <v>82</v>
      </c>
      <c r="U93" s="18">
        <v>43563</v>
      </c>
      <c r="V93" s="29">
        <v>47215</v>
      </c>
      <c r="W93" s="10" t="s">
        <v>10</v>
      </c>
      <c r="X93" s="10" t="s">
        <v>14</v>
      </c>
    </row>
    <row r="94" spans="1:24" ht="60" customHeight="1" x14ac:dyDescent="0.25">
      <c r="A94" s="10">
        <f t="shared" si="0"/>
        <v>91</v>
      </c>
      <c r="B94" s="11" t="s">
        <v>353</v>
      </c>
      <c r="C94" s="10" t="s">
        <v>52</v>
      </c>
      <c r="D94" s="10" t="s">
        <v>52</v>
      </c>
      <c r="E94" s="10" t="s">
        <v>0</v>
      </c>
      <c r="F94" s="11" t="s">
        <v>354</v>
      </c>
      <c r="G94" s="11"/>
      <c r="H94" s="11"/>
      <c r="I94" s="11">
        <v>1971</v>
      </c>
      <c r="J94" s="11" t="s">
        <v>150</v>
      </c>
      <c r="K94" s="15" t="s">
        <v>151</v>
      </c>
      <c r="L94" s="15" t="s">
        <v>56</v>
      </c>
      <c r="M94" s="11" t="s">
        <v>26</v>
      </c>
      <c r="N94" s="10">
        <v>6410</v>
      </c>
      <c r="O94" s="10">
        <v>18268</v>
      </c>
      <c r="P94" s="10">
        <v>9</v>
      </c>
      <c r="Q94" s="10">
        <v>200</v>
      </c>
      <c r="R94" s="10" t="s">
        <v>57</v>
      </c>
      <c r="S94" s="10">
        <v>285</v>
      </c>
      <c r="T94" s="10">
        <v>78</v>
      </c>
      <c r="U94" s="18">
        <v>43564</v>
      </c>
      <c r="V94" s="18">
        <v>47216</v>
      </c>
      <c r="W94" s="10" t="s">
        <v>10</v>
      </c>
      <c r="X94" s="10" t="s">
        <v>17</v>
      </c>
    </row>
    <row r="95" spans="1:24" ht="60" customHeight="1" x14ac:dyDescent="0.25">
      <c r="A95" s="10">
        <f t="shared" si="0"/>
        <v>92</v>
      </c>
      <c r="B95" s="11" t="s">
        <v>355</v>
      </c>
      <c r="C95" s="10" t="s">
        <v>52</v>
      </c>
      <c r="D95" s="10" t="s">
        <v>52</v>
      </c>
      <c r="E95" s="10" t="s">
        <v>0</v>
      </c>
      <c r="F95" s="11" t="s">
        <v>356</v>
      </c>
      <c r="G95" s="11"/>
      <c r="H95" s="11"/>
      <c r="I95" s="11">
        <v>1974</v>
      </c>
      <c r="J95" s="11" t="s">
        <v>276</v>
      </c>
      <c r="K95" s="15" t="s">
        <v>277</v>
      </c>
      <c r="L95" s="15" t="s">
        <v>56</v>
      </c>
      <c r="M95" s="11" t="s">
        <v>26</v>
      </c>
      <c r="N95" s="10">
        <v>3683</v>
      </c>
      <c r="O95" s="10">
        <v>11051</v>
      </c>
      <c r="P95" s="10">
        <v>9</v>
      </c>
      <c r="Q95" s="10">
        <v>199</v>
      </c>
      <c r="R95" s="10" t="s">
        <v>57</v>
      </c>
      <c r="S95" s="10">
        <v>295</v>
      </c>
      <c r="T95" s="10">
        <v>83</v>
      </c>
      <c r="U95" s="18">
        <v>43565</v>
      </c>
      <c r="V95" s="18">
        <v>47217</v>
      </c>
      <c r="W95" s="10" t="s">
        <v>10</v>
      </c>
      <c r="X95" s="10" t="s">
        <v>17</v>
      </c>
    </row>
    <row r="96" spans="1:24" ht="60" customHeight="1" x14ac:dyDescent="0.25">
      <c r="A96" s="10">
        <f t="shared" si="0"/>
        <v>93</v>
      </c>
      <c r="B96" s="10" t="s">
        <v>352</v>
      </c>
      <c r="C96" s="10" t="s">
        <v>357</v>
      </c>
      <c r="D96" s="10" t="s">
        <v>142</v>
      </c>
      <c r="E96" s="10" t="s">
        <v>2</v>
      </c>
      <c r="F96" s="10" t="s">
        <v>351</v>
      </c>
      <c r="G96" s="11"/>
      <c r="H96" s="11"/>
      <c r="I96" s="11">
        <v>1966</v>
      </c>
      <c r="J96" s="11" t="s">
        <v>93</v>
      </c>
      <c r="K96" s="15" t="s">
        <v>94</v>
      </c>
      <c r="L96" s="15" t="s">
        <v>56</v>
      </c>
      <c r="M96" s="11" t="s">
        <v>24</v>
      </c>
      <c r="N96" s="10">
        <v>772.8</v>
      </c>
      <c r="O96" s="10">
        <v>2067</v>
      </c>
      <c r="P96" s="10">
        <v>2</v>
      </c>
      <c r="Q96" s="10">
        <v>101.6</v>
      </c>
      <c r="R96" s="10" t="s">
        <v>66</v>
      </c>
      <c r="S96" s="10">
        <v>346</v>
      </c>
      <c r="T96" s="10">
        <v>68</v>
      </c>
      <c r="U96" s="18">
        <v>43565</v>
      </c>
      <c r="V96" s="18">
        <v>47217</v>
      </c>
      <c r="W96" s="10" t="s">
        <v>10</v>
      </c>
      <c r="X96" s="10" t="s">
        <v>17</v>
      </c>
    </row>
    <row r="97" spans="1:24" ht="60" customHeight="1" x14ac:dyDescent="0.25">
      <c r="A97" s="10">
        <f t="shared" si="0"/>
        <v>94</v>
      </c>
      <c r="B97" s="20" t="s">
        <v>358</v>
      </c>
      <c r="C97" s="10" t="s">
        <v>359</v>
      </c>
      <c r="D97" s="10" t="s">
        <v>124</v>
      </c>
      <c r="E97" s="10" t="s">
        <v>2</v>
      </c>
      <c r="F97" s="20" t="s">
        <v>360</v>
      </c>
      <c r="G97" s="11"/>
      <c r="H97" s="11"/>
      <c r="I97" s="11">
        <v>1966</v>
      </c>
      <c r="J97" s="20" t="s">
        <v>126</v>
      </c>
      <c r="K97" s="15" t="s">
        <v>127</v>
      </c>
      <c r="L97" s="15" t="s">
        <v>56</v>
      </c>
      <c r="M97" s="11" t="s">
        <v>22</v>
      </c>
      <c r="N97" s="10">
        <v>1071.5</v>
      </c>
      <c r="O97" s="10">
        <v>3806.2</v>
      </c>
      <c r="P97" s="10">
        <v>3</v>
      </c>
      <c r="Q97" s="10">
        <v>86.7</v>
      </c>
      <c r="R97" s="10" t="s">
        <v>66</v>
      </c>
      <c r="S97" s="10">
        <v>517.1</v>
      </c>
      <c r="T97" s="10">
        <v>101.2</v>
      </c>
      <c r="U97" s="18">
        <v>43560</v>
      </c>
      <c r="V97" s="18">
        <v>47212</v>
      </c>
      <c r="W97" s="10" t="s">
        <v>10</v>
      </c>
      <c r="X97" s="10" t="s">
        <v>17</v>
      </c>
    </row>
    <row r="98" spans="1:24" ht="60" customHeight="1" x14ac:dyDescent="0.25">
      <c r="A98" s="10">
        <f t="shared" si="0"/>
        <v>95</v>
      </c>
      <c r="B98" s="11" t="s">
        <v>361</v>
      </c>
      <c r="C98" s="10" t="s">
        <v>362</v>
      </c>
      <c r="D98" s="10" t="s">
        <v>255</v>
      </c>
      <c r="E98" s="10" t="s">
        <v>2</v>
      </c>
      <c r="F98" s="11" t="s">
        <v>363</v>
      </c>
      <c r="G98" s="11"/>
      <c r="H98" s="11"/>
      <c r="I98" s="11">
        <v>2002</v>
      </c>
      <c r="J98" s="11" t="s">
        <v>93</v>
      </c>
      <c r="K98" s="15" t="s">
        <v>94</v>
      </c>
      <c r="L98" s="15" t="s">
        <v>56</v>
      </c>
      <c r="M98" s="11" t="s">
        <v>20</v>
      </c>
      <c r="N98" s="10">
        <v>1405</v>
      </c>
      <c r="O98" s="10">
        <v>4241</v>
      </c>
      <c r="P98" s="10">
        <v>3</v>
      </c>
      <c r="Q98" s="10">
        <v>68.5</v>
      </c>
      <c r="R98" s="10" t="s">
        <v>66</v>
      </c>
      <c r="S98" s="10">
        <v>276</v>
      </c>
      <c r="T98" s="10">
        <v>54</v>
      </c>
      <c r="U98" s="18">
        <v>43559</v>
      </c>
      <c r="V98" s="18">
        <v>47211</v>
      </c>
      <c r="W98" s="10" t="s">
        <v>10</v>
      </c>
      <c r="X98" s="10" t="s">
        <v>17</v>
      </c>
    </row>
    <row r="99" spans="1:24" ht="60" customHeight="1" x14ac:dyDescent="0.25">
      <c r="A99" s="10">
        <f t="shared" si="0"/>
        <v>96</v>
      </c>
      <c r="B99" s="11" t="s">
        <v>364</v>
      </c>
      <c r="C99" s="10" t="s">
        <v>365</v>
      </c>
      <c r="D99" s="10" t="s">
        <v>79</v>
      </c>
      <c r="E99" s="10" t="s">
        <v>3</v>
      </c>
      <c r="F99" s="30" t="s">
        <v>366</v>
      </c>
      <c r="G99" s="11"/>
      <c r="H99" s="11"/>
      <c r="I99" s="11">
        <v>1990</v>
      </c>
      <c r="J99" s="10" t="s">
        <v>64</v>
      </c>
      <c r="K99" s="15" t="s">
        <v>65</v>
      </c>
      <c r="L99" s="15" t="s">
        <v>56</v>
      </c>
      <c r="M99" s="11" t="s">
        <v>26</v>
      </c>
      <c r="N99" s="10">
        <v>2294</v>
      </c>
      <c r="O99" s="10">
        <v>6884</v>
      </c>
      <c r="P99" s="10">
        <v>3</v>
      </c>
      <c r="Q99" s="10">
        <v>89</v>
      </c>
      <c r="R99" s="10" t="s">
        <v>66</v>
      </c>
      <c r="S99" s="10">
        <v>360</v>
      </c>
      <c r="T99" s="10">
        <v>95</v>
      </c>
      <c r="U99" s="16">
        <v>43565</v>
      </c>
      <c r="V99" s="16">
        <v>47217</v>
      </c>
      <c r="W99" s="10" t="s">
        <v>10</v>
      </c>
      <c r="X99" s="10" t="s">
        <v>17</v>
      </c>
    </row>
    <row r="100" spans="1:24" ht="60" customHeight="1" x14ac:dyDescent="0.25">
      <c r="A100" s="10">
        <f t="shared" si="0"/>
        <v>97</v>
      </c>
      <c r="B100" s="11" t="s">
        <v>367</v>
      </c>
      <c r="C100" s="24" t="s">
        <v>368</v>
      </c>
      <c r="D100" s="10" t="s">
        <v>79</v>
      </c>
      <c r="E100" s="10" t="s">
        <v>3</v>
      </c>
      <c r="F100" s="11" t="s">
        <v>369</v>
      </c>
      <c r="G100" s="11"/>
      <c r="H100" s="11"/>
      <c r="I100" s="11">
        <v>1968</v>
      </c>
      <c r="J100" s="10" t="s">
        <v>64</v>
      </c>
      <c r="K100" s="15" t="s">
        <v>65</v>
      </c>
      <c r="L100" s="15" t="s">
        <v>56</v>
      </c>
      <c r="M100" s="11" t="s">
        <v>26</v>
      </c>
      <c r="N100" s="10">
        <v>2244</v>
      </c>
      <c r="O100" s="10">
        <v>11433</v>
      </c>
      <c r="P100" s="10">
        <v>2</v>
      </c>
      <c r="Q100" s="10">
        <v>68</v>
      </c>
      <c r="R100" s="10" t="s">
        <v>66</v>
      </c>
      <c r="S100" s="10">
        <v>493</v>
      </c>
      <c r="T100" s="10">
        <v>135</v>
      </c>
      <c r="U100" s="16">
        <v>43565</v>
      </c>
      <c r="V100" s="16">
        <v>47217</v>
      </c>
      <c r="W100" s="10" t="s">
        <v>10</v>
      </c>
      <c r="X100" s="10" t="s">
        <v>17</v>
      </c>
    </row>
    <row r="101" spans="1:24" ht="60" customHeight="1" x14ac:dyDescent="0.25">
      <c r="A101" s="10">
        <f t="shared" si="0"/>
        <v>98</v>
      </c>
      <c r="B101" s="11" t="s">
        <v>370</v>
      </c>
      <c r="C101" s="10" t="s">
        <v>371</v>
      </c>
      <c r="D101" s="10" t="s">
        <v>79</v>
      </c>
      <c r="E101" s="10" t="s">
        <v>3</v>
      </c>
      <c r="F101" s="11" t="s">
        <v>372</v>
      </c>
      <c r="G101" s="11"/>
      <c r="H101" s="11"/>
      <c r="I101" s="11">
        <v>1967</v>
      </c>
      <c r="J101" s="10" t="s">
        <v>64</v>
      </c>
      <c r="K101" s="15" t="s">
        <v>65</v>
      </c>
      <c r="L101" s="15" t="s">
        <v>56</v>
      </c>
      <c r="M101" s="11" t="s">
        <v>26</v>
      </c>
      <c r="N101" s="10">
        <v>2163</v>
      </c>
      <c r="O101" s="10">
        <v>7730</v>
      </c>
      <c r="P101" s="10">
        <v>2</v>
      </c>
      <c r="Q101" s="10">
        <v>86</v>
      </c>
      <c r="R101" s="10" t="s">
        <v>66</v>
      </c>
      <c r="S101" s="10">
        <v>459</v>
      </c>
      <c r="T101" s="10">
        <v>130</v>
      </c>
      <c r="U101" s="16">
        <v>43565</v>
      </c>
      <c r="V101" s="16">
        <v>47217</v>
      </c>
      <c r="W101" s="10" t="s">
        <v>10</v>
      </c>
      <c r="X101" s="10" t="s">
        <v>17</v>
      </c>
    </row>
    <row r="102" spans="1:24" ht="60" customHeight="1" x14ac:dyDescent="0.25">
      <c r="A102" s="10">
        <f t="shared" si="0"/>
        <v>99</v>
      </c>
      <c r="B102" s="11" t="s">
        <v>373</v>
      </c>
      <c r="C102" s="10" t="s">
        <v>374</v>
      </c>
      <c r="D102" s="10" t="s">
        <v>79</v>
      </c>
      <c r="E102" s="10" t="s">
        <v>0</v>
      </c>
      <c r="F102" s="11" t="s">
        <v>375</v>
      </c>
      <c r="G102" s="11"/>
      <c r="H102" s="11"/>
      <c r="I102" s="11">
        <v>1983</v>
      </c>
      <c r="J102" s="10" t="s">
        <v>64</v>
      </c>
      <c r="K102" s="15" t="s">
        <v>65</v>
      </c>
      <c r="L102" s="15" t="s">
        <v>56</v>
      </c>
      <c r="M102" s="11" t="s">
        <v>26</v>
      </c>
      <c r="N102" s="10">
        <v>7469</v>
      </c>
      <c r="O102" s="10">
        <v>21346</v>
      </c>
      <c r="P102" s="10">
        <v>9</v>
      </c>
      <c r="Q102" s="10">
        <v>213</v>
      </c>
      <c r="R102" s="10" t="s">
        <v>57</v>
      </c>
      <c r="S102" s="10">
        <v>362</v>
      </c>
      <c r="T102" s="10">
        <v>114</v>
      </c>
      <c r="U102" s="16">
        <v>43565</v>
      </c>
      <c r="V102" s="16">
        <v>47217</v>
      </c>
      <c r="W102" s="10" t="s">
        <v>10</v>
      </c>
      <c r="X102" s="10" t="s">
        <v>17</v>
      </c>
    </row>
    <row r="103" spans="1:24" ht="60" customHeight="1" x14ac:dyDescent="0.25">
      <c r="A103" s="10">
        <f t="shared" si="0"/>
        <v>100</v>
      </c>
      <c r="B103" s="11" t="s">
        <v>376</v>
      </c>
      <c r="C103" s="10" t="s">
        <v>377</v>
      </c>
      <c r="D103" s="10" t="s">
        <v>79</v>
      </c>
      <c r="E103" s="10" t="s">
        <v>0</v>
      </c>
      <c r="F103" s="11" t="s">
        <v>378</v>
      </c>
      <c r="G103" s="11"/>
      <c r="H103" s="11"/>
      <c r="I103" s="11">
        <v>1987</v>
      </c>
      <c r="J103" s="10" t="s">
        <v>64</v>
      </c>
      <c r="K103" s="15" t="s">
        <v>65</v>
      </c>
      <c r="L103" s="15" t="s">
        <v>56</v>
      </c>
      <c r="M103" s="11" t="s">
        <v>26</v>
      </c>
      <c r="N103" s="10">
        <v>2217</v>
      </c>
      <c r="O103" s="10">
        <v>5653</v>
      </c>
      <c r="P103" s="10">
        <v>3</v>
      </c>
      <c r="Q103" s="10">
        <v>243</v>
      </c>
      <c r="R103" s="10" t="s">
        <v>57</v>
      </c>
      <c r="S103" s="10">
        <v>341</v>
      </c>
      <c r="T103" s="10">
        <v>93</v>
      </c>
      <c r="U103" s="16">
        <v>43565</v>
      </c>
      <c r="V103" s="16">
        <v>47217</v>
      </c>
      <c r="W103" s="10" t="s">
        <v>10</v>
      </c>
      <c r="X103" s="10" t="s">
        <v>17</v>
      </c>
    </row>
    <row r="104" spans="1:24" ht="60" customHeight="1" x14ac:dyDescent="0.25">
      <c r="A104" s="10">
        <f t="shared" si="0"/>
        <v>101</v>
      </c>
      <c r="B104" s="11" t="s">
        <v>379</v>
      </c>
      <c r="C104" s="10" t="s">
        <v>380</v>
      </c>
      <c r="D104" s="10" t="s">
        <v>79</v>
      </c>
      <c r="E104" s="10" t="s">
        <v>0</v>
      </c>
      <c r="F104" s="11" t="s">
        <v>381</v>
      </c>
      <c r="G104" s="11"/>
      <c r="H104" s="11"/>
      <c r="I104" s="11">
        <v>1972</v>
      </c>
      <c r="J104" s="10" t="s">
        <v>64</v>
      </c>
      <c r="K104" s="15" t="s">
        <v>65</v>
      </c>
      <c r="L104" s="15" t="s">
        <v>56</v>
      </c>
      <c r="M104" s="11" t="s">
        <v>26</v>
      </c>
      <c r="N104" s="10">
        <v>5265</v>
      </c>
      <c r="O104" s="10">
        <v>14742</v>
      </c>
      <c r="P104" s="10">
        <v>5</v>
      </c>
      <c r="Q104" s="10">
        <v>219</v>
      </c>
      <c r="R104" s="10" t="s">
        <v>57</v>
      </c>
      <c r="S104" s="10">
        <v>284</v>
      </c>
      <c r="T104" s="10">
        <v>46</v>
      </c>
      <c r="U104" s="16">
        <v>43565</v>
      </c>
      <c r="V104" s="16">
        <v>47217</v>
      </c>
      <c r="W104" s="10" t="s">
        <v>10</v>
      </c>
      <c r="X104" s="10" t="s">
        <v>17</v>
      </c>
    </row>
    <row r="105" spans="1:24" ht="60" customHeight="1" x14ac:dyDescent="0.25">
      <c r="A105" s="10">
        <f t="shared" si="0"/>
        <v>102</v>
      </c>
      <c r="B105" s="11" t="s">
        <v>382</v>
      </c>
      <c r="C105" s="24" t="s">
        <v>383</v>
      </c>
      <c r="D105" s="10" t="s">
        <v>79</v>
      </c>
      <c r="E105" s="10" t="s">
        <v>3</v>
      </c>
      <c r="F105" s="11" t="s">
        <v>384</v>
      </c>
      <c r="G105" s="11"/>
      <c r="H105" s="11"/>
      <c r="I105" s="11">
        <v>1990</v>
      </c>
      <c r="J105" s="10" t="s">
        <v>64</v>
      </c>
      <c r="K105" s="15" t="s">
        <v>65</v>
      </c>
      <c r="L105" s="15" t="s">
        <v>56</v>
      </c>
      <c r="M105" s="11" t="s">
        <v>26</v>
      </c>
      <c r="N105" s="10">
        <v>2168</v>
      </c>
      <c r="O105" s="10">
        <v>6506</v>
      </c>
      <c r="P105" s="10">
        <v>3</v>
      </c>
      <c r="Q105" s="10">
        <v>95</v>
      </c>
      <c r="R105" s="10" t="s">
        <v>66</v>
      </c>
      <c r="S105" s="10">
        <v>439</v>
      </c>
      <c r="T105" s="10">
        <v>125</v>
      </c>
      <c r="U105" s="16">
        <v>43565</v>
      </c>
      <c r="V105" s="16">
        <v>47217</v>
      </c>
      <c r="W105" s="10" t="s">
        <v>10</v>
      </c>
      <c r="X105" s="10" t="s">
        <v>17</v>
      </c>
    </row>
    <row r="106" spans="1:24" ht="60" customHeight="1" x14ac:dyDescent="0.25">
      <c r="A106" s="10">
        <f t="shared" si="0"/>
        <v>103</v>
      </c>
      <c r="B106" s="11" t="s">
        <v>385</v>
      </c>
      <c r="C106" s="10" t="s">
        <v>386</v>
      </c>
      <c r="D106" s="10" t="s">
        <v>79</v>
      </c>
      <c r="E106" s="10" t="s">
        <v>0</v>
      </c>
      <c r="F106" s="11" t="s">
        <v>387</v>
      </c>
      <c r="G106" s="11"/>
      <c r="H106" s="11"/>
      <c r="I106" s="11">
        <v>1972</v>
      </c>
      <c r="J106" s="10" t="s">
        <v>64</v>
      </c>
      <c r="K106" s="15" t="s">
        <v>65</v>
      </c>
      <c r="L106" s="15" t="s">
        <v>56</v>
      </c>
      <c r="M106" s="11" t="s">
        <v>26</v>
      </c>
      <c r="N106" s="10">
        <v>2272</v>
      </c>
      <c r="O106" s="10">
        <v>5681</v>
      </c>
      <c r="P106" s="10">
        <v>5</v>
      </c>
      <c r="Q106" s="10">
        <v>221</v>
      </c>
      <c r="R106" s="10" t="s">
        <v>57</v>
      </c>
      <c r="S106" s="10">
        <v>303</v>
      </c>
      <c r="T106" s="10">
        <v>81</v>
      </c>
      <c r="U106" s="18">
        <v>43565</v>
      </c>
      <c r="V106" s="18">
        <v>47217</v>
      </c>
      <c r="W106" s="10" t="s">
        <v>10</v>
      </c>
      <c r="X106" s="10" t="s">
        <v>17</v>
      </c>
    </row>
    <row r="107" spans="1:24" ht="60" customHeight="1" x14ac:dyDescent="0.25">
      <c r="A107" s="10">
        <f t="shared" si="0"/>
        <v>104</v>
      </c>
      <c r="B107" s="11" t="s">
        <v>388</v>
      </c>
      <c r="C107" s="24" t="s">
        <v>374</v>
      </c>
      <c r="D107" s="10" t="s">
        <v>79</v>
      </c>
      <c r="E107" s="10" t="s">
        <v>3</v>
      </c>
      <c r="F107" s="11" t="s">
        <v>389</v>
      </c>
      <c r="G107" s="11"/>
      <c r="H107" s="11"/>
      <c r="I107" s="11">
        <v>1948</v>
      </c>
      <c r="J107" s="10" t="s">
        <v>64</v>
      </c>
      <c r="K107" s="15" t="s">
        <v>65</v>
      </c>
      <c r="L107" s="15" t="s">
        <v>56</v>
      </c>
      <c r="M107" s="11" t="s">
        <v>26</v>
      </c>
      <c r="N107" s="10">
        <v>1869</v>
      </c>
      <c r="O107" s="10">
        <v>7137</v>
      </c>
      <c r="P107" s="10">
        <v>2</v>
      </c>
      <c r="Q107" s="10">
        <v>59</v>
      </c>
      <c r="R107" s="10" t="s">
        <v>66</v>
      </c>
      <c r="S107" s="10">
        <v>578</v>
      </c>
      <c r="T107" s="10">
        <v>243</v>
      </c>
      <c r="U107" s="18">
        <v>43565</v>
      </c>
      <c r="V107" s="18">
        <v>47217</v>
      </c>
      <c r="W107" s="10" t="s">
        <v>10</v>
      </c>
      <c r="X107" s="10" t="s">
        <v>17</v>
      </c>
    </row>
    <row r="108" spans="1:24" ht="60" customHeight="1" x14ac:dyDescent="0.25">
      <c r="A108" s="10">
        <f t="shared" si="0"/>
        <v>105</v>
      </c>
      <c r="B108" s="11" t="s">
        <v>390</v>
      </c>
      <c r="C108" s="10" t="s">
        <v>391</v>
      </c>
      <c r="D108" s="10" t="s">
        <v>79</v>
      </c>
      <c r="E108" s="10" t="s">
        <v>3</v>
      </c>
      <c r="F108" s="11" t="s">
        <v>392</v>
      </c>
      <c r="G108" s="11"/>
      <c r="H108" s="11"/>
      <c r="I108" s="11">
        <v>1956</v>
      </c>
      <c r="J108" s="10" t="s">
        <v>64</v>
      </c>
      <c r="K108" s="15" t="s">
        <v>65</v>
      </c>
      <c r="L108" s="15" t="s">
        <v>56</v>
      </c>
      <c r="M108" s="11" t="s">
        <v>24</v>
      </c>
      <c r="N108" s="10">
        <v>2887</v>
      </c>
      <c r="O108" s="10">
        <v>11118</v>
      </c>
      <c r="P108" s="10">
        <v>4</v>
      </c>
      <c r="Q108" s="10">
        <v>58</v>
      </c>
      <c r="R108" s="10" t="s">
        <v>66</v>
      </c>
      <c r="S108" s="10">
        <v>348</v>
      </c>
      <c r="T108" s="10">
        <v>103</v>
      </c>
      <c r="U108" s="18">
        <v>43565</v>
      </c>
      <c r="V108" s="18">
        <v>47217</v>
      </c>
      <c r="W108" s="10" t="s">
        <v>10</v>
      </c>
      <c r="X108" s="10" t="s">
        <v>17</v>
      </c>
    </row>
    <row r="109" spans="1:24" ht="66" customHeight="1" x14ac:dyDescent="0.25">
      <c r="A109" s="10">
        <f t="shared" si="0"/>
        <v>106</v>
      </c>
      <c r="B109" s="11" t="s">
        <v>393</v>
      </c>
      <c r="C109" s="10" t="s">
        <v>394</v>
      </c>
      <c r="D109" s="10" t="s">
        <v>79</v>
      </c>
      <c r="E109" s="10" t="s">
        <v>3</v>
      </c>
      <c r="F109" s="11" t="s">
        <v>395</v>
      </c>
      <c r="G109" s="11"/>
      <c r="H109" s="11"/>
      <c r="I109" s="11">
        <v>1969</v>
      </c>
      <c r="J109" s="10" t="s">
        <v>64</v>
      </c>
      <c r="K109" s="15" t="s">
        <v>65</v>
      </c>
      <c r="L109" s="15" t="s">
        <v>56</v>
      </c>
      <c r="M109" s="11" t="s">
        <v>26</v>
      </c>
      <c r="N109" s="10">
        <v>1696</v>
      </c>
      <c r="O109" s="10">
        <v>6745</v>
      </c>
      <c r="P109" s="10">
        <v>2</v>
      </c>
      <c r="Q109" s="10">
        <v>72</v>
      </c>
      <c r="R109" s="10" t="s">
        <v>66</v>
      </c>
      <c r="S109" s="10">
        <v>406</v>
      </c>
      <c r="T109" s="10">
        <v>112</v>
      </c>
      <c r="U109" s="18">
        <v>43565</v>
      </c>
      <c r="V109" s="18">
        <v>47217</v>
      </c>
      <c r="W109" s="10" t="s">
        <v>10</v>
      </c>
      <c r="X109" s="10" t="s">
        <v>17</v>
      </c>
    </row>
    <row r="110" spans="1:24" ht="66" customHeight="1" x14ac:dyDescent="0.25">
      <c r="A110" s="10">
        <f t="shared" si="0"/>
        <v>107</v>
      </c>
      <c r="B110" s="11" t="s">
        <v>396</v>
      </c>
      <c r="C110" s="10" t="s">
        <v>374</v>
      </c>
      <c r="D110" s="10" t="s">
        <v>79</v>
      </c>
      <c r="E110" s="10" t="s">
        <v>0</v>
      </c>
      <c r="F110" s="11" t="s">
        <v>397</v>
      </c>
      <c r="G110" s="11"/>
      <c r="H110" s="11"/>
      <c r="I110" s="11">
        <v>1966</v>
      </c>
      <c r="J110" s="10" t="s">
        <v>64</v>
      </c>
      <c r="K110" s="15" t="s">
        <v>65</v>
      </c>
      <c r="L110" s="15" t="s">
        <v>56</v>
      </c>
      <c r="M110" s="11" t="s">
        <v>26</v>
      </c>
      <c r="N110" s="10">
        <v>4028</v>
      </c>
      <c r="O110" s="10">
        <v>10877</v>
      </c>
      <c r="P110" s="10">
        <v>5</v>
      </c>
      <c r="Q110" s="10">
        <v>192</v>
      </c>
      <c r="R110" s="10" t="s">
        <v>57</v>
      </c>
      <c r="S110" s="10">
        <v>273</v>
      </c>
      <c r="T110" s="10">
        <v>75</v>
      </c>
      <c r="U110" s="18">
        <v>43565</v>
      </c>
      <c r="V110" s="18">
        <v>47217</v>
      </c>
      <c r="W110" s="10" t="s">
        <v>10</v>
      </c>
      <c r="X110" s="10" t="s">
        <v>17</v>
      </c>
    </row>
    <row r="111" spans="1:24" ht="66" customHeight="1" x14ac:dyDescent="0.25">
      <c r="A111" s="10">
        <f t="shared" si="0"/>
        <v>108</v>
      </c>
      <c r="B111" s="10" t="s">
        <v>398</v>
      </c>
      <c r="C111" s="10" t="s">
        <v>374</v>
      </c>
      <c r="D111" s="10" t="s">
        <v>79</v>
      </c>
      <c r="E111" s="10" t="s">
        <v>3</v>
      </c>
      <c r="F111" s="11" t="s">
        <v>399</v>
      </c>
      <c r="G111" s="11"/>
      <c r="H111" s="11"/>
      <c r="I111" s="11">
        <v>1979</v>
      </c>
      <c r="J111" s="10" t="s">
        <v>64</v>
      </c>
      <c r="K111" s="15" t="s">
        <v>65</v>
      </c>
      <c r="L111" s="15" t="s">
        <v>56</v>
      </c>
      <c r="M111" s="11" t="s">
        <v>26</v>
      </c>
      <c r="N111" s="10">
        <v>2396</v>
      </c>
      <c r="O111" s="10">
        <v>7669</v>
      </c>
      <c r="P111" s="10">
        <v>4</v>
      </c>
      <c r="Q111" s="10">
        <v>88</v>
      </c>
      <c r="R111" s="10" t="s">
        <v>66</v>
      </c>
      <c r="S111" s="10">
        <v>343</v>
      </c>
      <c r="T111" s="10">
        <v>85</v>
      </c>
      <c r="U111" s="18">
        <v>43565</v>
      </c>
      <c r="V111" s="16">
        <v>47217</v>
      </c>
      <c r="W111" s="10" t="s">
        <v>10</v>
      </c>
      <c r="X111" s="10" t="s">
        <v>17</v>
      </c>
    </row>
    <row r="112" spans="1:24" ht="66" customHeight="1" x14ac:dyDescent="0.25">
      <c r="A112" s="10">
        <f t="shared" si="0"/>
        <v>109</v>
      </c>
      <c r="B112" s="11" t="s">
        <v>400</v>
      </c>
      <c r="C112" s="10" t="s">
        <v>74</v>
      </c>
      <c r="D112" s="10" t="s">
        <v>75</v>
      </c>
      <c r="E112" s="10" t="s">
        <v>3</v>
      </c>
      <c r="F112" s="11" t="s">
        <v>401</v>
      </c>
      <c r="G112" s="11"/>
      <c r="H112" s="11"/>
      <c r="I112" s="11">
        <v>1961</v>
      </c>
      <c r="J112" s="11" t="s">
        <v>402</v>
      </c>
      <c r="K112" s="15" t="s">
        <v>403</v>
      </c>
      <c r="L112" s="15" t="s">
        <v>56</v>
      </c>
      <c r="M112" s="11" t="s">
        <v>26</v>
      </c>
      <c r="N112" s="10">
        <v>4165.09</v>
      </c>
      <c r="O112" s="10">
        <v>12982.62</v>
      </c>
      <c r="P112" s="10">
        <v>3</v>
      </c>
      <c r="Q112" s="10">
        <v>111</v>
      </c>
      <c r="R112" s="10" t="s">
        <v>66</v>
      </c>
      <c r="S112" s="10">
        <v>674.7</v>
      </c>
      <c r="T112" s="10">
        <v>134.4</v>
      </c>
      <c r="U112" s="18">
        <v>43529</v>
      </c>
      <c r="V112" s="18">
        <v>47181</v>
      </c>
      <c r="W112" s="10" t="s">
        <v>13</v>
      </c>
      <c r="X112" s="10" t="s">
        <v>17</v>
      </c>
    </row>
    <row r="113" spans="1:24" ht="66" customHeight="1" x14ac:dyDescent="0.25">
      <c r="A113" s="10">
        <f t="shared" si="0"/>
        <v>110</v>
      </c>
      <c r="B113" s="11" t="s">
        <v>404</v>
      </c>
      <c r="C113" s="10" t="s">
        <v>405</v>
      </c>
      <c r="D113" s="10" t="s">
        <v>148</v>
      </c>
      <c r="E113" s="10" t="s">
        <v>3</v>
      </c>
      <c r="F113" s="11" t="s">
        <v>406</v>
      </c>
      <c r="G113" s="11"/>
      <c r="H113" s="11"/>
      <c r="I113" s="11">
        <v>1953</v>
      </c>
      <c r="J113" s="11" t="s">
        <v>209</v>
      </c>
      <c r="K113" s="15" t="s">
        <v>210</v>
      </c>
      <c r="L113" s="15" t="s">
        <v>56</v>
      </c>
      <c r="M113" s="11" t="s">
        <v>26</v>
      </c>
      <c r="N113" s="10">
        <v>1949</v>
      </c>
      <c r="O113" s="10">
        <v>6810</v>
      </c>
      <c r="P113" s="31">
        <v>43467</v>
      </c>
      <c r="Q113" s="10">
        <v>63</v>
      </c>
      <c r="R113" s="10" t="s">
        <v>66</v>
      </c>
      <c r="S113" s="10">
        <v>257</v>
      </c>
      <c r="T113" s="10">
        <v>65</v>
      </c>
      <c r="U113" s="18">
        <v>43567</v>
      </c>
      <c r="V113" s="18">
        <v>47219</v>
      </c>
      <c r="W113" s="10" t="s">
        <v>13</v>
      </c>
      <c r="X113" s="10" t="s">
        <v>17</v>
      </c>
    </row>
    <row r="114" spans="1:24" ht="66" customHeight="1" x14ac:dyDescent="0.25">
      <c r="A114" s="10">
        <f t="shared" si="0"/>
        <v>111</v>
      </c>
      <c r="B114" s="27" t="s">
        <v>407</v>
      </c>
      <c r="C114" s="10" t="s">
        <v>408</v>
      </c>
      <c r="D114" s="24" t="s">
        <v>174</v>
      </c>
      <c r="E114" s="10" t="s">
        <v>3</v>
      </c>
      <c r="F114" s="11" t="s">
        <v>409</v>
      </c>
      <c r="G114" s="11"/>
      <c r="H114" s="11"/>
      <c r="I114" s="11">
        <v>1965</v>
      </c>
      <c r="J114" s="11" t="s">
        <v>209</v>
      </c>
      <c r="K114" s="15" t="s">
        <v>210</v>
      </c>
      <c r="L114" s="15" t="s">
        <v>56</v>
      </c>
      <c r="M114" s="11" t="s">
        <v>26</v>
      </c>
      <c r="N114" s="10">
        <v>2843</v>
      </c>
      <c r="O114" s="10">
        <v>8188</v>
      </c>
      <c r="P114" s="31">
        <v>43497</v>
      </c>
      <c r="Q114" s="10">
        <v>68.599999999999994</v>
      </c>
      <c r="R114" s="10" t="s">
        <v>66</v>
      </c>
      <c r="S114" s="10">
        <v>256</v>
      </c>
      <c r="T114" s="10">
        <v>66</v>
      </c>
      <c r="U114" s="18">
        <v>43570</v>
      </c>
      <c r="V114" s="18">
        <v>47222</v>
      </c>
      <c r="W114" s="10" t="s">
        <v>13</v>
      </c>
      <c r="X114" s="10" t="s">
        <v>17</v>
      </c>
    </row>
    <row r="115" spans="1:24" ht="66" customHeight="1" x14ac:dyDescent="0.25">
      <c r="A115" s="10">
        <f t="shared" si="0"/>
        <v>112</v>
      </c>
      <c r="B115" s="11" t="s">
        <v>410</v>
      </c>
      <c r="C115" s="10" t="s">
        <v>411</v>
      </c>
      <c r="D115" s="10" t="s">
        <v>174</v>
      </c>
      <c r="E115" s="10" t="s">
        <v>3</v>
      </c>
      <c r="F115" s="11" t="s">
        <v>412</v>
      </c>
      <c r="G115" s="11"/>
      <c r="H115" s="11"/>
      <c r="I115" s="11">
        <v>1976</v>
      </c>
      <c r="J115" s="11" t="s">
        <v>209</v>
      </c>
      <c r="K115" s="15" t="s">
        <v>210</v>
      </c>
      <c r="L115" s="15" t="s">
        <v>56</v>
      </c>
      <c r="M115" s="11" t="s">
        <v>24</v>
      </c>
      <c r="N115" s="10">
        <v>1871</v>
      </c>
      <c r="O115" s="10">
        <v>7480</v>
      </c>
      <c r="P115" s="31">
        <v>43497</v>
      </c>
      <c r="Q115" s="10">
        <v>43.8</v>
      </c>
      <c r="R115" s="10" t="s">
        <v>66</v>
      </c>
      <c r="S115" s="10">
        <v>201</v>
      </c>
      <c r="T115" s="10">
        <v>52</v>
      </c>
      <c r="U115" s="18">
        <v>43572</v>
      </c>
      <c r="V115" s="18">
        <v>47224</v>
      </c>
      <c r="W115" s="10" t="s">
        <v>13</v>
      </c>
      <c r="X115" s="10" t="s">
        <v>17</v>
      </c>
    </row>
    <row r="116" spans="1:24" ht="66" customHeight="1" x14ac:dyDescent="0.25">
      <c r="A116" s="10">
        <f t="shared" si="0"/>
        <v>113</v>
      </c>
      <c r="B116" s="11" t="s">
        <v>413</v>
      </c>
      <c r="C116" s="10" t="s">
        <v>414</v>
      </c>
      <c r="D116" s="10" t="s">
        <v>142</v>
      </c>
      <c r="E116" s="10" t="s">
        <v>3</v>
      </c>
      <c r="F116" s="11" t="s">
        <v>415</v>
      </c>
      <c r="G116" s="11"/>
      <c r="H116" s="11"/>
      <c r="I116" s="11">
        <v>1991</v>
      </c>
      <c r="J116" s="11" t="s">
        <v>93</v>
      </c>
      <c r="K116" s="15" t="s">
        <v>94</v>
      </c>
      <c r="L116" s="15" t="s">
        <v>56</v>
      </c>
      <c r="M116" s="11" t="s">
        <v>26</v>
      </c>
      <c r="N116" s="10">
        <v>2398.1</v>
      </c>
      <c r="O116" s="10">
        <v>8022</v>
      </c>
      <c r="P116" s="10">
        <v>2</v>
      </c>
      <c r="Q116" s="10">
        <v>81.400000000000006</v>
      </c>
      <c r="R116" s="10" t="s">
        <v>66</v>
      </c>
      <c r="S116" s="10">
        <v>382</v>
      </c>
      <c r="T116" s="10">
        <v>74</v>
      </c>
      <c r="U116" s="18">
        <v>43566</v>
      </c>
      <c r="V116" s="18">
        <v>47218</v>
      </c>
      <c r="W116" s="10" t="s">
        <v>10</v>
      </c>
      <c r="X116" s="10" t="s">
        <v>17</v>
      </c>
    </row>
    <row r="117" spans="1:24" ht="66" customHeight="1" x14ac:dyDescent="0.25">
      <c r="A117" s="10">
        <f t="shared" si="0"/>
        <v>114</v>
      </c>
      <c r="B117" s="27" t="s">
        <v>416</v>
      </c>
      <c r="C117" s="10" t="s">
        <v>320</v>
      </c>
      <c r="D117" s="24" t="s">
        <v>79</v>
      </c>
      <c r="E117" s="10" t="s">
        <v>0</v>
      </c>
      <c r="F117" s="24" t="s">
        <v>417</v>
      </c>
      <c r="G117" s="11"/>
      <c r="H117" s="11"/>
      <c r="I117" s="11">
        <v>1973</v>
      </c>
      <c r="J117" s="10" t="s">
        <v>64</v>
      </c>
      <c r="K117" s="15" t="s">
        <v>65</v>
      </c>
      <c r="L117" s="15" t="s">
        <v>56</v>
      </c>
      <c r="M117" s="11" t="s">
        <v>26</v>
      </c>
      <c r="N117" s="10">
        <v>5199</v>
      </c>
      <c r="O117" s="10">
        <v>14038</v>
      </c>
      <c r="P117" s="10">
        <v>5</v>
      </c>
      <c r="Q117" s="10">
        <v>216</v>
      </c>
      <c r="R117" s="10" t="s">
        <v>57</v>
      </c>
      <c r="S117" s="10">
        <v>368</v>
      </c>
      <c r="T117" s="10">
        <v>110</v>
      </c>
      <c r="U117" s="18">
        <v>43573</v>
      </c>
      <c r="V117" s="29">
        <v>47225</v>
      </c>
      <c r="W117" s="10" t="s">
        <v>10</v>
      </c>
      <c r="X117" s="10" t="s">
        <v>17</v>
      </c>
    </row>
    <row r="118" spans="1:24" ht="66" customHeight="1" x14ac:dyDescent="0.25">
      <c r="A118" s="10">
        <f t="shared" si="0"/>
        <v>115</v>
      </c>
      <c r="B118" s="11" t="s">
        <v>418</v>
      </c>
      <c r="C118" s="11" t="s">
        <v>419</v>
      </c>
      <c r="D118" s="10" t="s">
        <v>79</v>
      </c>
      <c r="E118" s="10" t="s">
        <v>0</v>
      </c>
      <c r="F118" s="10" t="s">
        <v>420</v>
      </c>
      <c r="G118" s="11"/>
      <c r="H118" s="11"/>
      <c r="I118" s="11">
        <v>1971</v>
      </c>
      <c r="J118" s="10" t="s">
        <v>64</v>
      </c>
      <c r="K118" s="15" t="s">
        <v>65</v>
      </c>
      <c r="L118" s="15" t="s">
        <v>56</v>
      </c>
      <c r="M118" s="11" t="s">
        <v>26</v>
      </c>
      <c r="N118" s="10">
        <v>4149</v>
      </c>
      <c r="O118" s="10">
        <v>12448</v>
      </c>
      <c r="P118" s="10">
        <v>5</v>
      </c>
      <c r="Q118" s="10">
        <v>197</v>
      </c>
      <c r="R118" s="10" t="s">
        <v>57</v>
      </c>
      <c r="S118" s="10">
        <v>279</v>
      </c>
      <c r="T118" s="10">
        <v>76</v>
      </c>
      <c r="U118" s="18">
        <v>43573</v>
      </c>
      <c r="V118" s="29">
        <v>47226</v>
      </c>
      <c r="W118" s="10" t="s">
        <v>10</v>
      </c>
      <c r="X118" s="10" t="s">
        <v>17</v>
      </c>
    </row>
    <row r="119" spans="1:24" ht="66" customHeight="1" x14ac:dyDescent="0.25">
      <c r="A119" s="10">
        <f t="shared" si="0"/>
        <v>116</v>
      </c>
      <c r="B119" s="11" t="s">
        <v>421</v>
      </c>
      <c r="C119" s="24" t="s">
        <v>422</v>
      </c>
      <c r="D119" s="10" t="s">
        <v>79</v>
      </c>
      <c r="E119" s="10" t="s">
        <v>3</v>
      </c>
      <c r="F119" s="11" t="s">
        <v>423</v>
      </c>
      <c r="G119" s="11"/>
      <c r="H119" s="11"/>
      <c r="I119" s="11">
        <v>1972</v>
      </c>
      <c r="J119" s="10" t="s">
        <v>64</v>
      </c>
      <c r="K119" s="15" t="s">
        <v>65</v>
      </c>
      <c r="L119" s="15" t="s">
        <v>56</v>
      </c>
      <c r="M119" s="11" t="s">
        <v>22</v>
      </c>
      <c r="N119" s="10">
        <v>3331</v>
      </c>
      <c r="O119" s="10">
        <v>18756</v>
      </c>
      <c r="P119" s="10">
        <v>2</v>
      </c>
      <c r="Q119" s="10">
        <v>49</v>
      </c>
      <c r="R119" s="10" t="s">
        <v>66</v>
      </c>
      <c r="S119" s="10">
        <v>437</v>
      </c>
      <c r="T119" s="10">
        <v>126</v>
      </c>
      <c r="U119" s="18">
        <v>43573</v>
      </c>
      <c r="V119" s="18">
        <v>47225</v>
      </c>
      <c r="W119" s="10" t="s">
        <v>10</v>
      </c>
      <c r="X119" s="10" t="s">
        <v>17</v>
      </c>
    </row>
    <row r="120" spans="1:24" ht="66" customHeight="1" x14ac:dyDescent="0.25">
      <c r="A120" s="10">
        <f t="shared" si="0"/>
        <v>117</v>
      </c>
      <c r="B120" s="11" t="s">
        <v>424</v>
      </c>
      <c r="C120" s="10" t="s">
        <v>411</v>
      </c>
      <c r="D120" s="10" t="s">
        <v>174</v>
      </c>
      <c r="E120" s="10" t="s">
        <v>4</v>
      </c>
      <c r="F120" s="11" t="s">
        <v>425</v>
      </c>
      <c r="G120" s="11"/>
      <c r="H120" s="11"/>
      <c r="I120" s="11">
        <v>1968</v>
      </c>
      <c r="J120" s="11" t="s">
        <v>209</v>
      </c>
      <c r="K120" s="15" t="s">
        <v>210</v>
      </c>
      <c r="L120" s="15" t="s">
        <v>56</v>
      </c>
      <c r="M120" s="11" t="s">
        <v>22</v>
      </c>
      <c r="N120" s="10">
        <v>621</v>
      </c>
      <c r="O120" s="10">
        <v>2081</v>
      </c>
      <c r="P120" s="10">
        <v>2</v>
      </c>
      <c r="Q120" s="10">
        <v>73.400000000000006</v>
      </c>
      <c r="R120" s="10" t="s">
        <v>66</v>
      </c>
      <c r="S120" s="10">
        <v>237</v>
      </c>
      <c r="T120" s="10">
        <v>58</v>
      </c>
      <c r="U120" s="18">
        <v>43573</v>
      </c>
      <c r="V120" s="18">
        <v>47225</v>
      </c>
      <c r="W120" s="10" t="s">
        <v>10</v>
      </c>
      <c r="X120" s="10" t="s">
        <v>17</v>
      </c>
    </row>
    <row r="121" spans="1:24" ht="66" customHeight="1" x14ac:dyDescent="0.25">
      <c r="A121" s="10">
        <f t="shared" si="0"/>
        <v>118</v>
      </c>
      <c r="B121" s="11" t="s">
        <v>426</v>
      </c>
      <c r="C121" s="10" t="s">
        <v>85</v>
      </c>
      <c r="D121" s="10" t="s">
        <v>86</v>
      </c>
      <c r="E121" s="10" t="s">
        <v>0</v>
      </c>
      <c r="F121" s="11" t="s">
        <v>427</v>
      </c>
      <c r="G121" s="11"/>
      <c r="H121" s="11"/>
      <c r="I121" s="11">
        <v>1984</v>
      </c>
      <c r="J121" s="11" t="s">
        <v>428</v>
      </c>
      <c r="K121" s="15" t="s">
        <v>429</v>
      </c>
      <c r="L121" s="15" t="s">
        <v>56</v>
      </c>
      <c r="M121" s="11" t="s">
        <v>26</v>
      </c>
      <c r="N121" s="10">
        <v>5143</v>
      </c>
      <c r="O121" s="10">
        <v>12857.5</v>
      </c>
      <c r="P121" s="10">
        <v>9</v>
      </c>
      <c r="Q121" s="10">
        <v>219.31</v>
      </c>
      <c r="R121" s="10" t="s">
        <v>57</v>
      </c>
      <c r="S121" s="10">
        <v>226.9</v>
      </c>
      <c r="T121" s="10">
        <v>46.2</v>
      </c>
      <c r="U121" s="18">
        <v>43570</v>
      </c>
      <c r="V121" s="18">
        <v>43794</v>
      </c>
      <c r="W121" s="10" t="s">
        <v>10</v>
      </c>
      <c r="X121" s="10" t="s">
        <v>17</v>
      </c>
    </row>
    <row r="122" spans="1:24" ht="66" customHeight="1" x14ac:dyDescent="0.25">
      <c r="A122" s="10">
        <f t="shared" si="0"/>
        <v>119</v>
      </c>
      <c r="B122" s="11" t="s">
        <v>430</v>
      </c>
      <c r="C122" s="10" t="s">
        <v>52</v>
      </c>
      <c r="D122" s="10" t="s">
        <v>52</v>
      </c>
      <c r="E122" s="10" t="s">
        <v>0</v>
      </c>
      <c r="F122" s="11" t="s">
        <v>431</v>
      </c>
      <c r="G122" s="11"/>
      <c r="H122" s="11"/>
      <c r="I122" s="11">
        <v>1978</v>
      </c>
      <c r="J122" s="11" t="s">
        <v>432</v>
      </c>
      <c r="K122" s="15" t="s">
        <v>433</v>
      </c>
      <c r="L122" s="15" t="s">
        <v>56</v>
      </c>
      <c r="M122" s="11" t="s">
        <v>26</v>
      </c>
      <c r="N122" s="10">
        <v>8814</v>
      </c>
      <c r="O122" s="10">
        <v>24679</v>
      </c>
      <c r="P122" s="10">
        <v>9</v>
      </c>
      <c r="Q122" s="10">
        <v>183.5</v>
      </c>
      <c r="R122" s="10" t="s">
        <v>57</v>
      </c>
      <c r="S122" s="10">
        <v>242.6</v>
      </c>
      <c r="T122" s="10">
        <v>48.36</v>
      </c>
      <c r="U122" s="18">
        <v>43571</v>
      </c>
      <c r="V122" s="18">
        <v>47223</v>
      </c>
      <c r="W122" s="10" t="s">
        <v>13</v>
      </c>
      <c r="X122" s="10" t="s">
        <v>11</v>
      </c>
    </row>
    <row r="123" spans="1:24" ht="66" customHeight="1" x14ac:dyDescent="0.25">
      <c r="A123" s="10">
        <f t="shared" si="0"/>
        <v>120</v>
      </c>
      <c r="B123" s="27" t="s">
        <v>434</v>
      </c>
      <c r="C123" s="10" t="s">
        <v>85</v>
      </c>
      <c r="D123" s="10" t="s">
        <v>86</v>
      </c>
      <c r="E123" s="10" t="s">
        <v>0</v>
      </c>
      <c r="F123" s="11" t="s">
        <v>435</v>
      </c>
      <c r="G123" s="11"/>
      <c r="H123" s="11"/>
      <c r="I123" s="11">
        <v>1994</v>
      </c>
      <c r="J123" s="11" t="s">
        <v>432</v>
      </c>
      <c r="K123" s="15" t="s">
        <v>433</v>
      </c>
      <c r="L123" s="15" t="s">
        <v>56</v>
      </c>
      <c r="M123" s="11" t="s">
        <v>26</v>
      </c>
      <c r="N123" s="10">
        <v>7856</v>
      </c>
      <c r="O123" s="10">
        <v>21960</v>
      </c>
      <c r="P123" s="10">
        <v>9</v>
      </c>
      <c r="Q123" s="10">
        <v>174.3</v>
      </c>
      <c r="R123" s="10" t="s">
        <v>57</v>
      </c>
      <c r="S123" s="10">
        <v>228.66</v>
      </c>
      <c r="T123" s="10">
        <v>45.65</v>
      </c>
      <c r="U123" s="18">
        <v>43571</v>
      </c>
      <c r="V123" s="18">
        <v>47223</v>
      </c>
      <c r="W123" s="10" t="s">
        <v>10</v>
      </c>
      <c r="X123" s="10" t="s">
        <v>17</v>
      </c>
    </row>
    <row r="124" spans="1:24" ht="66" customHeight="1" x14ac:dyDescent="0.25">
      <c r="A124" s="10">
        <f t="shared" si="0"/>
        <v>121</v>
      </c>
      <c r="B124" s="11" t="s">
        <v>436</v>
      </c>
      <c r="C124" s="10" t="s">
        <v>68</v>
      </c>
      <c r="D124" s="10" t="s">
        <v>69</v>
      </c>
      <c r="E124" s="10" t="s">
        <v>2</v>
      </c>
      <c r="F124" s="11" t="s">
        <v>437</v>
      </c>
      <c r="G124" s="11"/>
      <c r="H124" s="11"/>
      <c r="I124" s="11">
        <v>1973</v>
      </c>
      <c r="J124" s="10" t="s">
        <v>438</v>
      </c>
      <c r="K124" s="15" t="s">
        <v>439</v>
      </c>
      <c r="L124" s="15" t="s">
        <v>56</v>
      </c>
      <c r="M124" s="11" t="s">
        <v>24</v>
      </c>
      <c r="N124" s="10">
        <v>916.7</v>
      </c>
      <c r="O124" s="10">
        <v>3324</v>
      </c>
      <c r="P124" s="10">
        <v>3</v>
      </c>
      <c r="Q124" s="10">
        <v>98</v>
      </c>
      <c r="R124" s="10" t="s">
        <v>66</v>
      </c>
      <c r="S124" s="10">
        <v>424</v>
      </c>
      <c r="T124" s="10">
        <v>84</v>
      </c>
      <c r="U124" s="18">
        <v>43567</v>
      </c>
      <c r="V124" s="18">
        <v>47219</v>
      </c>
      <c r="W124" s="10" t="s">
        <v>13</v>
      </c>
      <c r="X124" s="10" t="s">
        <v>17</v>
      </c>
    </row>
    <row r="125" spans="1:24" ht="66" customHeight="1" x14ac:dyDescent="0.25">
      <c r="A125" s="10">
        <f t="shared" si="0"/>
        <v>122</v>
      </c>
      <c r="B125" s="11" t="s">
        <v>440</v>
      </c>
      <c r="C125" s="10" t="s">
        <v>441</v>
      </c>
      <c r="D125" s="10" t="s">
        <v>442</v>
      </c>
      <c r="E125" s="10" t="s">
        <v>0</v>
      </c>
      <c r="F125" s="11" t="s">
        <v>443</v>
      </c>
      <c r="G125" s="11"/>
      <c r="H125" s="11"/>
      <c r="I125" s="11">
        <v>1966</v>
      </c>
      <c r="J125" s="11" t="s">
        <v>432</v>
      </c>
      <c r="K125" s="15" t="s">
        <v>433</v>
      </c>
      <c r="L125" s="15" t="s">
        <v>56</v>
      </c>
      <c r="M125" s="11" t="s">
        <v>26</v>
      </c>
      <c r="N125" s="10">
        <v>4140</v>
      </c>
      <c r="O125" s="10">
        <v>11592</v>
      </c>
      <c r="P125" s="10">
        <v>5</v>
      </c>
      <c r="Q125" s="10">
        <v>166.22</v>
      </c>
      <c r="R125" s="10" t="s">
        <v>57</v>
      </c>
      <c r="S125" s="10">
        <v>240.63</v>
      </c>
      <c r="T125" s="10">
        <v>47.14</v>
      </c>
      <c r="U125" s="18">
        <v>43573</v>
      </c>
      <c r="V125" s="18">
        <v>47225</v>
      </c>
      <c r="W125" s="10" t="s">
        <v>10</v>
      </c>
      <c r="X125" s="10" t="s">
        <v>17</v>
      </c>
    </row>
    <row r="126" spans="1:24" ht="66" customHeight="1" x14ac:dyDescent="0.25">
      <c r="A126" s="10">
        <f t="shared" si="0"/>
        <v>123</v>
      </c>
      <c r="B126" s="11" t="s">
        <v>444</v>
      </c>
      <c r="C126" s="24" t="s">
        <v>408</v>
      </c>
      <c r="D126" s="10" t="s">
        <v>174</v>
      </c>
      <c r="E126" s="10" t="s">
        <v>4</v>
      </c>
      <c r="F126" s="11" t="s">
        <v>445</v>
      </c>
      <c r="G126" s="11"/>
      <c r="H126" s="11"/>
      <c r="I126" s="11">
        <v>1968</v>
      </c>
      <c r="J126" s="11" t="s">
        <v>209</v>
      </c>
      <c r="K126" s="15" t="s">
        <v>210</v>
      </c>
      <c r="L126" s="15" t="s">
        <v>56</v>
      </c>
      <c r="M126" s="11" t="s">
        <v>22</v>
      </c>
      <c r="N126" s="10">
        <v>977</v>
      </c>
      <c r="O126" s="10">
        <v>3118</v>
      </c>
      <c r="P126" s="31">
        <v>43467</v>
      </c>
      <c r="Q126" s="10">
        <v>74.8</v>
      </c>
      <c r="R126" s="10" t="s">
        <v>66</v>
      </c>
      <c r="S126" s="10">
        <v>96</v>
      </c>
      <c r="T126" s="10">
        <v>22</v>
      </c>
      <c r="U126" s="18">
        <v>43574</v>
      </c>
      <c r="V126" s="18">
        <v>47226</v>
      </c>
      <c r="W126" s="10" t="s">
        <v>10</v>
      </c>
      <c r="X126" s="10" t="s">
        <v>17</v>
      </c>
    </row>
    <row r="127" spans="1:24" ht="66" customHeight="1" x14ac:dyDescent="0.25">
      <c r="A127" s="10">
        <f t="shared" si="0"/>
        <v>124</v>
      </c>
      <c r="B127" s="11" t="s">
        <v>446</v>
      </c>
      <c r="C127" s="10" t="s">
        <v>68</v>
      </c>
      <c r="D127" s="10" t="s">
        <v>69</v>
      </c>
      <c r="E127" s="10" t="s">
        <v>0</v>
      </c>
      <c r="F127" s="11" t="s">
        <v>447</v>
      </c>
      <c r="G127" s="11"/>
      <c r="H127" s="11"/>
      <c r="I127" s="11">
        <v>2002</v>
      </c>
      <c r="J127" s="11" t="s">
        <v>448</v>
      </c>
      <c r="K127" s="15" t="s">
        <v>449</v>
      </c>
      <c r="L127" s="15" t="s">
        <v>56</v>
      </c>
      <c r="M127" s="11" t="s">
        <v>26</v>
      </c>
      <c r="N127" s="10">
        <v>5471.2</v>
      </c>
      <c r="O127" s="10">
        <v>15319.36</v>
      </c>
      <c r="P127" s="10">
        <v>14</v>
      </c>
      <c r="Q127" s="10">
        <v>170.5</v>
      </c>
      <c r="R127" s="10" t="s">
        <v>57</v>
      </c>
      <c r="S127" s="10">
        <v>269.89999999999998</v>
      </c>
      <c r="T127" s="10">
        <v>53.1</v>
      </c>
      <c r="U127" s="18">
        <v>43574</v>
      </c>
      <c r="V127" s="18">
        <v>47226</v>
      </c>
      <c r="W127" s="10" t="s">
        <v>10</v>
      </c>
      <c r="X127" s="10" t="s">
        <v>17</v>
      </c>
    </row>
    <row r="128" spans="1:24" ht="66" customHeight="1" x14ac:dyDescent="0.25">
      <c r="A128" s="10">
        <f t="shared" si="0"/>
        <v>125</v>
      </c>
      <c r="B128" s="11" t="s">
        <v>450</v>
      </c>
      <c r="C128" s="24" t="s">
        <v>451</v>
      </c>
      <c r="D128" s="10" t="s">
        <v>75</v>
      </c>
      <c r="E128" s="10" t="s">
        <v>3</v>
      </c>
      <c r="F128" s="11" t="s">
        <v>452</v>
      </c>
      <c r="G128" s="11"/>
      <c r="H128" s="11"/>
      <c r="I128" s="11">
        <v>1970</v>
      </c>
      <c r="J128" s="11" t="s">
        <v>93</v>
      </c>
      <c r="K128" s="15" t="s">
        <v>94</v>
      </c>
      <c r="L128" s="15" t="s">
        <v>56</v>
      </c>
      <c r="M128" s="11" t="s">
        <v>26</v>
      </c>
      <c r="N128" s="10">
        <v>2974.1</v>
      </c>
      <c r="O128" s="10">
        <v>9056</v>
      </c>
      <c r="P128" s="10">
        <v>2</v>
      </c>
      <c r="Q128" s="10">
        <v>97.8</v>
      </c>
      <c r="R128" s="10" t="s">
        <v>66</v>
      </c>
      <c r="S128" s="10">
        <v>396</v>
      </c>
      <c r="T128" s="10">
        <v>114</v>
      </c>
      <c r="U128" s="18">
        <v>43567</v>
      </c>
      <c r="V128" s="18">
        <v>47219</v>
      </c>
      <c r="W128" s="10" t="s">
        <v>10</v>
      </c>
      <c r="X128" s="10" t="s">
        <v>17</v>
      </c>
    </row>
    <row r="129" spans="1:24" ht="66" customHeight="1" x14ac:dyDescent="0.25">
      <c r="A129" s="10">
        <f t="shared" si="0"/>
        <v>126</v>
      </c>
      <c r="B129" s="11" t="s">
        <v>453</v>
      </c>
      <c r="C129" s="10" t="s">
        <v>454</v>
      </c>
      <c r="D129" s="10" t="s">
        <v>103</v>
      </c>
      <c r="E129" s="10" t="s">
        <v>3</v>
      </c>
      <c r="F129" s="11" t="s">
        <v>455</v>
      </c>
      <c r="G129" s="11"/>
      <c r="H129" s="11"/>
      <c r="I129" s="11">
        <v>1984</v>
      </c>
      <c r="J129" s="11" t="s">
        <v>225</v>
      </c>
      <c r="K129" s="15" t="s">
        <v>226</v>
      </c>
      <c r="L129" s="15" t="s">
        <v>56</v>
      </c>
      <c r="M129" s="32" t="s">
        <v>26</v>
      </c>
      <c r="N129" s="32">
        <v>788.7</v>
      </c>
      <c r="O129" s="32">
        <v>3078</v>
      </c>
      <c r="P129" s="32">
        <v>1</v>
      </c>
      <c r="Q129" s="33">
        <v>71</v>
      </c>
      <c r="R129" s="10" t="s">
        <v>66</v>
      </c>
      <c r="S129" s="34">
        <v>387</v>
      </c>
      <c r="T129" s="34">
        <v>77</v>
      </c>
      <c r="U129" s="35">
        <v>43571</v>
      </c>
      <c r="V129" s="36">
        <v>47223</v>
      </c>
      <c r="W129" s="37" t="s">
        <v>13</v>
      </c>
      <c r="X129" s="37" t="s">
        <v>17</v>
      </c>
    </row>
    <row r="130" spans="1:24" ht="66" customHeight="1" x14ac:dyDescent="0.25">
      <c r="A130" s="10">
        <f t="shared" si="0"/>
        <v>127</v>
      </c>
      <c r="B130" s="11" t="s">
        <v>456</v>
      </c>
      <c r="C130" s="10" t="s">
        <v>187</v>
      </c>
      <c r="D130" s="11" t="s">
        <v>103</v>
      </c>
      <c r="E130" s="10" t="s">
        <v>3</v>
      </c>
      <c r="F130" s="11" t="s">
        <v>457</v>
      </c>
      <c r="G130" s="11"/>
      <c r="H130" s="11"/>
      <c r="I130" s="11">
        <v>1943</v>
      </c>
      <c r="J130" s="37" t="s">
        <v>458</v>
      </c>
      <c r="K130" s="15" t="s">
        <v>459</v>
      </c>
      <c r="L130" s="38" t="s">
        <v>56</v>
      </c>
      <c r="M130" s="32" t="s">
        <v>22</v>
      </c>
      <c r="N130" s="32">
        <v>6855.14</v>
      </c>
      <c r="O130" s="32">
        <v>20565.419999999998</v>
      </c>
      <c r="P130" s="32">
        <v>3</v>
      </c>
      <c r="Q130" s="32">
        <v>48.49</v>
      </c>
      <c r="R130" s="10" t="s">
        <v>66</v>
      </c>
      <c r="S130" s="32">
        <v>259</v>
      </c>
      <c r="T130" s="32">
        <v>52.85</v>
      </c>
      <c r="U130" s="39">
        <v>43578</v>
      </c>
      <c r="V130" s="36">
        <v>47230</v>
      </c>
      <c r="W130" s="37" t="s">
        <v>10</v>
      </c>
      <c r="X130" s="37" t="s">
        <v>17</v>
      </c>
    </row>
    <row r="131" spans="1:24" ht="66" customHeight="1" x14ac:dyDescent="0.25">
      <c r="A131" s="10">
        <f t="shared" si="0"/>
        <v>128</v>
      </c>
      <c r="B131" s="11" t="s">
        <v>460</v>
      </c>
      <c r="C131" s="10" t="s">
        <v>187</v>
      </c>
      <c r="D131" s="10" t="s">
        <v>103</v>
      </c>
      <c r="E131" s="10" t="s">
        <v>3</v>
      </c>
      <c r="F131" s="11" t="s">
        <v>461</v>
      </c>
      <c r="G131" s="11"/>
      <c r="H131" s="11"/>
      <c r="I131" s="11">
        <v>1923</v>
      </c>
      <c r="J131" s="37" t="s">
        <v>458</v>
      </c>
      <c r="K131" s="15" t="s">
        <v>459</v>
      </c>
      <c r="L131" s="15" t="s">
        <v>56</v>
      </c>
      <c r="M131" s="11" t="s">
        <v>22</v>
      </c>
      <c r="N131" s="10">
        <v>4341</v>
      </c>
      <c r="O131" s="10">
        <v>16076</v>
      </c>
      <c r="P131" s="10">
        <v>3</v>
      </c>
      <c r="Q131" s="10">
        <v>42.8</v>
      </c>
      <c r="R131" s="10" t="s">
        <v>66</v>
      </c>
      <c r="S131" s="10">
        <v>289.2</v>
      </c>
      <c r="T131" s="10">
        <v>57</v>
      </c>
      <c r="U131" s="39">
        <v>43578</v>
      </c>
      <c r="V131" s="36">
        <v>47230</v>
      </c>
      <c r="W131" s="10" t="s">
        <v>10</v>
      </c>
      <c r="X131" s="10" t="s">
        <v>17</v>
      </c>
    </row>
    <row r="132" spans="1:24" ht="66" customHeight="1" x14ac:dyDescent="0.25">
      <c r="A132" s="10">
        <f t="shared" si="0"/>
        <v>129</v>
      </c>
      <c r="B132" s="11" t="s">
        <v>462</v>
      </c>
      <c r="C132" s="10" t="s">
        <v>187</v>
      </c>
      <c r="D132" s="10" t="s">
        <v>103</v>
      </c>
      <c r="E132" s="10" t="s">
        <v>3</v>
      </c>
      <c r="F132" s="11" t="s">
        <v>463</v>
      </c>
      <c r="G132" s="11"/>
      <c r="H132" s="11"/>
      <c r="I132" s="11">
        <v>1961</v>
      </c>
      <c r="J132" s="37" t="s">
        <v>458</v>
      </c>
      <c r="K132" s="15" t="s">
        <v>459</v>
      </c>
      <c r="L132" s="15" t="s">
        <v>56</v>
      </c>
      <c r="M132" s="11" t="s">
        <v>26</v>
      </c>
      <c r="N132" s="10">
        <v>3668</v>
      </c>
      <c r="O132" s="10">
        <v>12287.8</v>
      </c>
      <c r="P132" s="10">
        <v>3</v>
      </c>
      <c r="Q132" s="10">
        <v>60.08</v>
      </c>
      <c r="R132" s="10" t="s">
        <v>66</v>
      </c>
      <c r="S132" s="10">
        <v>133.35</v>
      </c>
      <c r="T132" s="10">
        <v>26.16</v>
      </c>
      <c r="U132" s="39">
        <v>43578</v>
      </c>
      <c r="V132" s="36">
        <v>47230</v>
      </c>
      <c r="W132" s="10" t="s">
        <v>10</v>
      </c>
      <c r="X132" s="10" t="s">
        <v>17</v>
      </c>
    </row>
    <row r="133" spans="1:24" ht="66" customHeight="1" x14ac:dyDescent="0.25">
      <c r="A133" s="10">
        <f t="shared" si="0"/>
        <v>130</v>
      </c>
      <c r="B133" s="11" t="s">
        <v>464</v>
      </c>
      <c r="C133" s="10" t="s">
        <v>187</v>
      </c>
      <c r="D133" s="10" t="s">
        <v>103</v>
      </c>
      <c r="E133" s="10" t="s">
        <v>3</v>
      </c>
      <c r="F133" s="11" t="s">
        <v>465</v>
      </c>
      <c r="G133" s="11"/>
      <c r="H133" s="11"/>
      <c r="I133" s="11">
        <v>1972</v>
      </c>
      <c r="J133" s="37" t="s">
        <v>458</v>
      </c>
      <c r="K133" s="15" t="s">
        <v>459</v>
      </c>
      <c r="L133" s="15" t="s">
        <v>56</v>
      </c>
      <c r="M133" s="11" t="s">
        <v>20</v>
      </c>
      <c r="N133" s="10">
        <v>8168</v>
      </c>
      <c r="O133" s="10">
        <v>28552</v>
      </c>
      <c r="P133" s="10">
        <v>3</v>
      </c>
      <c r="Q133" s="10">
        <v>40.76</v>
      </c>
      <c r="R133" s="10" t="s">
        <v>66</v>
      </c>
      <c r="S133" s="10">
        <v>227.48</v>
      </c>
      <c r="T133" s="10">
        <v>41.98</v>
      </c>
      <c r="U133" s="39">
        <v>43578</v>
      </c>
      <c r="V133" s="36">
        <v>47230</v>
      </c>
      <c r="W133" s="10" t="s">
        <v>10</v>
      </c>
      <c r="X133" s="10" t="s">
        <v>17</v>
      </c>
    </row>
    <row r="134" spans="1:24" ht="66" customHeight="1" x14ac:dyDescent="0.25">
      <c r="A134" s="10">
        <f t="shared" si="0"/>
        <v>131</v>
      </c>
      <c r="B134" s="11" t="s">
        <v>466</v>
      </c>
      <c r="C134" s="24" t="s">
        <v>467</v>
      </c>
      <c r="D134" s="10" t="s">
        <v>317</v>
      </c>
      <c r="E134" s="10" t="s">
        <v>4</v>
      </c>
      <c r="F134" s="11" t="s">
        <v>468</v>
      </c>
      <c r="G134" s="11"/>
      <c r="H134" s="11"/>
      <c r="I134" s="11">
        <v>1986</v>
      </c>
      <c r="J134" s="20" t="s">
        <v>131</v>
      </c>
      <c r="K134" s="15" t="s">
        <v>132</v>
      </c>
      <c r="L134" s="15" t="s">
        <v>56</v>
      </c>
      <c r="M134" s="11" t="s">
        <v>26</v>
      </c>
      <c r="N134" s="10">
        <v>1395</v>
      </c>
      <c r="O134" s="10">
        <v>4460</v>
      </c>
      <c r="P134" s="10">
        <v>2</v>
      </c>
      <c r="Q134" s="10">
        <v>105</v>
      </c>
      <c r="R134" s="10" t="s">
        <v>66</v>
      </c>
      <c r="S134" s="10">
        <v>480</v>
      </c>
      <c r="T134" s="10">
        <v>133</v>
      </c>
      <c r="U134" s="18">
        <v>43582</v>
      </c>
      <c r="V134" s="18">
        <v>47234</v>
      </c>
      <c r="W134" s="10" t="s">
        <v>10</v>
      </c>
      <c r="X134" s="10" t="s">
        <v>17</v>
      </c>
    </row>
    <row r="135" spans="1:24" ht="66" customHeight="1" x14ac:dyDescent="0.25">
      <c r="A135" s="10">
        <f t="shared" si="0"/>
        <v>132</v>
      </c>
      <c r="B135" s="11" t="s">
        <v>469</v>
      </c>
      <c r="C135" s="10" t="s">
        <v>243</v>
      </c>
      <c r="D135" s="10" t="s">
        <v>238</v>
      </c>
      <c r="E135" s="10" t="s">
        <v>5</v>
      </c>
      <c r="F135" s="11" t="s">
        <v>470</v>
      </c>
      <c r="G135" s="11"/>
      <c r="H135" s="11"/>
      <c r="I135" s="11">
        <v>1983</v>
      </c>
      <c r="J135" s="11" t="s">
        <v>432</v>
      </c>
      <c r="K135" s="15" t="s">
        <v>433</v>
      </c>
      <c r="L135" s="15" t="s">
        <v>56</v>
      </c>
      <c r="M135" s="11" t="s">
        <v>22</v>
      </c>
      <c r="N135" s="10">
        <v>6441.25</v>
      </c>
      <c r="O135" s="10">
        <v>20514.900000000001</v>
      </c>
      <c r="P135" s="10">
        <v>7</v>
      </c>
      <c r="Q135" s="10">
        <v>79</v>
      </c>
      <c r="R135" s="10" t="s">
        <v>66</v>
      </c>
      <c r="S135" s="10">
        <v>335.1</v>
      </c>
      <c r="T135" s="10">
        <v>66.7</v>
      </c>
      <c r="U135" s="18">
        <v>43587</v>
      </c>
      <c r="V135" s="18">
        <v>47239</v>
      </c>
      <c r="W135" s="10" t="s">
        <v>10</v>
      </c>
      <c r="X135" s="10" t="s">
        <v>17</v>
      </c>
    </row>
    <row r="136" spans="1:24" ht="66" customHeight="1" x14ac:dyDescent="0.25">
      <c r="A136" s="10">
        <f t="shared" si="0"/>
        <v>133</v>
      </c>
      <c r="B136" s="11" t="s">
        <v>471</v>
      </c>
      <c r="C136" s="10" t="s">
        <v>472</v>
      </c>
      <c r="D136" s="10" t="s">
        <v>148</v>
      </c>
      <c r="E136" s="10" t="s">
        <v>2</v>
      </c>
      <c r="F136" s="11" t="s">
        <v>473</v>
      </c>
      <c r="G136" s="11"/>
      <c r="H136" s="11"/>
      <c r="I136" s="11">
        <v>2004</v>
      </c>
      <c r="J136" s="11" t="s">
        <v>126</v>
      </c>
      <c r="K136" s="15" t="s">
        <v>474</v>
      </c>
      <c r="L136" s="15" t="s">
        <v>56</v>
      </c>
      <c r="M136" s="11" t="s">
        <v>26</v>
      </c>
      <c r="N136" s="10">
        <v>389.3</v>
      </c>
      <c r="O136" s="10">
        <v>1179.4000000000001</v>
      </c>
      <c r="P136" s="10">
        <v>2</v>
      </c>
      <c r="Q136" s="10">
        <v>140.30000000000001</v>
      </c>
      <c r="R136" s="10" t="s">
        <v>66</v>
      </c>
      <c r="S136" s="10">
        <v>216.6</v>
      </c>
      <c r="T136" s="10">
        <v>41</v>
      </c>
      <c r="U136" s="18">
        <v>43591</v>
      </c>
      <c r="V136" s="18">
        <v>47243</v>
      </c>
      <c r="W136" s="10" t="s">
        <v>10</v>
      </c>
      <c r="X136" s="10" t="s">
        <v>17</v>
      </c>
    </row>
    <row r="137" spans="1:24" ht="66" customHeight="1" x14ac:dyDescent="0.25">
      <c r="A137" s="10">
        <f t="shared" si="0"/>
        <v>134</v>
      </c>
      <c r="B137" s="11" t="s">
        <v>100</v>
      </c>
      <c r="C137" s="10" t="s">
        <v>303</v>
      </c>
      <c r="D137" s="10" t="s">
        <v>75</v>
      </c>
      <c r="E137" s="10" t="s">
        <v>2</v>
      </c>
      <c r="F137" s="11" t="s">
        <v>475</v>
      </c>
      <c r="G137" s="11"/>
      <c r="H137" s="11"/>
      <c r="I137" s="11">
        <v>1936</v>
      </c>
      <c r="J137" s="11" t="s">
        <v>476</v>
      </c>
      <c r="K137" s="15" t="s">
        <v>477</v>
      </c>
      <c r="L137" s="15" t="s">
        <v>56</v>
      </c>
      <c r="M137" s="11" t="s">
        <v>24</v>
      </c>
      <c r="N137" s="10">
        <v>1616.8</v>
      </c>
      <c r="O137" s="10">
        <v>5739.6</v>
      </c>
      <c r="P137" s="10">
        <v>2</v>
      </c>
      <c r="Q137" s="10">
        <v>101.4</v>
      </c>
      <c r="R137" s="10" t="s">
        <v>66</v>
      </c>
      <c r="S137" s="10">
        <v>529</v>
      </c>
      <c r="T137" s="10">
        <v>105</v>
      </c>
      <c r="U137" s="18">
        <v>43592</v>
      </c>
      <c r="V137" s="18">
        <v>47244</v>
      </c>
      <c r="W137" s="10" t="s">
        <v>10</v>
      </c>
      <c r="X137" s="10" t="s">
        <v>17</v>
      </c>
    </row>
    <row r="138" spans="1:24" ht="66" customHeight="1" x14ac:dyDescent="0.25">
      <c r="A138" s="10">
        <f t="shared" si="0"/>
        <v>135</v>
      </c>
      <c r="B138" s="11" t="s">
        <v>478</v>
      </c>
      <c r="C138" s="10" t="s">
        <v>52</v>
      </c>
      <c r="D138" s="10" t="s">
        <v>52</v>
      </c>
      <c r="E138" s="10" t="s">
        <v>2</v>
      </c>
      <c r="F138" s="10" t="s">
        <v>479</v>
      </c>
      <c r="G138" s="11"/>
      <c r="H138" s="11"/>
      <c r="I138" s="11">
        <v>1984</v>
      </c>
      <c r="J138" s="11" t="s">
        <v>110</v>
      </c>
      <c r="K138" s="15" t="s">
        <v>111</v>
      </c>
      <c r="L138" s="15" t="s">
        <v>56</v>
      </c>
      <c r="M138" s="11" t="s">
        <v>26</v>
      </c>
      <c r="N138" s="10">
        <v>784</v>
      </c>
      <c r="O138" s="10">
        <v>2464.1999999999998</v>
      </c>
      <c r="P138" s="10">
        <v>2</v>
      </c>
      <c r="Q138" s="10">
        <v>121.15</v>
      </c>
      <c r="R138" s="10" t="s">
        <v>66</v>
      </c>
      <c r="S138" s="10">
        <v>574.91999999999996</v>
      </c>
      <c r="T138" s="10">
        <v>112.95</v>
      </c>
      <c r="U138" s="18">
        <v>43594</v>
      </c>
      <c r="V138" s="18">
        <v>47246</v>
      </c>
      <c r="W138" s="10" t="s">
        <v>13</v>
      </c>
      <c r="X138" s="10" t="s">
        <v>14</v>
      </c>
    </row>
    <row r="139" spans="1:24" ht="66" customHeight="1" x14ac:dyDescent="0.25">
      <c r="A139" s="10">
        <f t="shared" si="0"/>
        <v>136</v>
      </c>
      <c r="B139" s="11" t="s">
        <v>480</v>
      </c>
      <c r="C139" s="10" t="s">
        <v>74</v>
      </c>
      <c r="D139" s="10" t="s">
        <v>75</v>
      </c>
      <c r="E139" s="10" t="s">
        <v>0</v>
      </c>
      <c r="F139" s="11" t="s">
        <v>481</v>
      </c>
      <c r="G139" s="11"/>
      <c r="H139" s="11"/>
      <c r="I139" s="11">
        <v>1961</v>
      </c>
      <c r="J139" s="10" t="s">
        <v>402</v>
      </c>
      <c r="K139" s="15" t="s">
        <v>403</v>
      </c>
      <c r="L139" s="15" t="str">
        <f>HYPERLINK("https://drive.google.com/open?id=1mqUXZpVVt5Z02MNzLLZC4a2nCSByhP0K","Сертифікат")</f>
        <v>Сертифікат</v>
      </c>
      <c r="M139" s="11" t="s">
        <v>26</v>
      </c>
      <c r="N139" s="11">
        <v>2538.98</v>
      </c>
      <c r="O139" s="11">
        <v>7616.93</v>
      </c>
      <c r="P139" s="11">
        <v>3</v>
      </c>
      <c r="Q139" s="11">
        <v>315</v>
      </c>
      <c r="R139" s="10" t="s">
        <v>57</v>
      </c>
      <c r="S139" s="11">
        <v>422.8</v>
      </c>
      <c r="T139" s="11">
        <v>84.3</v>
      </c>
      <c r="U139" s="18">
        <v>43588</v>
      </c>
      <c r="V139" s="18">
        <v>47240</v>
      </c>
      <c r="W139" s="10" t="s">
        <v>13</v>
      </c>
      <c r="X139" s="10" t="s">
        <v>17</v>
      </c>
    </row>
    <row r="140" spans="1:24" ht="66" customHeight="1" x14ac:dyDescent="0.25">
      <c r="A140" s="10">
        <f t="shared" si="0"/>
        <v>137</v>
      </c>
      <c r="B140" s="11" t="s">
        <v>480</v>
      </c>
      <c r="C140" s="10" t="s">
        <v>74</v>
      </c>
      <c r="D140" s="10" t="s">
        <v>75</v>
      </c>
      <c r="E140" s="10" t="s">
        <v>0</v>
      </c>
      <c r="F140" s="11" t="s">
        <v>482</v>
      </c>
      <c r="G140" s="11"/>
      <c r="H140" s="11"/>
      <c r="I140" s="11">
        <v>1961</v>
      </c>
      <c r="J140" s="10" t="s">
        <v>402</v>
      </c>
      <c r="K140" s="15" t="s">
        <v>403</v>
      </c>
      <c r="L140" s="15" t="str">
        <f>HYPERLINK("https://drive.google.com/open?id=1q-orrjaCCLhiO0NgHDBJRKNkdsuL18B1","Сертифікат")</f>
        <v>Сертифікат</v>
      </c>
      <c r="M140" s="11" t="s">
        <v>26</v>
      </c>
      <c r="N140" s="10">
        <v>2526.4899999999998</v>
      </c>
      <c r="O140" s="10">
        <v>7579.48</v>
      </c>
      <c r="P140" s="10">
        <v>3</v>
      </c>
      <c r="Q140" s="10">
        <v>312</v>
      </c>
      <c r="R140" s="10" t="s">
        <v>57</v>
      </c>
      <c r="S140" s="10">
        <v>416.4</v>
      </c>
      <c r="T140" s="10">
        <v>83.1</v>
      </c>
      <c r="U140" s="18">
        <v>43588</v>
      </c>
      <c r="V140" s="18">
        <v>47240</v>
      </c>
      <c r="W140" s="10" t="s">
        <v>13</v>
      </c>
      <c r="X140" s="10" t="s">
        <v>17</v>
      </c>
    </row>
    <row r="141" spans="1:24" ht="66" customHeight="1" x14ac:dyDescent="0.25">
      <c r="A141" s="10">
        <f t="shared" si="0"/>
        <v>138</v>
      </c>
      <c r="B141" s="11" t="s">
        <v>483</v>
      </c>
      <c r="C141" s="27" t="s">
        <v>484</v>
      </c>
      <c r="D141" s="10" t="s">
        <v>485</v>
      </c>
      <c r="E141" s="10" t="s">
        <v>2</v>
      </c>
      <c r="F141" s="27" t="s">
        <v>486</v>
      </c>
      <c r="G141" s="11"/>
      <c r="H141" s="11"/>
      <c r="I141" s="11">
        <v>2003</v>
      </c>
      <c r="J141" s="11" t="s">
        <v>71</v>
      </c>
      <c r="K141" s="15" t="s">
        <v>487</v>
      </c>
      <c r="L141" s="15" t="str">
        <f>HYPERLINK("https://drive.google.com/open?id=1PZzLVoo6I5f0PbL5mBk3upJsVD33Apf1","Сертифікат")</f>
        <v>Сертифікат</v>
      </c>
      <c r="M141" s="11" t="s">
        <v>26</v>
      </c>
      <c r="N141" s="10">
        <v>1278.0999999999999</v>
      </c>
      <c r="O141" s="10">
        <v>3822.9</v>
      </c>
      <c r="P141" s="10">
        <v>3</v>
      </c>
      <c r="Q141" s="10">
        <v>228.7</v>
      </c>
      <c r="R141" s="10" t="s">
        <v>66</v>
      </c>
      <c r="S141" s="10">
        <v>819.7</v>
      </c>
      <c r="T141" s="10">
        <v>161.69999999999999</v>
      </c>
      <c r="U141" s="18">
        <v>43595</v>
      </c>
      <c r="V141" s="18">
        <v>47247</v>
      </c>
      <c r="W141" s="10" t="s">
        <v>10</v>
      </c>
      <c r="X141" s="10" t="s">
        <v>17</v>
      </c>
    </row>
    <row r="142" spans="1:24" ht="66" customHeight="1" x14ac:dyDescent="0.25">
      <c r="A142" s="10">
        <f t="shared" si="0"/>
        <v>139</v>
      </c>
      <c r="B142" s="10" t="s">
        <v>488</v>
      </c>
      <c r="C142" s="10" t="s">
        <v>489</v>
      </c>
      <c r="D142" s="10" t="s">
        <v>79</v>
      </c>
      <c r="E142" s="10" t="s">
        <v>5</v>
      </c>
      <c r="F142" s="10" t="s">
        <v>490</v>
      </c>
      <c r="G142" s="10"/>
      <c r="H142" s="10"/>
      <c r="I142" s="10">
        <v>1991</v>
      </c>
      <c r="J142" s="20" t="s">
        <v>491</v>
      </c>
      <c r="K142" s="15" t="s">
        <v>492</v>
      </c>
      <c r="L142" s="15" t="s">
        <v>56</v>
      </c>
      <c r="M142" s="10" t="s">
        <v>22</v>
      </c>
      <c r="N142" s="10">
        <v>3967</v>
      </c>
      <c r="O142" s="10">
        <v>17216</v>
      </c>
      <c r="P142" s="10" t="s">
        <v>493</v>
      </c>
      <c r="Q142" s="10">
        <v>76.400000000000006</v>
      </c>
      <c r="R142" s="24" t="s">
        <v>66</v>
      </c>
      <c r="S142" s="10">
        <v>547.70000000000005</v>
      </c>
      <c r="T142" s="10">
        <v>161.5</v>
      </c>
      <c r="U142" s="40">
        <v>43598</v>
      </c>
      <c r="V142" s="40">
        <v>47250</v>
      </c>
      <c r="W142" s="10" t="s">
        <v>13</v>
      </c>
      <c r="X142" s="10" t="s">
        <v>17</v>
      </c>
    </row>
    <row r="143" spans="1:24" ht="66" customHeight="1" x14ac:dyDescent="0.25">
      <c r="A143" s="10">
        <f t="shared" si="0"/>
        <v>140</v>
      </c>
      <c r="B143" s="11" t="s">
        <v>494</v>
      </c>
      <c r="C143" s="10" t="s">
        <v>454</v>
      </c>
      <c r="D143" s="10" t="s">
        <v>103</v>
      </c>
      <c r="E143" s="10" t="s">
        <v>3</v>
      </c>
      <c r="F143" s="11" t="s">
        <v>495</v>
      </c>
      <c r="G143" s="11"/>
      <c r="H143" s="11"/>
      <c r="I143" s="11">
        <v>1977</v>
      </c>
      <c r="J143" s="11" t="s">
        <v>225</v>
      </c>
      <c r="K143" s="15" t="s">
        <v>226</v>
      </c>
      <c r="L143" s="15" t="s">
        <v>56</v>
      </c>
      <c r="M143" s="11" t="s">
        <v>24</v>
      </c>
      <c r="N143" s="10">
        <v>1861.9</v>
      </c>
      <c r="O143" s="10">
        <v>6244.8</v>
      </c>
      <c r="P143" s="10">
        <v>2</v>
      </c>
      <c r="Q143" s="10">
        <v>57</v>
      </c>
      <c r="R143" s="10" t="s">
        <v>66</v>
      </c>
      <c r="S143" s="10">
        <v>266</v>
      </c>
      <c r="T143" s="10">
        <v>53</v>
      </c>
      <c r="U143" s="18">
        <v>43570</v>
      </c>
      <c r="V143" s="18">
        <v>47222</v>
      </c>
      <c r="W143" s="10" t="s">
        <v>10</v>
      </c>
      <c r="X143" s="10" t="s">
        <v>17</v>
      </c>
    </row>
    <row r="144" spans="1:24" ht="66" customHeight="1" x14ac:dyDescent="0.25">
      <c r="A144" s="10">
        <f t="shared" si="0"/>
        <v>141</v>
      </c>
      <c r="B144" s="11" t="s">
        <v>496</v>
      </c>
      <c r="C144" s="10" t="s">
        <v>454</v>
      </c>
      <c r="D144" s="10" t="s">
        <v>103</v>
      </c>
      <c r="E144" s="10" t="s">
        <v>2</v>
      </c>
      <c r="F144" s="11" t="s">
        <v>497</v>
      </c>
      <c r="G144" s="11"/>
      <c r="H144" s="11"/>
      <c r="I144" s="11">
        <v>1973</v>
      </c>
      <c r="J144" s="11" t="s">
        <v>225</v>
      </c>
      <c r="K144" s="15" t="s">
        <v>226</v>
      </c>
      <c r="L144" s="15" t="s">
        <v>56</v>
      </c>
      <c r="M144" s="11" t="s">
        <v>22</v>
      </c>
      <c r="N144" s="10">
        <v>703</v>
      </c>
      <c r="O144" s="10">
        <v>3995</v>
      </c>
      <c r="P144" s="10">
        <v>2</v>
      </c>
      <c r="Q144" s="10">
        <v>79</v>
      </c>
      <c r="R144" s="10" t="s">
        <v>66</v>
      </c>
      <c r="S144" s="10">
        <v>623</v>
      </c>
      <c r="T144" s="10">
        <v>124</v>
      </c>
      <c r="U144" s="18">
        <v>43598</v>
      </c>
      <c r="V144" s="18">
        <v>47250</v>
      </c>
      <c r="W144" s="10" t="s">
        <v>10</v>
      </c>
      <c r="X144" s="10" t="s">
        <v>17</v>
      </c>
    </row>
    <row r="145" spans="1:24" ht="66" customHeight="1" x14ac:dyDescent="0.25">
      <c r="A145" s="10">
        <f t="shared" si="0"/>
        <v>142</v>
      </c>
      <c r="B145" s="11" t="s">
        <v>498</v>
      </c>
      <c r="C145" s="24" t="s">
        <v>499</v>
      </c>
      <c r="D145" s="10" t="s">
        <v>255</v>
      </c>
      <c r="E145" s="10" t="s">
        <v>3</v>
      </c>
      <c r="F145" s="22" t="s">
        <v>500</v>
      </c>
      <c r="G145" s="11"/>
      <c r="H145" s="11"/>
      <c r="I145" s="11" t="s">
        <v>157</v>
      </c>
      <c r="J145" s="11" t="s">
        <v>158</v>
      </c>
      <c r="K145" s="15" t="s">
        <v>159</v>
      </c>
      <c r="L145" s="15" t="s">
        <v>56</v>
      </c>
      <c r="M145" s="11" t="s">
        <v>26</v>
      </c>
      <c r="N145" s="10">
        <v>3607</v>
      </c>
      <c r="O145" s="10">
        <v>13978</v>
      </c>
      <c r="P145" s="10">
        <v>3</v>
      </c>
      <c r="Q145" s="10">
        <v>67.5</v>
      </c>
      <c r="R145" s="10" t="s">
        <v>66</v>
      </c>
      <c r="S145" s="10">
        <v>357</v>
      </c>
      <c r="T145" s="10">
        <v>70</v>
      </c>
      <c r="U145" s="18">
        <v>43591</v>
      </c>
      <c r="V145" s="18">
        <v>47243</v>
      </c>
      <c r="W145" s="10" t="s">
        <v>10</v>
      </c>
      <c r="X145" s="10" t="s">
        <v>17</v>
      </c>
    </row>
    <row r="146" spans="1:24" ht="66" customHeight="1" x14ac:dyDescent="0.25">
      <c r="A146" s="10">
        <f t="shared" si="0"/>
        <v>143</v>
      </c>
      <c r="B146" s="11" t="s">
        <v>501</v>
      </c>
      <c r="C146" s="10" t="s">
        <v>502</v>
      </c>
      <c r="D146" s="10" t="s">
        <v>69</v>
      </c>
      <c r="E146" s="10" t="s">
        <v>4</v>
      </c>
      <c r="F146" s="11" t="s">
        <v>503</v>
      </c>
      <c r="G146" s="11"/>
      <c r="H146" s="11"/>
      <c r="I146" s="11">
        <v>1980</v>
      </c>
      <c r="J146" s="20" t="s">
        <v>504</v>
      </c>
      <c r="K146" s="15" t="s">
        <v>505</v>
      </c>
      <c r="L146" s="15" t="str">
        <f>HYPERLINK("https://drive.google.com/open?id=1kqXVQwbCSmXlDENFlSo1tyZA1TgytXhj","Сертифікат")</f>
        <v>Сертифікат</v>
      </c>
      <c r="M146" s="11" t="s">
        <v>26</v>
      </c>
      <c r="N146" s="10">
        <v>687.48</v>
      </c>
      <c r="O146" s="10">
        <v>1959.32</v>
      </c>
      <c r="P146" s="10">
        <v>2</v>
      </c>
      <c r="Q146" s="10">
        <v>147</v>
      </c>
      <c r="R146" s="10" t="s">
        <v>66</v>
      </c>
      <c r="S146" s="10">
        <v>260.2</v>
      </c>
      <c r="T146" s="10">
        <v>49.6</v>
      </c>
      <c r="U146" s="18">
        <v>43599</v>
      </c>
      <c r="V146" s="18">
        <v>47251</v>
      </c>
      <c r="W146" s="10" t="s">
        <v>13</v>
      </c>
      <c r="X146" s="10" t="s">
        <v>11</v>
      </c>
    </row>
    <row r="147" spans="1:24" ht="66" customHeight="1" x14ac:dyDescent="0.25">
      <c r="A147" s="10">
        <f t="shared" si="0"/>
        <v>144</v>
      </c>
      <c r="B147" s="11" t="s">
        <v>506</v>
      </c>
      <c r="C147" s="24" t="s">
        <v>507</v>
      </c>
      <c r="D147" s="10" t="s">
        <v>69</v>
      </c>
      <c r="E147" s="10" t="s">
        <v>4</v>
      </c>
      <c r="F147" s="11" t="s">
        <v>508</v>
      </c>
      <c r="G147" s="11"/>
      <c r="H147" s="11"/>
      <c r="I147" s="11" t="s">
        <v>509</v>
      </c>
      <c r="J147" s="11" t="s">
        <v>510</v>
      </c>
      <c r="K147" s="15" t="s">
        <v>511</v>
      </c>
      <c r="L147" s="15" t="str">
        <f>HYPERLINK("https://drive.google.com/open?id=1w8H1iY2aDTNZ_GYUg03p3jqfgvlgdMeE","Сертифікат")</f>
        <v>Сертифікат</v>
      </c>
      <c r="M147" s="11" t="s">
        <v>26</v>
      </c>
      <c r="N147" s="10">
        <v>1769.99</v>
      </c>
      <c r="O147" s="10">
        <v>5309.97</v>
      </c>
      <c r="P147" s="31">
        <v>43497</v>
      </c>
      <c r="Q147" s="10">
        <v>200</v>
      </c>
      <c r="R147" s="10" t="s">
        <v>66</v>
      </c>
      <c r="S147" s="10">
        <v>232.5</v>
      </c>
      <c r="T147" s="10">
        <v>45.4</v>
      </c>
      <c r="U147" s="18">
        <v>43600</v>
      </c>
      <c r="V147" s="18">
        <v>47252</v>
      </c>
      <c r="W147" s="10" t="s">
        <v>13</v>
      </c>
      <c r="X147" s="10" t="s">
        <v>17</v>
      </c>
    </row>
    <row r="148" spans="1:24" ht="66" customHeight="1" x14ac:dyDescent="0.25">
      <c r="A148" s="10">
        <f t="shared" si="0"/>
        <v>145</v>
      </c>
      <c r="B148" s="11" t="s">
        <v>512</v>
      </c>
      <c r="C148" s="10" t="s">
        <v>507</v>
      </c>
      <c r="D148" s="10" t="s">
        <v>69</v>
      </c>
      <c r="E148" s="10" t="s">
        <v>3</v>
      </c>
      <c r="F148" s="11" t="s">
        <v>513</v>
      </c>
      <c r="G148" s="11"/>
      <c r="H148" s="11"/>
      <c r="I148" s="11">
        <v>1988</v>
      </c>
      <c r="J148" s="11" t="s">
        <v>510</v>
      </c>
      <c r="K148" s="15" t="s">
        <v>511</v>
      </c>
      <c r="L148" s="15" t="str">
        <f>HYPERLINK("https://drive.google.com/open?id=1I6ZvHagN9w3rf1KqFgkRSGZLVuq8GI4C","Сертифікат")</f>
        <v>Сертифікат</v>
      </c>
      <c r="M148" s="11" t="s">
        <v>26</v>
      </c>
      <c r="N148" s="10">
        <v>3224.96</v>
      </c>
      <c r="O148" s="10">
        <v>9674.8799999999992</v>
      </c>
      <c r="P148" s="41">
        <v>43497</v>
      </c>
      <c r="Q148" s="10">
        <v>140</v>
      </c>
      <c r="R148" s="10" t="s">
        <v>66</v>
      </c>
      <c r="S148" s="10">
        <v>207.1</v>
      </c>
      <c r="T148" s="10">
        <v>39.869999999999997</v>
      </c>
      <c r="U148" s="18">
        <v>43595</v>
      </c>
      <c r="V148" s="29">
        <v>47247</v>
      </c>
      <c r="W148" s="10" t="s">
        <v>13</v>
      </c>
      <c r="X148" s="10" t="s">
        <v>17</v>
      </c>
    </row>
    <row r="149" spans="1:24" ht="66" customHeight="1" x14ac:dyDescent="0.25">
      <c r="A149" s="10">
        <f t="shared" si="0"/>
        <v>146</v>
      </c>
      <c r="B149" s="11" t="s">
        <v>514</v>
      </c>
      <c r="C149" s="10" t="s">
        <v>499</v>
      </c>
      <c r="D149" s="10" t="s">
        <v>255</v>
      </c>
      <c r="E149" s="10" t="s">
        <v>3</v>
      </c>
      <c r="F149" s="11" t="s">
        <v>515</v>
      </c>
      <c r="G149" s="11"/>
      <c r="H149" s="11"/>
      <c r="I149" s="11" t="s">
        <v>157</v>
      </c>
      <c r="J149" s="11" t="s">
        <v>158</v>
      </c>
      <c r="K149" s="15" t="s">
        <v>159</v>
      </c>
      <c r="L149" s="15" t="s">
        <v>56</v>
      </c>
      <c r="M149" s="11" t="s">
        <v>26</v>
      </c>
      <c r="N149" s="10">
        <v>3852</v>
      </c>
      <c r="O149" s="10">
        <v>13949</v>
      </c>
      <c r="P149" s="10">
        <v>3</v>
      </c>
      <c r="Q149" s="10">
        <v>72.2</v>
      </c>
      <c r="R149" s="10" t="s">
        <v>66</v>
      </c>
      <c r="S149" s="10">
        <v>349</v>
      </c>
      <c r="T149" s="10">
        <v>68</v>
      </c>
      <c r="U149" s="18">
        <v>43591</v>
      </c>
      <c r="V149" s="18">
        <v>47243</v>
      </c>
      <c r="W149" s="10" t="s">
        <v>10</v>
      </c>
      <c r="X149" s="10" t="s">
        <v>17</v>
      </c>
    </row>
    <row r="150" spans="1:24" ht="66" customHeight="1" x14ac:dyDescent="0.25">
      <c r="A150" s="10">
        <f t="shared" si="0"/>
        <v>147</v>
      </c>
      <c r="B150" s="11" t="s">
        <v>516</v>
      </c>
      <c r="C150" s="24" t="s">
        <v>517</v>
      </c>
      <c r="D150" s="10" t="s">
        <v>518</v>
      </c>
      <c r="E150" s="10" t="s">
        <v>2</v>
      </c>
      <c r="F150" s="11" t="s">
        <v>519</v>
      </c>
      <c r="G150" s="11"/>
      <c r="H150" s="11"/>
      <c r="I150" s="11" t="s">
        <v>157</v>
      </c>
      <c r="J150" s="11" t="s">
        <v>158</v>
      </c>
      <c r="K150" s="15" t="s">
        <v>159</v>
      </c>
      <c r="L150" s="15" t="s">
        <v>56</v>
      </c>
      <c r="M150" s="11" t="s">
        <v>26</v>
      </c>
      <c r="N150" s="10">
        <v>707.3</v>
      </c>
      <c r="O150" s="10">
        <v>2206.9</v>
      </c>
      <c r="P150" s="10">
        <v>2</v>
      </c>
      <c r="Q150" s="10">
        <v>147.4</v>
      </c>
      <c r="R150" s="10" t="s">
        <v>66</v>
      </c>
      <c r="S150" s="10">
        <v>586</v>
      </c>
      <c r="T150" s="10">
        <v>115</v>
      </c>
      <c r="U150" s="18">
        <v>43601</v>
      </c>
      <c r="V150" s="18">
        <v>47253</v>
      </c>
      <c r="W150" s="10" t="s">
        <v>10</v>
      </c>
      <c r="X150" s="10" t="s">
        <v>17</v>
      </c>
    </row>
    <row r="151" spans="1:24" ht="66" customHeight="1" x14ac:dyDescent="0.25">
      <c r="A151" s="10">
        <f t="shared" si="0"/>
        <v>148</v>
      </c>
      <c r="B151" s="11" t="s">
        <v>520</v>
      </c>
      <c r="C151" s="10" t="s">
        <v>74</v>
      </c>
      <c r="D151" s="10" t="s">
        <v>75</v>
      </c>
      <c r="E151" s="10" t="s">
        <v>0</v>
      </c>
      <c r="F151" s="11" t="s">
        <v>521</v>
      </c>
      <c r="G151" s="11"/>
      <c r="H151" s="11"/>
      <c r="I151" s="11">
        <v>1972</v>
      </c>
      <c r="J151" s="11" t="s">
        <v>522</v>
      </c>
      <c r="K151" s="15" t="s">
        <v>523</v>
      </c>
      <c r="L151" s="15" t="s">
        <v>56</v>
      </c>
      <c r="M151" s="11" t="s">
        <v>24</v>
      </c>
      <c r="N151" s="10">
        <v>3406.6</v>
      </c>
      <c r="O151" s="10">
        <v>8332.1</v>
      </c>
      <c r="P151" s="10">
        <v>5</v>
      </c>
      <c r="Q151" s="10">
        <v>142</v>
      </c>
      <c r="R151" s="10" t="s">
        <v>57</v>
      </c>
      <c r="S151" s="10">
        <v>221.83</v>
      </c>
      <c r="T151" s="10">
        <v>43.51</v>
      </c>
      <c r="U151" s="29">
        <v>43600</v>
      </c>
      <c r="V151" s="29">
        <v>47252</v>
      </c>
      <c r="W151" s="10" t="s">
        <v>13</v>
      </c>
      <c r="X151" s="10" t="s">
        <v>11</v>
      </c>
    </row>
    <row r="152" spans="1:24" ht="66" customHeight="1" x14ac:dyDescent="0.25">
      <c r="A152" s="10">
        <f t="shared" si="0"/>
        <v>149</v>
      </c>
      <c r="B152" s="11" t="s">
        <v>400</v>
      </c>
      <c r="C152" s="10" t="s">
        <v>74</v>
      </c>
      <c r="D152" s="10" t="s">
        <v>75</v>
      </c>
      <c r="E152" s="10" t="s">
        <v>2</v>
      </c>
      <c r="F152" s="11" t="s">
        <v>524</v>
      </c>
      <c r="G152" s="11"/>
      <c r="H152" s="11"/>
      <c r="I152" s="11">
        <v>1961</v>
      </c>
      <c r="J152" s="11" t="s">
        <v>402</v>
      </c>
      <c r="K152" s="15" t="s">
        <v>403</v>
      </c>
      <c r="L152" s="15" t="s">
        <v>56</v>
      </c>
      <c r="M152" s="11" t="s">
        <v>26</v>
      </c>
      <c r="N152" s="10">
        <v>871.35</v>
      </c>
      <c r="O152" s="10">
        <v>3075.85</v>
      </c>
      <c r="P152" s="10">
        <v>1</v>
      </c>
      <c r="Q152" s="10">
        <v>164</v>
      </c>
      <c r="R152" s="10" t="s">
        <v>66</v>
      </c>
      <c r="S152" s="10">
        <v>775</v>
      </c>
      <c r="T152" s="10">
        <v>155</v>
      </c>
      <c r="U152" s="29">
        <v>43601</v>
      </c>
      <c r="V152" s="29">
        <v>47253</v>
      </c>
      <c r="W152" s="10" t="s">
        <v>13</v>
      </c>
      <c r="X152" s="10" t="s">
        <v>17</v>
      </c>
    </row>
    <row r="153" spans="1:24" ht="66" customHeight="1" x14ac:dyDescent="0.25">
      <c r="A153" s="10">
        <f t="shared" si="0"/>
        <v>150</v>
      </c>
      <c r="B153" s="11" t="s">
        <v>525</v>
      </c>
      <c r="C153" s="10" t="s">
        <v>526</v>
      </c>
      <c r="D153" s="10" t="s">
        <v>317</v>
      </c>
      <c r="E153" s="10" t="s">
        <v>4</v>
      </c>
      <c r="F153" s="11" t="s">
        <v>527</v>
      </c>
      <c r="G153" s="11"/>
      <c r="H153" s="11"/>
      <c r="I153" s="11">
        <v>1982</v>
      </c>
      <c r="J153" s="11" t="s">
        <v>528</v>
      </c>
      <c r="K153" s="15" t="s">
        <v>529</v>
      </c>
      <c r="L153" s="15" t="s">
        <v>56</v>
      </c>
      <c r="M153" s="11" t="s">
        <v>24</v>
      </c>
      <c r="N153" s="10">
        <v>1327</v>
      </c>
      <c r="O153" s="10">
        <v>5069</v>
      </c>
      <c r="P153" s="10">
        <v>2</v>
      </c>
      <c r="Q153" s="10">
        <v>85.1</v>
      </c>
      <c r="R153" s="10" t="s">
        <v>66</v>
      </c>
      <c r="S153" s="10">
        <v>420</v>
      </c>
      <c r="T153" s="10">
        <v>82</v>
      </c>
      <c r="U153" s="29">
        <v>43599</v>
      </c>
      <c r="V153" s="29">
        <v>47251</v>
      </c>
      <c r="W153" s="10" t="s">
        <v>10</v>
      </c>
      <c r="X153" s="10" t="s">
        <v>17</v>
      </c>
    </row>
    <row r="154" spans="1:24" ht="66" customHeight="1" x14ac:dyDescent="0.25">
      <c r="A154" s="10">
        <f t="shared" si="0"/>
        <v>151</v>
      </c>
      <c r="B154" s="11" t="s">
        <v>530</v>
      </c>
      <c r="C154" s="10" t="s">
        <v>526</v>
      </c>
      <c r="D154" s="10" t="s">
        <v>317</v>
      </c>
      <c r="E154" s="10" t="s">
        <v>3</v>
      </c>
      <c r="F154" s="11" t="s">
        <v>531</v>
      </c>
      <c r="G154" s="11"/>
      <c r="H154" s="11"/>
      <c r="I154" s="11">
        <v>1966</v>
      </c>
      <c r="J154" s="11" t="s">
        <v>528</v>
      </c>
      <c r="K154" s="15" t="s">
        <v>529</v>
      </c>
      <c r="L154" s="15" t="s">
        <v>56</v>
      </c>
      <c r="M154" s="11" t="s">
        <v>26</v>
      </c>
      <c r="N154" s="10">
        <v>3832</v>
      </c>
      <c r="O154" s="10">
        <v>12645</v>
      </c>
      <c r="P154" s="10">
        <v>2</v>
      </c>
      <c r="Q154" s="10">
        <v>75.8</v>
      </c>
      <c r="R154" s="10" t="s">
        <v>66</v>
      </c>
      <c r="S154" s="10">
        <v>102</v>
      </c>
      <c r="T154" s="10">
        <v>20</v>
      </c>
      <c r="U154" s="29">
        <v>43600</v>
      </c>
      <c r="V154" s="29">
        <v>47252</v>
      </c>
      <c r="W154" s="10" t="s">
        <v>10</v>
      </c>
      <c r="X154" s="10" t="s">
        <v>17</v>
      </c>
    </row>
    <row r="155" spans="1:24" ht="66" customHeight="1" x14ac:dyDescent="0.25">
      <c r="A155" s="10">
        <f t="shared" si="0"/>
        <v>152</v>
      </c>
      <c r="B155" s="11" t="s">
        <v>532</v>
      </c>
      <c r="C155" s="10" t="s">
        <v>85</v>
      </c>
      <c r="D155" s="10" t="s">
        <v>86</v>
      </c>
      <c r="E155" s="10" t="s">
        <v>2</v>
      </c>
      <c r="F155" s="11" t="s">
        <v>533</v>
      </c>
      <c r="G155" s="11"/>
      <c r="H155" s="11"/>
      <c r="I155" s="11">
        <v>1860</v>
      </c>
      <c r="J155" s="11" t="s">
        <v>88</v>
      </c>
      <c r="K155" s="15" t="s">
        <v>89</v>
      </c>
      <c r="L155" s="15" t="s">
        <v>56</v>
      </c>
      <c r="M155" s="11" t="s">
        <v>26</v>
      </c>
      <c r="N155" s="10">
        <v>3374.7</v>
      </c>
      <c r="O155" s="10">
        <v>12284</v>
      </c>
      <c r="P155" s="10">
        <v>3</v>
      </c>
      <c r="Q155" s="10">
        <v>123.6</v>
      </c>
      <c r="R155" s="10" t="s">
        <v>66</v>
      </c>
      <c r="S155" s="10">
        <v>684.4</v>
      </c>
      <c r="T155" s="10">
        <v>195.4</v>
      </c>
      <c r="U155" s="29">
        <v>43605</v>
      </c>
      <c r="V155" s="29">
        <v>47257</v>
      </c>
      <c r="W155" s="10" t="s">
        <v>10</v>
      </c>
      <c r="X155" s="10" t="s">
        <v>17</v>
      </c>
    </row>
    <row r="156" spans="1:24" ht="66" customHeight="1" x14ac:dyDescent="0.25">
      <c r="A156" s="10">
        <f t="shared" si="0"/>
        <v>153</v>
      </c>
      <c r="B156" s="11" t="s">
        <v>534</v>
      </c>
      <c r="C156" s="10" t="s">
        <v>499</v>
      </c>
      <c r="D156" s="10" t="s">
        <v>255</v>
      </c>
      <c r="E156" s="10" t="s">
        <v>3</v>
      </c>
      <c r="F156" s="11" t="s">
        <v>535</v>
      </c>
      <c r="G156" s="11"/>
      <c r="H156" s="11"/>
      <c r="I156" s="11">
        <v>1902</v>
      </c>
      <c r="J156" s="11" t="s">
        <v>158</v>
      </c>
      <c r="K156" s="15" t="s">
        <v>159</v>
      </c>
      <c r="L156" s="15" t="s">
        <v>56</v>
      </c>
      <c r="M156" s="11" t="s">
        <v>26</v>
      </c>
      <c r="N156" s="10">
        <v>610</v>
      </c>
      <c r="O156" s="10">
        <v>1902</v>
      </c>
      <c r="P156" s="10">
        <v>2</v>
      </c>
      <c r="Q156" s="10">
        <v>102.5</v>
      </c>
      <c r="R156" s="10" t="s">
        <v>66</v>
      </c>
      <c r="S156" s="10">
        <v>426</v>
      </c>
      <c r="T156" s="10">
        <v>83</v>
      </c>
      <c r="U156" s="29">
        <v>43595</v>
      </c>
      <c r="V156" s="29">
        <v>47247</v>
      </c>
      <c r="W156" s="10" t="s">
        <v>10</v>
      </c>
      <c r="X156" s="10" t="s">
        <v>17</v>
      </c>
    </row>
    <row r="157" spans="1:24" ht="66" customHeight="1" x14ac:dyDescent="0.25">
      <c r="A157" s="10">
        <f t="shared" si="0"/>
        <v>154</v>
      </c>
      <c r="B157" s="11" t="s">
        <v>536</v>
      </c>
      <c r="C157" s="10" t="s">
        <v>537</v>
      </c>
      <c r="D157" s="10" t="s">
        <v>103</v>
      </c>
      <c r="E157" s="10" t="s">
        <v>3</v>
      </c>
      <c r="F157" s="10" t="s">
        <v>538</v>
      </c>
      <c r="G157" s="11"/>
      <c r="H157" s="11"/>
      <c r="I157" s="11">
        <v>1980</v>
      </c>
      <c r="J157" s="10" t="s">
        <v>105</v>
      </c>
      <c r="K157" s="15" t="s">
        <v>106</v>
      </c>
      <c r="L157" s="15" t="s">
        <v>56</v>
      </c>
      <c r="M157" s="11" t="s">
        <v>26</v>
      </c>
      <c r="N157" s="10">
        <v>1188</v>
      </c>
      <c r="O157" s="10">
        <v>3563</v>
      </c>
      <c r="P157" s="10">
        <v>2</v>
      </c>
      <c r="Q157" s="10">
        <v>237.9</v>
      </c>
      <c r="R157" s="10" t="s">
        <v>66</v>
      </c>
      <c r="S157" s="10">
        <v>876.1</v>
      </c>
      <c r="T157" s="10">
        <v>256.8</v>
      </c>
      <c r="U157" s="29">
        <v>43570</v>
      </c>
      <c r="V157" s="29">
        <v>47222</v>
      </c>
      <c r="W157" s="10" t="s">
        <v>10</v>
      </c>
      <c r="X157" s="10" t="s">
        <v>17</v>
      </c>
    </row>
    <row r="158" spans="1:24" ht="66" customHeight="1" x14ac:dyDescent="0.25">
      <c r="A158" s="10">
        <f t="shared" si="0"/>
        <v>155</v>
      </c>
      <c r="B158" s="11" t="s">
        <v>539</v>
      </c>
      <c r="C158" s="24" t="s">
        <v>540</v>
      </c>
      <c r="D158" s="10" t="s">
        <v>541</v>
      </c>
      <c r="E158" s="10" t="s">
        <v>5</v>
      </c>
      <c r="F158" s="11" t="s">
        <v>542</v>
      </c>
      <c r="G158" s="11"/>
      <c r="H158" s="11"/>
      <c r="I158" s="11">
        <v>1953</v>
      </c>
      <c r="J158" s="11" t="s">
        <v>209</v>
      </c>
      <c r="K158" s="15" t="s">
        <v>210</v>
      </c>
      <c r="L158" s="15" t="s">
        <v>56</v>
      </c>
      <c r="M158" s="11" t="s">
        <v>26</v>
      </c>
      <c r="N158" s="10">
        <v>83</v>
      </c>
      <c r="O158" s="10">
        <v>235</v>
      </c>
      <c r="P158" s="10">
        <v>1</v>
      </c>
      <c r="Q158" s="10">
        <v>149.80000000000001</v>
      </c>
      <c r="R158" s="10" t="s">
        <v>66</v>
      </c>
      <c r="S158" s="10">
        <v>1045</v>
      </c>
      <c r="T158" s="10">
        <v>191</v>
      </c>
      <c r="U158" s="29">
        <v>43570</v>
      </c>
      <c r="V158" s="29">
        <v>47222</v>
      </c>
      <c r="W158" s="10" t="s">
        <v>10</v>
      </c>
      <c r="X158" s="10" t="s">
        <v>17</v>
      </c>
    </row>
    <row r="159" spans="1:24" ht="66" customHeight="1" x14ac:dyDescent="0.25">
      <c r="A159" s="10">
        <f t="shared" si="0"/>
        <v>156</v>
      </c>
      <c r="B159" s="11" t="s">
        <v>543</v>
      </c>
      <c r="C159" s="10" t="s">
        <v>499</v>
      </c>
      <c r="D159" s="10" t="s">
        <v>255</v>
      </c>
      <c r="E159" s="10" t="s">
        <v>4</v>
      </c>
      <c r="F159" s="11" t="s">
        <v>544</v>
      </c>
      <c r="G159" s="11"/>
      <c r="H159" s="11"/>
      <c r="I159" s="11" t="s">
        <v>157</v>
      </c>
      <c r="J159" s="11" t="s">
        <v>158</v>
      </c>
      <c r="K159" s="15" t="s">
        <v>159</v>
      </c>
      <c r="L159" s="15" t="s">
        <v>56</v>
      </c>
      <c r="M159" s="11" t="s">
        <v>26</v>
      </c>
      <c r="N159" s="10">
        <v>1924.2</v>
      </c>
      <c r="O159" s="10">
        <v>5887.9</v>
      </c>
      <c r="P159" s="10">
        <v>2</v>
      </c>
      <c r="Q159" s="10">
        <v>123.5</v>
      </c>
      <c r="R159" s="10" t="s">
        <v>66</v>
      </c>
      <c r="S159" s="10">
        <v>567</v>
      </c>
      <c r="T159" s="10">
        <v>111</v>
      </c>
      <c r="U159" s="29">
        <v>43599</v>
      </c>
      <c r="V159" s="29">
        <v>47221</v>
      </c>
      <c r="W159" s="10" t="s">
        <v>10</v>
      </c>
      <c r="X159" s="10" t="s">
        <v>17</v>
      </c>
    </row>
    <row r="160" spans="1:24" ht="66" customHeight="1" x14ac:dyDescent="0.25">
      <c r="A160" s="10">
        <f t="shared" si="0"/>
        <v>157</v>
      </c>
      <c r="B160" s="11" t="s">
        <v>545</v>
      </c>
      <c r="C160" s="10" t="s">
        <v>357</v>
      </c>
      <c r="D160" s="10" t="s">
        <v>142</v>
      </c>
      <c r="E160" s="10" t="s">
        <v>2</v>
      </c>
      <c r="F160" s="10" t="s">
        <v>546</v>
      </c>
      <c r="G160" s="11"/>
      <c r="H160" s="11"/>
      <c r="I160" s="11">
        <v>1979</v>
      </c>
      <c r="J160" s="11" t="s">
        <v>547</v>
      </c>
      <c r="K160" s="15" t="s">
        <v>548</v>
      </c>
      <c r="L160" s="15" t="s">
        <v>56</v>
      </c>
      <c r="M160" s="11" t="s">
        <v>26</v>
      </c>
      <c r="N160" s="10">
        <v>2233.1999999999998</v>
      </c>
      <c r="O160" s="10">
        <v>6786.4</v>
      </c>
      <c r="P160" s="10">
        <v>6</v>
      </c>
      <c r="Q160" s="10">
        <v>149.30000000000001</v>
      </c>
      <c r="R160" s="10" t="s">
        <v>66</v>
      </c>
      <c r="S160" s="10">
        <v>489.8</v>
      </c>
      <c r="T160" s="10">
        <v>97.9</v>
      </c>
      <c r="U160" s="29">
        <v>43601</v>
      </c>
      <c r="V160" s="29">
        <v>47253</v>
      </c>
      <c r="W160" s="10" t="s">
        <v>10</v>
      </c>
      <c r="X160" s="10" t="s">
        <v>17</v>
      </c>
    </row>
    <row r="161" spans="1:24" ht="66" customHeight="1" x14ac:dyDescent="0.25">
      <c r="A161" s="10">
        <f t="shared" si="0"/>
        <v>158</v>
      </c>
      <c r="B161" s="11" t="s">
        <v>539</v>
      </c>
      <c r="C161" s="24" t="s">
        <v>540</v>
      </c>
      <c r="D161" s="10" t="s">
        <v>541</v>
      </c>
      <c r="E161" s="10" t="s">
        <v>5</v>
      </c>
      <c r="F161" s="11" t="s">
        <v>549</v>
      </c>
      <c r="G161" s="11"/>
      <c r="H161" s="11"/>
      <c r="I161" s="11">
        <v>1975</v>
      </c>
      <c r="J161" s="11" t="s">
        <v>209</v>
      </c>
      <c r="K161" s="15" t="s">
        <v>210</v>
      </c>
      <c r="L161" s="15" t="s">
        <v>56</v>
      </c>
      <c r="M161" s="11" t="s">
        <v>26</v>
      </c>
      <c r="N161" s="10">
        <v>2970</v>
      </c>
      <c r="O161" s="10">
        <v>11189</v>
      </c>
      <c r="P161" s="10">
        <v>3</v>
      </c>
      <c r="Q161" s="10">
        <v>107.1</v>
      </c>
      <c r="R161" s="10" t="s">
        <v>66</v>
      </c>
      <c r="S161" s="10">
        <v>564</v>
      </c>
      <c r="T161" s="10">
        <v>110</v>
      </c>
      <c r="U161" s="29">
        <v>43605</v>
      </c>
      <c r="V161" s="29">
        <v>47257</v>
      </c>
      <c r="W161" s="10" t="s">
        <v>10</v>
      </c>
      <c r="X161" s="10" t="s">
        <v>17</v>
      </c>
    </row>
    <row r="162" spans="1:24" ht="66" customHeight="1" x14ac:dyDescent="0.25">
      <c r="A162" s="10">
        <f t="shared" si="0"/>
        <v>159</v>
      </c>
      <c r="B162" s="11" t="s">
        <v>539</v>
      </c>
      <c r="C162" s="10" t="s">
        <v>540</v>
      </c>
      <c r="D162" s="10" t="s">
        <v>541</v>
      </c>
      <c r="E162" s="10" t="s">
        <v>5</v>
      </c>
      <c r="F162" s="11" t="s">
        <v>550</v>
      </c>
      <c r="G162" s="11"/>
      <c r="H162" s="11"/>
      <c r="I162" s="11">
        <v>1996</v>
      </c>
      <c r="J162" s="11" t="s">
        <v>209</v>
      </c>
      <c r="K162" s="15" t="s">
        <v>210</v>
      </c>
      <c r="L162" s="15" t="s">
        <v>56</v>
      </c>
      <c r="M162" s="11" t="s">
        <v>26</v>
      </c>
      <c r="N162" s="10">
        <v>496</v>
      </c>
      <c r="O162" s="10">
        <v>1610</v>
      </c>
      <c r="P162" s="10">
        <v>2</v>
      </c>
      <c r="Q162" s="10">
        <v>112.7</v>
      </c>
      <c r="R162" s="10" t="s">
        <v>66</v>
      </c>
      <c r="S162" s="10">
        <v>636</v>
      </c>
      <c r="T162" s="10">
        <v>122</v>
      </c>
      <c r="U162" s="29">
        <v>43602</v>
      </c>
      <c r="V162" s="29">
        <v>47254</v>
      </c>
      <c r="W162" s="10" t="s">
        <v>10</v>
      </c>
      <c r="X162" s="10" t="s">
        <v>17</v>
      </c>
    </row>
    <row r="163" spans="1:24" ht="66" customHeight="1" x14ac:dyDescent="0.25">
      <c r="A163" s="10">
        <f t="shared" si="0"/>
        <v>160</v>
      </c>
      <c r="B163" s="11" t="s">
        <v>551</v>
      </c>
      <c r="C163" s="10" t="s">
        <v>552</v>
      </c>
      <c r="D163" s="10" t="s">
        <v>541</v>
      </c>
      <c r="E163" s="10" t="s">
        <v>5</v>
      </c>
      <c r="F163" s="11" t="s">
        <v>553</v>
      </c>
      <c r="G163" s="11"/>
      <c r="H163" s="11"/>
      <c r="I163" s="11">
        <v>1977</v>
      </c>
      <c r="J163" s="11" t="s">
        <v>209</v>
      </c>
      <c r="K163" s="15" t="s">
        <v>210</v>
      </c>
      <c r="L163" s="15" t="s">
        <v>56</v>
      </c>
      <c r="M163" s="11" t="s">
        <v>22</v>
      </c>
      <c r="N163" s="10">
        <v>1315</v>
      </c>
      <c r="O163" s="10">
        <v>4865</v>
      </c>
      <c r="P163" s="10">
        <v>2</v>
      </c>
      <c r="Q163" s="10">
        <v>76.3</v>
      </c>
      <c r="R163" s="10" t="s">
        <v>66</v>
      </c>
      <c r="S163" s="10">
        <v>361</v>
      </c>
      <c r="T163" s="10">
        <v>70</v>
      </c>
      <c r="U163" s="29">
        <v>43606</v>
      </c>
      <c r="V163" s="29">
        <v>47258</v>
      </c>
      <c r="W163" s="10" t="s">
        <v>10</v>
      </c>
      <c r="X163" s="10" t="s">
        <v>11</v>
      </c>
    </row>
    <row r="164" spans="1:24" ht="66" customHeight="1" x14ac:dyDescent="0.25">
      <c r="A164" s="10">
        <f t="shared" si="0"/>
        <v>161</v>
      </c>
      <c r="B164" s="11" t="s">
        <v>554</v>
      </c>
      <c r="C164" s="10" t="s">
        <v>552</v>
      </c>
      <c r="D164" s="10" t="s">
        <v>541</v>
      </c>
      <c r="E164" s="10" t="s">
        <v>5</v>
      </c>
      <c r="F164" s="11" t="s">
        <v>555</v>
      </c>
      <c r="G164" s="11"/>
      <c r="H164" s="11"/>
      <c r="I164" s="11">
        <v>1980</v>
      </c>
      <c r="J164" s="11" t="s">
        <v>209</v>
      </c>
      <c r="K164" s="15" t="s">
        <v>210</v>
      </c>
      <c r="L164" s="15" t="s">
        <v>56</v>
      </c>
      <c r="M164" s="11" t="s">
        <v>26</v>
      </c>
      <c r="N164" s="10">
        <v>2259</v>
      </c>
      <c r="O164" s="10">
        <v>7916</v>
      </c>
      <c r="P164" s="10">
        <v>2</v>
      </c>
      <c r="Q164" s="10">
        <v>131.80000000000001</v>
      </c>
      <c r="R164" s="10" t="s">
        <v>66</v>
      </c>
      <c r="S164" s="10">
        <v>834</v>
      </c>
      <c r="T164" s="10">
        <v>161</v>
      </c>
      <c r="U164" s="29">
        <v>43607</v>
      </c>
      <c r="V164" s="29">
        <v>47259</v>
      </c>
      <c r="W164" s="10" t="s">
        <v>10</v>
      </c>
      <c r="X164" s="10" t="s">
        <v>17</v>
      </c>
    </row>
    <row r="165" spans="1:24" ht="66" customHeight="1" x14ac:dyDescent="0.25">
      <c r="A165" s="10">
        <f t="shared" si="0"/>
        <v>162</v>
      </c>
      <c r="B165" s="11" t="s">
        <v>554</v>
      </c>
      <c r="C165" s="10" t="s">
        <v>552</v>
      </c>
      <c r="D165" s="10" t="s">
        <v>541</v>
      </c>
      <c r="E165" s="10" t="s">
        <v>5</v>
      </c>
      <c r="F165" s="11" t="s">
        <v>556</v>
      </c>
      <c r="G165" s="11"/>
      <c r="H165" s="11"/>
      <c r="I165" s="11">
        <v>1980</v>
      </c>
      <c r="J165" s="11" t="s">
        <v>209</v>
      </c>
      <c r="K165" s="15" t="s">
        <v>210</v>
      </c>
      <c r="L165" s="15" t="s">
        <v>56</v>
      </c>
      <c r="M165" s="11" t="s">
        <v>26</v>
      </c>
      <c r="N165" s="10">
        <v>2178</v>
      </c>
      <c r="O165" s="10">
        <v>7461</v>
      </c>
      <c r="P165" s="10">
        <v>2</v>
      </c>
      <c r="Q165" s="10">
        <v>122.2</v>
      </c>
      <c r="R165" s="10" t="s">
        <v>66</v>
      </c>
      <c r="S165" s="10">
        <v>732</v>
      </c>
      <c r="T165" s="10">
        <v>142</v>
      </c>
      <c r="U165" s="29">
        <v>43607</v>
      </c>
      <c r="V165" s="29">
        <v>47259</v>
      </c>
      <c r="W165" s="10" t="s">
        <v>10</v>
      </c>
      <c r="X165" s="10" t="s">
        <v>17</v>
      </c>
    </row>
    <row r="166" spans="1:24" ht="66" customHeight="1" x14ac:dyDescent="0.25">
      <c r="A166" s="10">
        <f t="shared" si="0"/>
        <v>163</v>
      </c>
      <c r="B166" s="11" t="s">
        <v>557</v>
      </c>
      <c r="C166" s="10" t="s">
        <v>357</v>
      </c>
      <c r="D166" s="10" t="s">
        <v>142</v>
      </c>
      <c r="E166" s="10" t="s">
        <v>2</v>
      </c>
      <c r="F166" s="11" t="s">
        <v>558</v>
      </c>
      <c r="G166" s="11"/>
      <c r="H166" s="11"/>
      <c r="I166" s="11">
        <v>2012</v>
      </c>
      <c r="J166" s="11" t="s">
        <v>93</v>
      </c>
      <c r="K166" s="15" t="s">
        <v>94</v>
      </c>
      <c r="L166" s="15" t="s">
        <v>56</v>
      </c>
      <c r="M166" s="11" t="s">
        <v>22</v>
      </c>
      <c r="N166" s="10">
        <v>941.8</v>
      </c>
      <c r="O166" s="10">
        <v>2967</v>
      </c>
      <c r="P166" s="10">
        <v>2</v>
      </c>
      <c r="Q166" s="10">
        <v>76.099999999999994</v>
      </c>
      <c r="R166" s="10" t="s">
        <v>66</v>
      </c>
      <c r="S166" s="10">
        <v>295</v>
      </c>
      <c r="T166" s="10">
        <v>58</v>
      </c>
      <c r="U166" s="29">
        <v>43599</v>
      </c>
      <c r="V166" s="29">
        <v>47251</v>
      </c>
      <c r="W166" s="10" t="s">
        <v>10</v>
      </c>
      <c r="X166" s="10" t="s">
        <v>17</v>
      </c>
    </row>
    <row r="167" spans="1:24" ht="66" customHeight="1" x14ac:dyDescent="0.25">
      <c r="A167" s="10">
        <f t="shared" si="0"/>
        <v>164</v>
      </c>
      <c r="B167" s="11" t="s">
        <v>557</v>
      </c>
      <c r="C167" s="10" t="s">
        <v>357</v>
      </c>
      <c r="D167" s="10" t="s">
        <v>142</v>
      </c>
      <c r="E167" s="10" t="s">
        <v>2</v>
      </c>
      <c r="F167" s="11" t="s">
        <v>559</v>
      </c>
      <c r="G167" s="11"/>
      <c r="H167" s="11"/>
      <c r="I167" s="11">
        <v>1979</v>
      </c>
      <c r="J167" s="11" t="s">
        <v>93</v>
      </c>
      <c r="K167" s="15" t="s">
        <v>94</v>
      </c>
      <c r="L167" s="15" t="s">
        <v>56</v>
      </c>
      <c r="M167" s="11" t="s">
        <v>24</v>
      </c>
      <c r="N167" s="10">
        <v>1716.8</v>
      </c>
      <c r="O167" s="10">
        <v>5702</v>
      </c>
      <c r="P167" s="10">
        <v>4</v>
      </c>
      <c r="Q167" s="10">
        <v>65.3</v>
      </c>
      <c r="R167" s="10" t="s">
        <v>66</v>
      </c>
      <c r="S167" s="10">
        <v>288</v>
      </c>
      <c r="T167" s="10">
        <v>56</v>
      </c>
      <c r="U167" s="29">
        <v>43599</v>
      </c>
      <c r="V167" s="29">
        <v>47251</v>
      </c>
      <c r="W167" s="10" t="s">
        <v>10</v>
      </c>
      <c r="X167" s="10" t="s">
        <v>17</v>
      </c>
    </row>
    <row r="168" spans="1:24" ht="66" customHeight="1" x14ac:dyDescent="0.25">
      <c r="A168" s="10">
        <f t="shared" si="0"/>
        <v>165</v>
      </c>
      <c r="B168" s="11" t="s">
        <v>560</v>
      </c>
      <c r="C168" s="24" t="s">
        <v>561</v>
      </c>
      <c r="D168" s="10" t="s">
        <v>69</v>
      </c>
      <c r="E168" s="10" t="s">
        <v>3</v>
      </c>
      <c r="F168" s="11" t="s">
        <v>562</v>
      </c>
      <c r="G168" s="11"/>
      <c r="H168" s="11"/>
      <c r="I168" s="11">
        <v>1966</v>
      </c>
      <c r="J168" s="10" t="s">
        <v>438</v>
      </c>
      <c r="K168" s="15" t="s">
        <v>439</v>
      </c>
      <c r="L168" s="15" t="s">
        <v>56</v>
      </c>
      <c r="M168" s="11" t="s">
        <v>26</v>
      </c>
      <c r="N168" s="10">
        <v>991.8</v>
      </c>
      <c r="O168" s="10">
        <v>3124.2</v>
      </c>
      <c r="P168" s="10">
        <v>2</v>
      </c>
      <c r="Q168" s="10">
        <v>88.6</v>
      </c>
      <c r="R168" s="10" t="s">
        <v>66</v>
      </c>
      <c r="S168" s="10">
        <v>425.5</v>
      </c>
      <c r="T168" s="10">
        <v>83.3</v>
      </c>
      <c r="U168" s="29">
        <v>43612</v>
      </c>
      <c r="V168" s="29">
        <v>47264</v>
      </c>
      <c r="W168" s="10" t="s">
        <v>13</v>
      </c>
      <c r="X168" s="10" t="s">
        <v>17</v>
      </c>
    </row>
    <row r="169" spans="1:24" ht="66" customHeight="1" x14ac:dyDescent="0.25">
      <c r="A169" s="10">
        <f t="shared" si="0"/>
        <v>166</v>
      </c>
      <c r="B169" s="11" t="s">
        <v>560</v>
      </c>
      <c r="C169" s="10" t="s">
        <v>561</v>
      </c>
      <c r="D169" s="10" t="s">
        <v>69</v>
      </c>
      <c r="E169" s="10" t="s">
        <v>3</v>
      </c>
      <c r="F169" s="11" t="s">
        <v>563</v>
      </c>
      <c r="G169" s="11"/>
      <c r="H169" s="11"/>
      <c r="I169" s="11">
        <v>1972</v>
      </c>
      <c r="J169" s="10" t="s">
        <v>438</v>
      </c>
      <c r="K169" s="15" t="s">
        <v>439</v>
      </c>
      <c r="L169" s="15" t="s">
        <v>56</v>
      </c>
      <c r="M169" s="11" t="s">
        <v>26</v>
      </c>
      <c r="N169" s="10">
        <v>579.6</v>
      </c>
      <c r="O169" s="10">
        <v>2298.6</v>
      </c>
      <c r="P169" s="10">
        <v>3</v>
      </c>
      <c r="Q169" s="10">
        <v>63.3</v>
      </c>
      <c r="R169" s="10" t="s">
        <v>66</v>
      </c>
      <c r="S169" s="10">
        <v>370.3</v>
      </c>
      <c r="T169" s="10">
        <v>73</v>
      </c>
      <c r="U169" s="29">
        <v>43612</v>
      </c>
      <c r="V169" s="29">
        <v>47264</v>
      </c>
      <c r="W169" s="10" t="s">
        <v>13</v>
      </c>
      <c r="X169" s="10" t="s">
        <v>17</v>
      </c>
    </row>
    <row r="170" spans="1:24" ht="66" customHeight="1" x14ac:dyDescent="0.25">
      <c r="A170" s="10">
        <f t="shared" si="0"/>
        <v>167</v>
      </c>
      <c r="B170" s="11" t="s">
        <v>560</v>
      </c>
      <c r="C170" s="24" t="s">
        <v>561</v>
      </c>
      <c r="D170" s="10" t="s">
        <v>69</v>
      </c>
      <c r="E170" s="10" t="s">
        <v>3</v>
      </c>
      <c r="F170" s="11" t="s">
        <v>564</v>
      </c>
      <c r="G170" s="11"/>
      <c r="H170" s="11"/>
      <c r="I170" s="11">
        <v>1936</v>
      </c>
      <c r="J170" s="10" t="s">
        <v>438</v>
      </c>
      <c r="K170" s="15" t="s">
        <v>439</v>
      </c>
      <c r="L170" s="15" t="s">
        <v>56</v>
      </c>
      <c r="M170" s="11" t="s">
        <v>26</v>
      </c>
      <c r="N170" s="10">
        <v>753.8</v>
      </c>
      <c r="O170" s="10">
        <v>2487.5</v>
      </c>
      <c r="P170" s="10">
        <v>1</v>
      </c>
      <c r="Q170" s="10">
        <v>93.8</v>
      </c>
      <c r="R170" s="10" t="s">
        <v>66</v>
      </c>
      <c r="S170" s="10">
        <v>443.6</v>
      </c>
      <c r="T170" s="10">
        <v>87.1</v>
      </c>
      <c r="U170" s="29">
        <v>43612</v>
      </c>
      <c r="V170" s="29">
        <v>47264</v>
      </c>
      <c r="W170" s="10" t="s">
        <v>13</v>
      </c>
      <c r="X170" s="10" t="s">
        <v>17</v>
      </c>
    </row>
    <row r="171" spans="1:24" ht="66" customHeight="1" x14ac:dyDescent="0.25">
      <c r="A171" s="10">
        <f t="shared" si="0"/>
        <v>168</v>
      </c>
      <c r="B171" s="11" t="s">
        <v>565</v>
      </c>
      <c r="C171" s="10" t="s">
        <v>561</v>
      </c>
      <c r="D171" s="10" t="s">
        <v>69</v>
      </c>
      <c r="E171" s="10" t="s">
        <v>4</v>
      </c>
      <c r="F171" s="11" t="s">
        <v>566</v>
      </c>
      <c r="G171" s="11"/>
      <c r="H171" s="11"/>
      <c r="I171" s="11">
        <v>1980</v>
      </c>
      <c r="J171" s="10" t="s">
        <v>438</v>
      </c>
      <c r="K171" s="15" t="s">
        <v>439</v>
      </c>
      <c r="L171" s="15" t="s">
        <v>56</v>
      </c>
      <c r="M171" s="11" t="s">
        <v>24</v>
      </c>
      <c r="N171" s="10">
        <v>2290</v>
      </c>
      <c r="O171" s="10">
        <v>6870</v>
      </c>
      <c r="P171" s="10">
        <v>2</v>
      </c>
      <c r="Q171" s="10">
        <v>98.3</v>
      </c>
      <c r="R171" s="10" t="s">
        <v>66</v>
      </c>
      <c r="S171" s="10">
        <v>404.1</v>
      </c>
      <c r="T171" s="10">
        <v>80.099999999999994</v>
      </c>
      <c r="U171" s="29">
        <v>43614</v>
      </c>
      <c r="V171" s="29">
        <v>47266</v>
      </c>
      <c r="W171" s="10" t="s">
        <v>10</v>
      </c>
      <c r="X171" s="10" t="s">
        <v>17</v>
      </c>
    </row>
    <row r="172" spans="1:24" ht="66" customHeight="1" x14ac:dyDescent="0.25">
      <c r="A172" s="10">
        <f t="shared" si="0"/>
        <v>169</v>
      </c>
      <c r="B172" s="11" t="s">
        <v>567</v>
      </c>
      <c r="C172" s="10" t="s">
        <v>561</v>
      </c>
      <c r="D172" s="10" t="s">
        <v>69</v>
      </c>
      <c r="E172" s="10" t="s">
        <v>4</v>
      </c>
      <c r="F172" s="11" t="s">
        <v>568</v>
      </c>
      <c r="G172" s="11"/>
      <c r="H172" s="11"/>
      <c r="I172" s="11">
        <v>1989</v>
      </c>
      <c r="J172" s="10" t="s">
        <v>438</v>
      </c>
      <c r="K172" s="15" t="s">
        <v>439</v>
      </c>
      <c r="L172" s="15" t="s">
        <v>56</v>
      </c>
      <c r="M172" s="11" t="s">
        <v>22</v>
      </c>
      <c r="N172" s="10">
        <v>2359.4</v>
      </c>
      <c r="O172" s="10">
        <v>7289.4</v>
      </c>
      <c r="P172" s="10">
        <v>2</v>
      </c>
      <c r="Q172" s="10">
        <v>78.8</v>
      </c>
      <c r="R172" s="10" t="s">
        <v>66</v>
      </c>
      <c r="S172" s="10">
        <v>330.6</v>
      </c>
      <c r="T172" s="10">
        <v>65.7</v>
      </c>
      <c r="U172" s="29">
        <v>43612</v>
      </c>
      <c r="V172" s="29">
        <v>47264</v>
      </c>
      <c r="W172" s="10" t="s">
        <v>10</v>
      </c>
      <c r="X172" s="10" t="s">
        <v>17</v>
      </c>
    </row>
    <row r="173" spans="1:24" ht="66" customHeight="1" x14ac:dyDescent="0.25">
      <c r="A173" s="10">
        <f t="shared" si="0"/>
        <v>170</v>
      </c>
      <c r="B173" s="11" t="s">
        <v>569</v>
      </c>
      <c r="C173" s="10" t="s">
        <v>570</v>
      </c>
      <c r="D173" s="10" t="s">
        <v>571</v>
      </c>
      <c r="E173" s="10" t="s">
        <v>2</v>
      </c>
      <c r="F173" s="11" t="s">
        <v>572</v>
      </c>
      <c r="G173" s="11"/>
      <c r="H173" s="11"/>
      <c r="I173" s="11">
        <v>1965</v>
      </c>
      <c r="J173" s="11" t="s">
        <v>573</v>
      </c>
      <c r="K173" s="15" t="s">
        <v>574</v>
      </c>
      <c r="L173" s="15" t="s">
        <v>56</v>
      </c>
      <c r="M173" s="11" t="s">
        <v>22</v>
      </c>
      <c r="N173" s="10">
        <v>495</v>
      </c>
      <c r="O173" s="10">
        <v>1980</v>
      </c>
      <c r="P173" s="10">
        <v>2</v>
      </c>
      <c r="Q173" s="10">
        <v>51.9</v>
      </c>
      <c r="R173" s="10" t="s">
        <v>66</v>
      </c>
      <c r="S173" s="10">
        <v>275</v>
      </c>
      <c r="T173" s="10">
        <v>54</v>
      </c>
      <c r="U173" s="29">
        <v>43589</v>
      </c>
      <c r="V173" s="29">
        <v>47241</v>
      </c>
      <c r="W173" s="10" t="s">
        <v>13</v>
      </c>
      <c r="X173" s="10" t="s">
        <v>17</v>
      </c>
    </row>
    <row r="174" spans="1:24" ht="66" customHeight="1" x14ac:dyDescent="0.25">
      <c r="A174" s="10">
        <f t="shared" si="0"/>
        <v>171</v>
      </c>
      <c r="B174" s="11" t="s">
        <v>575</v>
      </c>
      <c r="C174" s="10" t="s">
        <v>570</v>
      </c>
      <c r="D174" s="10" t="s">
        <v>571</v>
      </c>
      <c r="E174" s="10" t="s">
        <v>2</v>
      </c>
      <c r="F174" s="11" t="s">
        <v>576</v>
      </c>
      <c r="G174" s="11"/>
      <c r="H174" s="11"/>
      <c r="I174" s="11">
        <v>1970</v>
      </c>
      <c r="J174" s="11" t="s">
        <v>573</v>
      </c>
      <c r="K174" s="15" t="s">
        <v>574</v>
      </c>
      <c r="L174" s="15" t="s">
        <v>56</v>
      </c>
      <c r="M174" s="11" t="s">
        <v>22</v>
      </c>
      <c r="N174" s="10">
        <v>650</v>
      </c>
      <c r="O174" s="10">
        <v>1950</v>
      </c>
      <c r="P174" s="10">
        <v>2</v>
      </c>
      <c r="Q174" s="10">
        <v>210</v>
      </c>
      <c r="R174" s="10" t="s">
        <v>66</v>
      </c>
      <c r="S174" s="10">
        <v>305</v>
      </c>
      <c r="T174" s="10">
        <v>59.7</v>
      </c>
      <c r="U174" s="29">
        <v>43600</v>
      </c>
      <c r="V174" s="29">
        <v>47252</v>
      </c>
      <c r="W174" s="10" t="s">
        <v>13</v>
      </c>
      <c r="X174" s="10" t="s">
        <v>17</v>
      </c>
    </row>
    <row r="175" spans="1:24" ht="66" customHeight="1" x14ac:dyDescent="0.25">
      <c r="A175" s="10">
        <f t="shared" si="0"/>
        <v>172</v>
      </c>
      <c r="B175" s="11" t="s">
        <v>577</v>
      </c>
      <c r="C175" s="10" t="s">
        <v>570</v>
      </c>
      <c r="D175" s="10" t="s">
        <v>571</v>
      </c>
      <c r="E175" s="10" t="s">
        <v>2</v>
      </c>
      <c r="F175" s="11" t="s">
        <v>578</v>
      </c>
      <c r="G175" s="11"/>
      <c r="H175" s="11"/>
      <c r="I175" s="11">
        <v>1970</v>
      </c>
      <c r="J175" s="11" t="s">
        <v>573</v>
      </c>
      <c r="K175" s="15" t="s">
        <v>574</v>
      </c>
      <c r="L175" s="15" t="s">
        <v>56</v>
      </c>
      <c r="M175" s="11" t="s">
        <v>22</v>
      </c>
      <c r="N175" s="10">
        <v>448</v>
      </c>
      <c r="O175" s="10">
        <v>1220</v>
      </c>
      <c r="P175" s="10">
        <v>1</v>
      </c>
      <c r="Q175" s="10">
        <v>165.5</v>
      </c>
      <c r="R175" s="10" t="s">
        <v>66</v>
      </c>
      <c r="S175" s="10">
        <v>226</v>
      </c>
      <c r="T175" s="10">
        <v>45.1</v>
      </c>
      <c r="U175" s="29">
        <v>43600</v>
      </c>
      <c r="V175" s="29">
        <v>47252</v>
      </c>
      <c r="W175" s="10" t="s">
        <v>10</v>
      </c>
      <c r="X175" s="10" t="s">
        <v>17</v>
      </c>
    </row>
    <row r="176" spans="1:24" ht="66" customHeight="1" x14ac:dyDescent="0.25">
      <c r="A176" s="10">
        <f t="shared" si="0"/>
        <v>173</v>
      </c>
      <c r="B176" s="11" t="s">
        <v>579</v>
      </c>
      <c r="C176" s="10" t="s">
        <v>580</v>
      </c>
      <c r="D176" s="10" t="s">
        <v>142</v>
      </c>
      <c r="E176" s="10" t="s">
        <v>5</v>
      </c>
      <c r="F176" s="11" t="s">
        <v>581</v>
      </c>
      <c r="G176" s="11"/>
      <c r="H176" s="11"/>
      <c r="I176" s="11">
        <v>1986</v>
      </c>
      <c r="J176" s="11" t="s">
        <v>93</v>
      </c>
      <c r="K176" s="15" t="s">
        <v>94</v>
      </c>
      <c r="L176" s="15" t="s">
        <v>56</v>
      </c>
      <c r="M176" s="11" t="s">
        <v>26</v>
      </c>
      <c r="N176" s="10">
        <v>2775</v>
      </c>
      <c r="O176" s="10">
        <v>8918</v>
      </c>
      <c r="P176" s="10">
        <v>3</v>
      </c>
      <c r="Q176" s="10">
        <v>160.9</v>
      </c>
      <c r="R176" s="10" t="s">
        <v>66</v>
      </c>
      <c r="S176" s="10">
        <v>296</v>
      </c>
      <c r="T176" s="10">
        <v>56</v>
      </c>
      <c r="U176" s="29">
        <v>43614</v>
      </c>
      <c r="V176" s="29">
        <v>47266</v>
      </c>
      <c r="W176" s="10" t="s">
        <v>10</v>
      </c>
      <c r="X176" s="10" t="s">
        <v>17</v>
      </c>
    </row>
    <row r="177" spans="1:24" ht="66" customHeight="1" x14ac:dyDescent="0.25">
      <c r="A177" s="10">
        <f t="shared" si="0"/>
        <v>174</v>
      </c>
      <c r="B177" s="11" t="s">
        <v>582</v>
      </c>
      <c r="C177" s="10" t="s">
        <v>583</v>
      </c>
      <c r="D177" s="10" t="s">
        <v>285</v>
      </c>
      <c r="E177" s="10" t="s">
        <v>0</v>
      </c>
      <c r="F177" s="11" t="s">
        <v>584</v>
      </c>
      <c r="G177" s="11"/>
      <c r="H177" s="11"/>
      <c r="I177" s="11">
        <v>1988</v>
      </c>
      <c r="J177" s="11" t="s">
        <v>585</v>
      </c>
      <c r="K177" s="15" t="s">
        <v>586</v>
      </c>
      <c r="L177" s="15" t="s">
        <v>56</v>
      </c>
      <c r="M177" s="11" t="s">
        <v>26</v>
      </c>
      <c r="N177" s="10">
        <v>5156.1000000000004</v>
      </c>
      <c r="O177" s="10">
        <v>24816.9</v>
      </c>
      <c r="P177" s="10">
        <v>9</v>
      </c>
      <c r="Q177" s="10">
        <v>345.9</v>
      </c>
      <c r="R177" s="10" t="s">
        <v>57</v>
      </c>
      <c r="S177" s="10">
        <v>360.1</v>
      </c>
      <c r="T177" s="10">
        <v>97.1</v>
      </c>
      <c r="U177" s="29">
        <v>43616</v>
      </c>
      <c r="V177" s="29">
        <v>47268</v>
      </c>
      <c r="W177" s="10" t="s">
        <v>13</v>
      </c>
      <c r="X177" s="10" t="s">
        <v>17</v>
      </c>
    </row>
    <row r="178" spans="1:24" ht="66" customHeight="1" x14ac:dyDescent="0.25">
      <c r="A178" s="10">
        <f t="shared" si="0"/>
        <v>175</v>
      </c>
      <c r="B178" s="11" t="s">
        <v>587</v>
      </c>
      <c r="C178" s="10" t="s">
        <v>52</v>
      </c>
      <c r="D178" s="10" t="s">
        <v>52</v>
      </c>
      <c r="E178" s="10" t="s">
        <v>2</v>
      </c>
      <c r="F178" s="11" t="s">
        <v>588</v>
      </c>
      <c r="G178" s="11"/>
      <c r="H178" s="11"/>
      <c r="I178" s="11">
        <v>1983</v>
      </c>
      <c r="J178" s="10" t="s">
        <v>110</v>
      </c>
      <c r="K178" s="15" t="s">
        <v>111</v>
      </c>
      <c r="L178" s="15" t="str">
        <f>HYPERLINK("https://drive.google.com/open?id=1sunEiruadvSOMV_O9jgFxfKAax8K3Wa8","Сертифікат")</f>
        <v>Сертифікат</v>
      </c>
      <c r="M178" s="11" t="s">
        <v>26</v>
      </c>
      <c r="N178" s="10">
        <v>2964.9</v>
      </c>
      <c r="O178" s="10">
        <v>9487.7000000000007</v>
      </c>
      <c r="P178" s="10">
        <v>3</v>
      </c>
      <c r="Q178" s="10">
        <v>112.25</v>
      </c>
      <c r="R178" s="10" t="s">
        <v>66</v>
      </c>
      <c r="S178" s="10">
        <v>503.25</v>
      </c>
      <c r="T178" s="10">
        <v>99.7</v>
      </c>
      <c r="U178" s="29">
        <v>43619</v>
      </c>
      <c r="V178" s="29">
        <v>47271</v>
      </c>
      <c r="W178" s="10" t="s">
        <v>13</v>
      </c>
      <c r="X178" s="10" t="s">
        <v>17</v>
      </c>
    </row>
    <row r="179" spans="1:24" ht="66" customHeight="1" x14ac:dyDescent="0.25">
      <c r="A179" s="10">
        <f t="shared" si="0"/>
        <v>176</v>
      </c>
      <c r="B179" s="11" t="s">
        <v>589</v>
      </c>
      <c r="C179" s="10" t="s">
        <v>52</v>
      </c>
      <c r="D179" s="10" t="s">
        <v>52</v>
      </c>
      <c r="E179" s="10" t="s">
        <v>2</v>
      </c>
      <c r="F179" s="11" t="s">
        <v>590</v>
      </c>
      <c r="G179" s="11"/>
      <c r="H179" s="11"/>
      <c r="I179" s="11">
        <v>1970</v>
      </c>
      <c r="J179" s="11" t="s">
        <v>131</v>
      </c>
      <c r="K179" s="15" t="s">
        <v>132</v>
      </c>
      <c r="L179" s="15" t="s">
        <v>56</v>
      </c>
      <c r="M179" s="11" t="s">
        <v>15</v>
      </c>
      <c r="N179" s="10">
        <v>13343</v>
      </c>
      <c r="O179" s="10">
        <v>43061</v>
      </c>
      <c r="P179" s="10">
        <v>10</v>
      </c>
      <c r="Q179" s="10">
        <v>30</v>
      </c>
      <c r="R179" s="10" t="s">
        <v>66</v>
      </c>
      <c r="S179" s="10">
        <v>174</v>
      </c>
      <c r="T179" s="10">
        <v>55</v>
      </c>
      <c r="U179" s="29">
        <v>43616</v>
      </c>
      <c r="V179" s="29">
        <v>47268</v>
      </c>
      <c r="W179" s="10" t="s">
        <v>13</v>
      </c>
      <c r="X179" s="10" t="s">
        <v>14</v>
      </c>
    </row>
    <row r="180" spans="1:24" ht="67.5" customHeight="1" x14ac:dyDescent="0.25">
      <c r="A180" s="10">
        <f t="shared" si="0"/>
        <v>177</v>
      </c>
      <c r="B180" s="11" t="s">
        <v>591</v>
      </c>
      <c r="C180" s="10" t="s">
        <v>52</v>
      </c>
      <c r="D180" s="10" t="s">
        <v>52</v>
      </c>
      <c r="E180" s="10" t="s">
        <v>2</v>
      </c>
      <c r="F180" s="11" t="s">
        <v>592</v>
      </c>
      <c r="G180" s="11"/>
      <c r="H180" s="11"/>
      <c r="I180" s="11">
        <v>1843</v>
      </c>
      <c r="J180" s="11" t="s">
        <v>593</v>
      </c>
      <c r="K180" s="15" t="s">
        <v>594</v>
      </c>
      <c r="L180" s="15" t="s">
        <v>56</v>
      </c>
      <c r="M180" s="11" t="s">
        <v>24</v>
      </c>
      <c r="N180" s="10">
        <v>15683.9</v>
      </c>
      <c r="O180" s="10">
        <v>66763</v>
      </c>
      <c r="P180" s="10">
        <v>4</v>
      </c>
      <c r="Q180" s="10">
        <v>69</v>
      </c>
      <c r="R180" s="10" t="s">
        <v>66</v>
      </c>
      <c r="S180" s="10">
        <v>121</v>
      </c>
      <c r="T180" s="10">
        <v>102</v>
      </c>
      <c r="U180" s="29">
        <v>43599</v>
      </c>
      <c r="V180" s="29">
        <v>47251</v>
      </c>
      <c r="W180" s="10" t="s">
        <v>10</v>
      </c>
      <c r="X180" s="10" t="s">
        <v>17</v>
      </c>
    </row>
    <row r="181" spans="1:24" ht="67.5" customHeight="1" x14ac:dyDescent="0.25">
      <c r="A181" s="10">
        <f t="shared" si="0"/>
        <v>178</v>
      </c>
      <c r="B181" s="11" t="s">
        <v>595</v>
      </c>
      <c r="C181" s="24" t="s">
        <v>85</v>
      </c>
      <c r="D181" s="10" t="s">
        <v>86</v>
      </c>
      <c r="E181" s="10" t="s">
        <v>5</v>
      </c>
      <c r="F181" s="11" t="s">
        <v>596</v>
      </c>
      <c r="G181" s="11"/>
      <c r="H181" s="11"/>
      <c r="I181" s="11">
        <v>1961</v>
      </c>
      <c r="J181" s="11" t="s">
        <v>88</v>
      </c>
      <c r="K181" s="15" t="s">
        <v>89</v>
      </c>
      <c r="L181" s="15" t="str">
        <f>HYPERLINK("https://drive.google.com/open?id=15LrwBczksHbKXKBG4u2kNcIE0euG1JFa","Сертифікат")</f>
        <v>Сертифікат</v>
      </c>
      <c r="M181" s="11" t="s">
        <v>20</v>
      </c>
      <c r="N181" s="10">
        <v>2661.7</v>
      </c>
      <c r="O181" s="10">
        <v>9289</v>
      </c>
      <c r="P181" s="42">
        <v>43526</v>
      </c>
      <c r="Q181" s="10">
        <v>68.8</v>
      </c>
      <c r="R181" s="10" t="s">
        <v>66</v>
      </c>
      <c r="S181" s="10">
        <v>300.7</v>
      </c>
      <c r="T181" s="10">
        <v>59.3</v>
      </c>
      <c r="U181" s="29">
        <v>43620</v>
      </c>
      <c r="V181" s="29">
        <v>47272</v>
      </c>
      <c r="W181" s="10" t="s">
        <v>10</v>
      </c>
      <c r="X181" s="10" t="s">
        <v>17</v>
      </c>
    </row>
    <row r="182" spans="1:24" ht="67.5" customHeight="1" x14ac:dyDescent="0.25">
      <c r="A182" s="10">
        <f t="shared" si="0"/>
        <v>179</v>
      </c>
      <c r="B182" s="11" t="s">
        <v>597</v>
      </c>
      <c r="C182" s="10" t="s">
        <v>598</v>
      </c>
      <c r="D182" s="10" t="s">
        <v>247</v>
      </c>
      <c r="E182" s="10" t="s">
        <v>0</v>
      </c>
      <c r="F182" s="11" t="s">
        <v>599</v>
      </c>
      <c r="G182" s="11"/>
      <c r="H182" s="11"/>
      <c r="I182" s="11">
        <v>1980</v>
      </c>
      <c r="J182" s="10" t="s">
        <v>54</v>
      </c>
      <c r="K182" s="15" t="s">
        <v>55</v>
      </c>
      <c r="L182" s="15" t="s">
        <v>56</v>
      </c>
      <c r="M182" s="11" t="s">
        <v>26</v>
      </c>
      <c r="N182" s="10">
        <v>6545</v>
      </c>
      <c r="O182" s="10">
        <v>19635</v>
      </c>
      <c r="P182" s="10">
        <v>5</v>
      </c>
      <c r="Q182" s="10">
        <v>211</v>
      </c>
      <c r="R182" s="10" t="s">
        <v>57</v>
      </c>
      <c r="S182" s="10">
        <v>293</v>
      </c>
      <c r="T182" s="10">
        <v>81</v>
      </c>
      <c r="U182" s="29">
        <v>43602</v>
      </c>
      <c r="V182" s="29">
        <v>47254</v>
      </c>
      <c r="W182" s="10" t="s">
        <v>10</v>
      </c>
      <c r="X182" s="10" t="s">
        <v>17</v>
      </c>
    </row>
    <row r="183" spans="1:24" ht="67.5" customHeight="1" x14ac:dyDescent="0.25">
      <c r="A183" s="10">
        <f t="shared" si="0"/>
        <v>180</v>
      </c>
      <c r="B183" s="11" t="s">
        <v>600</v>
      </c>
      <c r="C183" s="10" t="s">
        <v>52</v>
      </c>
      <c r="D183" s="10" t="s">
        <v>52</v>
      </c>
      <c r="E183" s="10" t="s">
        <v>0</v>
      </c>
      <c r="F183" s="11" t="s">
        <v>601</v>
      </c>
      <c r="G183" s="11"/>
      <c r="H183" s="11"/>
      <c r="I183" s="11">
        <v>2004</v>
      </c>
      <c r="J183" s="10" t="s">
        <v>54</v>
      </c>
      <c r="K183" s="15" t="s">
        <v>55</v>
      </c>
      <c r="L183" s="15" t="s">
        <v>56</v>
      </c>
      <c r="M183" s="11" t="s">
        <v>26</v>
      </c>
      <c r="N183" s="10">
        <v>36569</v>
      </c>
      <c r="O183" s="10">
        <v>144684</v>
      </c>
      <c r="P183" s="10">
        <v>24</v>
      </c>
      <c r="Q183" s="10">
        <v>178</v>
      </c>
      <c r="R183" s="10" t="s">
        <v>57</v>
      </c>
      <c r="S183" s="10">
        <v>285</v>
      </c>
      <c r="T183" s="10">
        <v>84</v>
      </c>
      <c r="U183" s="29">
        <v>43613</v>
      </c>
      <c r="V183" s="29">
        <v>47265</v>
      </c>
      <c r="W183" s="10" t="s">
        <v>10</v>
      </c>
      <c r="X183" s="10" t="s">
        <v>17</v>
      </c>
    </row>
    <row r="184" spans="1:24" ht="67.5" customHeight="1" x14ac:dyDescent="0.25">
      <c r="A184" s="10">
        <f t="shared" si="0"/>
        <v>181</v>
      </c>
      <c r="B184" s="11" t="s">
        <v>602</v>
      </c>
      <c r="C184" s="10" t="s">
        <v>297</v>
      </c>
      <c r="D184" s="10" t="s">
        <v>298</v>
      </c>
      <c r="E184" s="10" t="s">
        <v>2</v>
      </c>
      <c r="F184" s="11" t="s">
        <v>603</v>
      </c>
      <c r="G184" s="11"/>
      <c r="H184" s="11"/>
      <c r="I184" s="11">
        <v>1978</v>
      </c>
      <c r="J184" s="10" t="s">
        <v>604</v>
      </c>
      <c r="K184" s="15" t="s">
        <v>605</v>
      </c>
      <c r="L184" s="15" t="s">
        <v>56</v>
      </c>
      <c r="M184" s="11" t="s">
        <v>24</v>
      </c>
      <c r="N184" s="10">
        <v>1333</v>
      </c>
      <c r="O184" s="10">
        <v>7892</v>
      </c>
      <c r="P184" s="10">
        <v>2</v>
      </c>
      <c r="Q184" s="10">
        <v>94</v>
      </c>
      <c r="R184" s="10" t="s">
        <v>66</v>
      </c>
      <c r="S184" s="10">
        <v>749</v>
      </c>
      <c r="T184" s="10">
        <v>149</v>
      </c>
      <c r="U184" s="29">
        <v>43615</v>
      </c>
      <c r="V184" s="29">
        <v>47267</v>
      </c>
      <c r="W184" s="10" t="s">
        <v>13</v>
      </c>
      <c r="X184" s="10" t="s">
        <v>17</v>
      </c>
    </row>
    <row r="185" spans="1:24" ht="67.5" customHeight="1" x14ac:dyDescent="0.25">
      <c r="A185" s="10">
        <f t="shared" si="0"/>
        <v>182</v>
      </c>
      <c r="B185" s="11" t="s">
        <v>606</v>
      </c>
      <c r="C185" s="10" t="s">
        <v>607</v>
      </c>
      <c r="D185" s="10" t="s">
        <v>69</v>
      </c>
      <c r="E185" s="10" t="s">
        <v>3</v>
      </c>
      <c r="F185" s="11" t="s">
        <v>608</v>
      </c>
      <c r="G185" s="11"/>
      <c r="H185" s="11"/>
      <c r="I185" s="11">
        <v>1974</v>
      </c>
      <c r="J185" s="10" t="s">
        <v>609</v>
      </c>
      <c r="K185" s="15" t="str">
        <f>HYPERLINK("https://drive.google.com/open?id=1MmGP6rtYcZwVyIqDA-ykUrezieQsOMPg","ОД 000024")</f>
        <v>ОД 000024</v>
      </c>
      <c r="L185" s="15" t="s">
        <v>56</v>
      </c>
      <c r="M185" s="11" t="s">
        <v>26</v>
      </c>
      <c r="N185" s="10">
        <v>1974.3</v>
      </c>
      <c r="O185" s="10">
        <v>6785</v>
      </c>
      <c r="P185" s="10">
        <v>2</v>
      </c>
      <c r="Q185" s="10">
        <v>59.5</v>
      </c>
      <c r="R185" s="10" t="s">
        <v>66</v>
      </c>
      <c r="S185" s="10">
        <v>332.7</v>
      </c>
      <c r="T185" s="10">
        <v>65.3</v>
      </c>
      <c r="U185" s="29">
        <v>43619</v>
      </c>
      <c r="V185" s="29">
        <v>47271</v>
      </c>
      <c r="W185" s="10" t="s">
        <v>13</v>
      </c>
      <c r="X185" s="10" t="s">
        <v>17</v>
      </c>
    </row>
    <row r="186" spans="1:24" ht="67.5" customHeight="1" x14ac:dyDescent="0.25">
      <c r="A186" s="10">
        <f t="shared" si="0"/>
        <v>183</v>
      </c>
      <c r="B186" s="11" t="s">
        <v>610</v>
      </c>
      <c r="C186" s="10" t="s">
        <v>611</v>
      </c>
      <c r="D186" s="10" t="s">
        <v>298</v>
      </c>
      <c r="E186" s="10" t="s">
        <v>3</v>
      </c>
      <c r="F186" s="11" t="s">
        <v>612</v>
      </c>
      <c r="G186" s="11"/>
      <c r="H186" s="11"/>
      <c r="I186" s="11">
        <v>1982</v>
      </c>
      <c r="J186" s="10" t="s">
        <v>604</v>
      </c>
      <c r="K186" s="15" t="s">
        <v>605</v>
      </c>
      <c r="L186" s="15" t="s">
        <v>56</v>
      </c>
      <c r="M186" s="11" t="s">
        <v>26</v>
      </c>
      <c r="N186" s="10">
        <v>2473</v>
      </c>
      <c r="O186" s="10">
        <v>16256</v>
      </c>
      <c r="P186" s="10">
        <v>2</v>
      </c>
      <c r="Q186" s="10">
        <v>85</v>
      </c>
      <c r="R186" s="10" t="s">
        <v>66</v>
      </c>
      <c r="S186" s="10">
        <v>628</v>
      </c>
      <c r="T186" s="10">
        <v>196</v>
      </c>
      <c r="U186" s="29">
        <v>43615</v>
      </c>
      <c r="V186" s="29">
        <v>47267</v>
      </c>
      <c r="W186" s="10" t="s">
        <v>13</v>
      </c>
      <c r="X186" s="10" t="s">
        <v>17</v>
      </c>
    </row>
    <row r="187" spans="1:24" ht="67.5" customHeight="1" x14ac:dyDescent="0.25">
      <c r="A187" s="10">
        <f t="shared" si="0"/>
        <v>184</v>
      </c>
      <c r="B187" s="11" t="s">
        <v>610</v>
      </c>
      <c r="C187" s="10" t="s">
        <v>611</v>
      </c>
      <c r="D187" s="10" t="s">
        <v>298</v>
      </c>
      <c r="E187" s="10" t="s">
        <v>3</v>
      </c>
      <c r="F187" s="11" t="s">
        <v>613</v>
      </c>
      <c r="G187" s="11"/>
      <c r="H187" s="11"/>
      <c r="I187" s="11">
        <v>1982</v>
      </c>
      <c r="J187" s="10" t="s">
        <v>604</v>
      </c>
      <c r="K187" s="15" t="s">
        <v>605</v>
      </c>
      <c r="L187" s="15" t="s">
        <v>56</v>
      </c>
      <c r="M187" s="11" t="s">
        <v>26</v>
      </c>
      <c r="N187" s="10">
        <v>1256</v>
      </c>
      <c r="O187" s="10">
        <v>8256</v>
      </c>
      <c r="P187" s="10">
        <v>2</v>
      </c>
      <c r="Q187" s="10">
        <v>67</v>
      </c>
      <c r="R187" s="10" t="s">
        <v>66</v>
      </c>
      <c r="S187" s="10">
        <v>518</v>
      </c>
      <c r="T187" s="10">
        <v>160</v>
      </c>
      <c r="U187" s="29">
        <v>43615</v>
      </c>
      <c r="V187" s="29">
        <v>47267</v>
      </c>
      <c r="W187" s="10" t="s">
        <v>13</v>
      </c>
      <c r="X187" s="10" t="s">
        <v>17</v>
      </c>
    </row>
    <row r="188" spans="1:24" ht="67.5" customHeight="1" x14ac:dyDescent="0.25">
      <c r="A188" s="10">
        <f t="shared" si="0"/>
        <v>185</v>
      </c>
      <c r="B188" s="11" t="s">
        <v>614</v>
      </c>
      <c r="C188" s="10" t="s">
        <v>552</v>
      </c>
      <c r="D188" s="11" t="s">
        <v>541</v>
      </c>
      <c r="E188" s="10" t="s">
        <v>0</v>
      </c>
      <c r="F188" s="11" t="s">
        <v>615</v>
      </c>
      <c r="G188" s="11"/>
      <c r="H188" s="11"/>
      <c r="I188" s="11">
        <v>1973</v>
      </c>
      <c r="J188" s="11" t="s">
        <v>528</v>
      </c>
      <c r="K188" s="15" t="s">
        <v>529</v>
      </c>
      <c r="L188" s="15" t="s">
        <v>56</v>
      </c>
      <c r="M188" s="11" t="s">
        <v>26</v>
      </c>
      <c r="N188" s="10">
        <v>2822</v>
      </c>
      <c r="O188" s="10">
        <v>9877</v>
      </c>
      <c r="P188" s="10">
        <v>4</v>
      </c>
      <c r="Q188" s="10">
        <v>213.4</v>
      </c>
      <c r="R188" s="10" t="s">
        <v>57</v>
      </c>
      <c r="S188" s="10">
        <v>434</v>
      </c>
      <c r="T188" s="10">
        <v>82</v>
      </c>
      <c r="U188" s="29">
        <v>43619</v>
      </c>
      <c r="V188" s="29">
        <v>47271</v>
      </c>
      <c r="W188" s="10" t="s">
        <v>10</v>
      </c>
      <c r="X188" s="10" t="s">
        <v>17</v>
      </c>
    </row>
    <row r="189" spans="1:24" ht="67.5" customHeight="1" x14ac:dyDescent="0.25">
      <c r="A189" s="10">
        <f t="shared" si="0"/>
        <v>186</v>
      </c>
      <c r="B189" s="11" t="s">
        <v>616</v>
      </c>
      <c r="C189" s="10" t="s">
        <v>552</v>
      </c>
      <c r="D189" s="10" t="s">
        <v>541</v>
      </c>
      <c r="E189" s="10" t="s">
        <v>3</v>
      </c>
      <c r="F189" s="11" t="s">
        <v>617</v>
      </c>
      <c r="G189" s="11"/>
      <c r="H189" s="11"/>
      <c r="I189" s="11">
        <v>1975</v>
      </c>
      <c r="J189" s="11" t="s">
        <v>528</v>
      </c>
      <c r="K189" s="15" t="s">
        <v>529</v>
      </c>
      <c r="L189" s="15" t="s">
        <v>56</v>
      </c>
      <c r="M189" s="11" t="s">
        <v>24</v>
      </c>
      <c r="N189" s="10">
        <v>5965</v>
      </c>
      <c r="O189" s="10">
        <v>20878</v>
      </c>
      <c r="P189" s="10">
        <v>4</v>
      </c>
      <c r="Q189" s="10">
        <v>50.3</v>
      </c>
      <c r="R189" s="10" t="s">
        <v>66</v>
      </c>
      <c r="S189" s="10">
        <v>306</v>
      </c>
      <c r="T189" s="10">
        <v>59</v>
      </c>
      <c r="U189" s="29">
        <v>43619</v>
      </c>
      <c r="V189" s="29">
        <v>47271</v>
      </c>
      <c r="W189" s="10" t="s">
        <v>10</v>
      </c>
      <c r="X189" s="10" t="s">
        <v>17</v>
      </c>
    </row>
    <row r="190" spans="1:24" ht="67.5" customHeight="1" x14ac:dyDescent="0.25">
      <c r="A190" s="10">
        <f t="shared" si="0"/>
        <v>187</v>
      </c>
      <c r="B190" s="11" t="s">
        <v>618</v>
      </c>
      <c r="C190" s="10" t="s">
        <v>552</v>
      </c>
      <c r="D190" s="10" t="s">
        <v>541</v>
      </c>
      <c r="E190" s="10" t="s">
        <v>5</v>
      </c>
      <c r="F190" s="11" t="s">
        <v>619</v>
      </c>
      <c r="G190" s="11"/>
      <c r="H190" s="11"/>
      <c r="I190" s="11">
        <v>1989</v>
      </c>
      <c r="J190" s="11" t="s">
        <v>528</v>
      </c>
      <c r="K190" s="15" t="s">
        <v>529</v>
      </c>
      <c r="L190" s="15" t="s">
        <v>56</v>
      </c>
      <c r="M190" s="11" t="s">
        <v>24</v>
      </c>
      <c r="N190" s="10">
        <v>4740</v>
      </c>
      <c r="O190" s="10">
        <v>14221</v>
      </c>
      <c r="P190" s="10">
        <v>4</v>
      </c>
      <c r="Q190" s="10">
        <v>97.6</v>
      </c>
      <c r="R190" s="10" t="s">
        <v>66</v>
      </c>
      <c r="S190" s="10">
        <v>478</v>
      </c>
      <c r="T190" s="10">
        <v>94</v>
      </c>
      <c r="U190" s="29">
        <v>43616</v>
      </c>
      <c r="V190" s="29">
        <v>47268</v>
      </c>
      <c r="W190" s="10" t="s">
        <v>10</v>
      </c>
      <c r="X190" s="10" t="s">
        <v>17</v>
      </c>
    </row>
    <row r="191" spans="1:24" ht="67.5" customHeight="1" x14ac:dyDescent="0.25">
      <c r="A191" s="10">
        <f t="shared" si="0"/>
        <v>188</v>
      </c>
      <c r="B191" s="11" t="s">
        <v>618</v>
      </c>
      <c r="C191" s="10" t="s">
        <v>552</v>
      </c>
      <c r="D191" s="10" t="s">
        <v>541</v>
      </c>
      <c r="E191" s="10" t="s">
        <v>5</v>
      </c>
      <c r="F191" s="11" t="s">
        <v>620</v>
      </c>
      <c r="G191" s="11"/>
      <c r="H191" s="11"/>
      <c r="I191" s="11">
        <v>1989</v>
      </c>
      <c r="J191" s="11" t="s">
        <v>528</v>
      </c>
      <c r="K191" s="15" t="s">
        <v>529</v>
      </c>
      <c r="L191" s="15" t="s">
        <v>56</v>
      </c>
      <c r="M191" s="11" t="s">
        <v>26</v>
      </c>
      <c r="N191" s="10">
        <v>2833</v>
      </c>
      <c r="O191" s="10">
        <v>8500</v>
      </c>
      <c r="P191" s="10">
        <v>4</v>
      </c>
      <c r="Q191" s="10">
        <v>114</v>
      </c>
      <c r="R191" s="10" t="s">
        <v>66</v>
      </c>
      <c r="S191" s="10">
        <v>662</v>
      </c>
      <c r="T191" s="10">
        <v>130</v>
      </c>
      <c r="U191" s="29">
        <v>43616</v>
      </c>
      <c r="V191" s="29">
        <v>47268</v>
      </c>
      <c r="W191" s="10" t="s">
        <v>10</v>
      </c>
      <c r="X191" s="10" t="s">
        <v>17</v>
      </c>
    </row>
    <row r="192" spans="1:24" ht="67.5" customHeight="1" x14ac:dyDescent="0.25">
      <c r="A192" s="10">
        <f t="shared" si="0"/>
        <v>189</v>
      </c>
      <c r="B192" s="11" t="s">
        <v>621</v>
      </c>
      <c r="C192" s="10" t="s">
        <v>552</v>
      </c>
      <c r="D192" s="10" t="s">
        <v>541</v>
      </c>
      <c r="E192" s="10" t="s">
        <v>5</v>
      </c>
      <c r="F192" s="11" t="s">
        <v>622</v>
      </c>
      <c r="G192" s="11"/>
      <c r="H192" s="11"/>
      <c r="I192" s="11">
        <v>1989</v>
      </c>
      <c r="J192" s="11" t="s">
        <v>528</v>
      </c>
      <c r="K192" s="15" t="s">
        <v>529</v>
      </c>
      <c r="L192" s="15" t="s">
        <v>56</v>
      </c>
      <c r="M192" s="11" t="s">
        <v>26</v>
      </c>
      <c r="N192" s="10">
        <v>1150</v>
      </c>
      <c r="O192" s="10">
        <v>3449</v>
      </c>
      <c r="P192" s="10">
        <v>2</v>
      </c>
      <c r="Q192" s="10">
        <v>112</v>
      </c>
      <c r="R192" s="10" t="s">
        <v>66</v>
      </c>
      <c r="S192" s="10">
        <v>520</v>
      </c>
      <c r="T192" s="10">
        <v>102</v>
      </c>
      <c r="U192" s="29">
        <v>43616</v>
      </c>
      <c r="V192" s="29">
        <v>47268</v>
      </c>
      <c r="W192" s="10" t="s">
        <v>10</v>
      </c>
      <c r="X192" s="10" t="s">
        <v>17</v>
      </c>
    </row>
    <row r="193" spans="1:24" ht="67.5" customHeight="1" x14ac:dyDescent="0.25">
      <c r="A193" s="10">
        <f t="shared" si="0"/>
        <v>190</v>
      </c>
      <c r="B193" s="11" t="s">
        <v>623</v>
      </c>
      <c r="C193" s="24" t="s">
        <v>284</v>
      </c>
      <c r="D193" s="10" t="s">
        <v>285</v>
      </c>
      <c r="E193" s="10" t="s">
        <v>0</v>
      </c>
      <c r="F193" s="11" t="s">
        <v>624</v>
      </c>
      <c r="G193" s="11"/>
      <c r="H193" s="11"/>
      <c r="I193" s="11">
        <v>1977</v>
      </c>
      <c r="J193" s="26" t="s">
        <v>287</v>
      </c>
      <c r="K193" s="15" t="s">
        <v>625</v>
      </c>
      <c r="L193" s="15" t="str">
        <f>HYPERLINK("https://drive.google.com/open?id=1_fN25CjmKsPxBcGSnJLdyO6XyCeLDzsU","Сертифікат")</f>
        <v>Сертифікат</v>
      </c>
      <c r="M193" s="11" t="s">
        <v>26</v>
      </c>
      <c r="N193" s="10">
        <v>3950.3</v>
      </c>
      <c r="O193" s="10">
        <v>10938.6</v>
      </c>
      <c r="P193" s="10">
        <v>9</v>
      </c>
      <c r="Q193" s="10">
        <v>200.6</v>
      </c>
      <c r="R193" s="10" t="s">
        <v>66</v>
      </c>
      <c r="S193" s="10">
        <v>210.8</v>
      </c>
      <c r="T193" s="10">
        <v>57.7</v>
      </c>
      <c r="U193" s="29">
        <v>43621</v>
      </c>
      <c r="V193" s="29">
        <v>47273</v>
      </c>
      <c r="W193" s="10" t="s">
        <v>13</v>
      </c>
      <c r="X193" s="10" t="s">
        <v>17</v>
      </c>
    </row>
    <row r="194" spans="1:24" ht="67.5" customHeight="1" x14ac:dyDescent="0.25">
      <c r="A194" s="10">
        <f t="shared" si="0"/>
        <v>191</v>
      </c>
      <c r="B194" s="11" t="s">
        <v>626</v>
      </c>
      <c r="C194" s="10" t="s">
        <v>52</v>
      </c>
      <c r="D194" s="10" t="s">
        <v>52</v>
      </c>
      <c r="E194" s="10" t="s">
        <v>0</v>
      </c>
      <c r="F194" s="11" t="s">
        <v>627</v>
      </c>
      <c r="G194" s="11"/>
      <c r="H194" s="11"/>
      <c r="I194" s="11">
        <v>2013</v>
      </c>
      <c r="J194" s="11" t="s">
        <v>628</v>
      </c>
      <c r="K194" s="15" t="s">
        <v>629</v>
      </c>
      <c r="L194" s="15" t="s">
        <v>56</v>
      </c>
      <c r="M194" s="11" t="s">
        <v>22</v>
      </c>
      <c r="N194" s="10">
        <v>32277</v>
      </c>
      <c r="O194" s="10">
        <v>96831</v>
      </c>
      <c r="P194" s="10">
        <v>26</v>
      </c>
      <c r="Q194" s="10">
        <v>111.62</v>
      </c>
      <c r="R194" s="10" t="s">
        <v>57</v>
      </c>
      <c r="S194" s="10">
        <v>150.13999999999999</v>
      </c>
      <c r="T194" s="10">
        <v>29.89</v>
      </c>
      <c r="U194" s="29">
        <v>43622</v>
      </c>
      <c r="V194" s="29">
        <v>47274</v>
      </c>
      <c r="W194" s="10" t="s">
        <v>13</v>
      </c>
      <c r="X194" s="10" t="s">
        <v>17</v>
      </c>
    </row>
    <row r="195" spans="1:24" ht="67.5" customHeight="1" x14ac:dyDescent="0.25">
      <c r="A195" s="10">
        <f t="shared" si="0"/>
        <v>192</v>
      </c>
      <c r="B195" s="11" t="s">
        <v>630</v>
      </c>
      <c r="C195" s="24" t="s">
        <v>631</v>
      </c>
      <c r="D195" s="10" t="s">
        <v>571</v>
      </c>
      <c r="E195" s="10" t="s">
        <v>4</v>
      </c>
      <c r="F195" s="26" t="s">
        <v>632</v>
      </c>
      <c r="G195" s="11"/>
      <c r="H195" s="11"/>
      <c r="I195" s="11">
        <v>1978</v>
      </c>
      <c r="J195" s="11" t="s">
        <v>633</v>
      </c>
      <c r="K195" s="15" t="s">
        <v>634</v>
      </c>
      <c r="L195" s="15" t="s">
        <v>56</v>
      </c>
      <c r="M195" s="11" t="s">
        <v>24</v>
      </c>
      <c r="N195" s="10">
        <v>2165.4</v>
      </c>
      <c r="O195" s="10">
        <v>6819.87</v>
      </c>
      <c r="P195" s="10">
        <v>2</v>
      </c>
      <c r="Q195" s="10">
        <v>86</v>
      </c>
      <c r="R195" s="10" t="s">
        <v>66</v>
      </c>
      <c r="S195" s="10">
        <v>135</v>
      </c>
      <c r="T195" s="10">
        <v>83</v>
      </c>
      <c r="U195" s="29">
        <v>43621</v>
      </c>
      <c r="V195" s="29">
        <v>47273</v>
      </c>
      <c r="W195" s="10" t="s">
        <v>10</v>
      </c>
      <c r="X195" s="10" t="s">
        <v>17</v>
      </c>
    </row>
    <row r="196" spans="1:24" ht="67.5" customHeight="1" x14ac:dyDescent="0.25">
      <c r="A196" s="10">
        <f t="shared" si="0"/>
        <v>193</v>
      </c>
      <c r="B196" s="11" t="s">
        <v>635</v>
      </c>
      <c r="C196" s="10" t="s">
        <v>631</v>
      </c>
      <c r="D196" s="10" t="s">
        <v>571</v>
      </c>
      <c r="E196" s="10" t="s">
        <v>4</v>
      </c>
      <c r="F196" s="20" t="s">
        <v>636</v>
      </c>
      <c r="G196" s="11"/>
      <c r="H196" s="11"/>
      <c r="I196" s="11">
        <v>1957</v>
      </c>
      <c r="J196" s="11" t="s">
        <v>593</v>
      </c>
      <c r="K196" s="15" t="s">
        <v>594</v>
      </c>
      <c r="L196" s="15" t="s">
        <v>56</v>
      </c>
      <c r="M196" s="11" t="s">
        <v>24</v>
      </c>
      <c r="N196" s="10">
        <v>478.9</v>
      </c>
      <c r="O196" s="10">
        <v>1606.16</v>
      </c>
      <c r="P196" s="10">
        <v>2</v>
      </c>
      <c r="Q196" s="10">
        <v>86</v>
      </c>
      <c r="R196" s="10" t="s">
        <v>66</v>
      </c>
      <c r="S196" s="10">
        <v>153</v>
      </c>
      <c r="T196" s="10">
        <v>98</v>
      </c>
      <c r="U196" s="29">
        <v>43621</v>
      </c>
      <c r="V196" s="29">
        <v>47273</v>
      </c>
      <c r="W196" s="10" t="s">
        <v>10</v>
      </c>
      <c r="X196" s="10" t="s">
        <v>17</v>
      </c>
    </row>
    <row r="197" spans="1:24" ht="67.5" customHeight="1" x14ac:dyDescent="0.25">
      <c r="A197" s="10">
        <f t="shared" si="0"/>
        <v>194</v>
      </c>
      <c r="B197" s="11" t="s">
        <v>637</v>
      </c>
      <c r="C197" s="24" t="s">
        <v>631</v>
      </c>
      <c r="D197" s="10" t="s">
        <v>571</v>
      </c>
      <c r="E197" s="10" t="s">
        <v>3</v>
      </c>
      <c r="F197" s="26" t="s">
        <v>638</v>
      </c>
      <c r="G197" s="11"/>
      <c r="H197" s="11"/>
      <c r="I197" s="11"/>
      <c r="J197" s="11" t="s">
        <v>633</v>
      </c>
      <c r="K197" s="15" t="s">
        <v>634</v>
      </c>
      <c r="L197" s="15" t="s">
        <v>56</v>
      </c>
      <c r="M197" s="11" t="s">
        <v>26</v>
      </c>
      <c r="N197" s="10">
        <v>2336.1999999999998</v>
      </c>
      <c r="O197" s="10">
        <v>8395</v>
      </c>
      <c r="P197" s="10">
        <v>3</v>
      </c>
      <c r="Q197" s="10">
        <v>80</v>
      </c>
      <c r="R197" s="10" t="s">
        <v>66</v>
      </c>
      <c r="S197" s="10">
        <v>125</v>
      </c>
      <c r="T197" s="10">
        <v>88</v>
      </c>
      <c r="U197" s="29">
        <v>43621</v>
      </c>
      <c r="V197" s="29">
        <v>47273</v>
      </c>
      <c r="W197" s="10" t="s">
        <v>10</v>
      </c>
      <c r="X197" s="10" t="s">
        <v>17</v>
      </c>
    </row>
    <row r="198" spans="1:24" ht="67.5" customHeight="1" x14ac:dyDescent="0.25">
      <c r="A198" s="10">
        <f t="shared" si="0"/>
        <v>195</v>
      </c>
      <c r="B198" s="11" t="s">
        <v>639</v>
      </c>
      <c r="C198" s="10" t="s">
        <v>640</v>
      </c>
      <c r="D198" s="10" t="s">
        <v>485</v>
      </c>
      <c r="E198" s="10" t="s">
        <v>4</v>
      </c>
      <c r="F198" s="11" t="s">
        <v>641</v>
      </c>
      <c r="G198" s="11"/>
      <c r="H198" s="11"/>
      <c r="I198" s="11">
        <v>1979</v>
      </c>
      <c r="J198" s="43" t="s">
        <v>642</v>
      </c>
      <c r="K198" s="15" t="s">
        <v>643</v>
      </c>
      <c r="L198" s="15" t="s">
        <v>56</v>
      </c>
      <c r="M198" s="11" t="s">
        <v>26</v>
      </c>
      <c r="N198" s="10">
        <v>1040.4000000000001</v>
      </c>
      <c r="O198" s="10">
        <v>3329</v>
      </c>
      <c r="P198" s="10">
        <v>2</v>
      </c>
      <c r="Q198" s="10">
        <v>131.5</v>
      </c>
      <c r="R198" s="10" t="s">
        <v>66</v>
      </c>
      <c r="S198" s="10">
        <v>554</v>
      </c>
      <c r="T198" s="10">
        <v>107</v>
      </c>
      <c r="U198" s="29">
        <v>43626</v>
      </c>
      <c r="V198" s="29">
        <v>47278</v>
      </c>
      <c r="W198" s="10" t="s">
        <v>10</v>
      </c>
      <c r="X198" s="10" t="s">
        <v>17</v>
      </c>
    </row>
    <row r="199" spans="1:24" ht="67.5" customHeight="1" x14ac:dyDescent="0.25">
      <c r="A199" s="10">
        <f t="shared" si="0"/>
        <v>196</v>
      </c>
      <c r="B199" s="11" t="s">
        <v>644</v>
      </c>
      <c r="C199" s="10" t="s">
        <v>631</v>
      </c>
      <c r="D199" s="10" t="s">
        <v>571</v>
      </c>
      <c r="E199" s="10" t="s">
        <v>3</v>
      </c>
      <c r="F199" s="20" t="s">
        <v>645</v>
      </c>
      <c r="G199" s="11"/>
      <c r="H199" s="11"/>
      <c r="I199" s="11">
        <v>1964</v>
      </c>
      <c r="J199" s="11" t="s">
        <v>593</v>
      </c>
      <c r="K199" s="15" t="s">
        <v>594</v>
      </c>
      <c r="L199" s="15" t="s">
        <v>56</v>
      </c>
      <c r="M199" s="11" t="s">
        <v>26</v>
      </c>
      <c r="N199" s="10">
        <v>654.1</v>
      </c>
      <c r="O199" s="10">
        <v>1942.7</v>
      </c>
      <c r="P199" s="10">
        <v>4</v>
      </c>
      <c r="Q199" s="10">
        <v>54</v>
      </c>
      <c r="R199" s="10" t="s">
        <v>66</v>
      </c>
      <c r="S199" s="10">
        <v>94</v>
      </c>
      <c r="T199" s="10">
        <v>53</v>
      </c>
      <c r="U199" s="29">
        <v>43621</v>
      </c>
      <c r="V199" s="29">
        <v>47273</v>
      </c>
      <c r="W199" s="10" t="s">
        <v>10</v>
      </c>
      <c r="X199" s="10" t="s">
        <v>17</v>
      </c>
    </row>
    <row r="200" spans="1:24" ht="67.5" customHeight="1" x14ac:dyDescent="0.25">
      <c r="A200" s="10">
        <f t="shared" si="0"/>
        <v>197</v>
      </c>
      <c r="B200" s="11" t="s">
        <v>646</v>
      </c>
      <c r="C200" s="24" t="s">
        <v>647</v>
      </c>
      <c r="D200" s="10" t="s">
        <v>648</v>
      </c>
      <c r="E200" s="10" t="s">
        <v>0</v>
      </c>
      <c r="F200" s="11" t="s">
        <v>649</v>
      </c>
      <c r="G200" s="11"/>
      <c r="H200" s="11"/>
      <c r="I200" s="11">
        <v>1952</v>
      </c>
      <c r="J200" s="11" t="s">
        <v>209</v>
      </c>
      <c r="K200" s="15" t="s">
        <v>210</v>
      </c>
      <c r="L200" s="15" t="s">
        <v>56</v>
      </c>
      <c r="M200" s="11" t="s">
        <v>24</v>
      </c>
      <c r="N200" s="10">
        <v>1162</v>
      </c>
      <c r="O200" s="10">
        <v>3254</v>
      </c>
      <c r="P200" s="10">
        <v>2</v>
      </c>
      <c r="Q200" s="10">
        <v>223.4</v>
      </c>
      <c r="R200" s="10" t="s">
        <v>66</v>
      </c>
      <c r="S200" s="10">
        <v>613</v>
      </c>
      <c r="T200" s="10">
        <v>119</v>
      </c>
      <c r="U200" s="29">
        <v>43620</v>
      </c>
      <c r="V200" s="29">
        <v>47272</v>
      </c>
      <c r="W200" s="10" t="s">
        <v>10</v>
      </c>
      <c r="X200" s="10" t="s">
        <v>17</v>
      </c>
    </row>
    <row r="201" spans="1:24" ht="67.5" customHeight="1" x14ac:dyDescent="0.25">
      <c r="A201" s="10">
        <f t="shared" si="0"/>
        <v>198</v>
      </c>
      <c r="B201" s="11" t="s">
        <v>650</v>
      </c>
      <c r="C201" s="10" t="s">
        <v>640</v>
      </c>
      <c r="D201" s="10" t="s">
        <v>485</v>
      </c>
      <c r="E201" s="10" t="s">
        <v>4</v>
      </c>
      <c r="F201" s="11" t="s">
        <v>651</v>
      </c>
      <c r="G201" s="11"/>
      <c r="H201" s="11"/>
      <c r="I201" s="11">
        <v>1972</v>
      </c>
      <c r="J201" s="43" t="s">
        <v>642</v>
      </c>
      <c r="K201" s="15" t="s">
        <v>643</v>
      </c>
      <c r="L201" s="15" t="s">
        <v>56</v>
      </c>
      <c r="M201" s="11" t="s">
        <v>26</v>
      </c>
      <c r="N201" s="10">
        <v>1159.2</v>
      </c>
      <c r="O201" s="10">
        <v>3825.4</v>
      </c>
      <c r="P201" s="10">
        <v>2</v>
      </c>
      <c r="Q201" s="10">
        <v>147</v>
      </c>
      <c r="R201" s="10" t="s">
        <v>66</v>
      </c>
      <c r="S201" s="10">
        <v>228</v>
      </c>
      <c r="T201" s="10">
        <v>43</v>
      </c>
      <c r="U201" s="29">
        <v>43626</v>
      </c>
      <c r="V201" s="29">
        <v>47278</v>
      </c>
      <c r="W201" s="10" t="s">
        <v>10</v>
      </c>
      <c r="X201" s="10" t="s">
        <v>17</v>
      </c>
    </row>
    <row r="202" spans="1:24" ht="67.5" customHeight="1" x14ac:dyDescent="0.25">
      <c r="A202" s="10">
        <f t="shared" si="0"/>
        <v>199</v>
      </c>
      <c r="B202" s="11" t="s">
        <v>652</v>
      </c>
      <c r="C202" s="10" t="s">
        <v>552</v>
      </c>
      <c r="D202" s="10" t="s">
        <v>541</v>
      </c>
      <c r="E202" s="10" t="s">
        <v>5</v>
      </c>
      <c r="F202" s="11" t="s">
        <v>653</v>
      </c>
      <c r="G202" s="11"/>
      <c r="H202" s="11"/>
      <c r="I202" s="11">
        <v>1980</v>
      </c>
      <c r="J202" s="11" t="s">
        <v>209</v>
      </c>
      <c r="K202" s="15" t="s">
        <v>210</v>
      </c>
      <c r="L202" s="15" t="s">
        <v>56</v>
      </c>
      <c r="M202" s="11" t="s">
        <v>26</v>
      </c>
      <c r="N202" s="10">
        <v>1673</v>
      </c>
      <c r="O202" s="10">
        <v>6042</v>
      </c>
      <c r="P202" s="10">
        <v>2</v>
      </c>
      <c r="Q202" s="10">
        <v>115.5</v>
      </c>
      <c r="R202" s="10" t="s">
        <v>66</v>
      </c>
      <c r="S202" s="10">
        <v>747</v>
      </c>
      <c r="T202" s="10">
        <v>144</v>
      </c>
      <c r="U202" s="29">
        <v>43619</v>
      </c>
      <c r="V202" s="29">
        <v>47271</v>
      </c>
      <c r="W202" s="10" t="s">
        <v>10</v>
      </c>
      <c r="X202" s="10" t="s">
        <v>17</v>
      </c>
    </row>
    <row r="203" spans="1:24" ht="67.5" customHeight="1" x14ac:dyDescent="0.25">
      <c r="A203" s="10">
        <f t="shared" si="0"/>
        <v>200</v>
      </c>
      <c r="B203" s="11" t="s">
        <v>652</v>
      </c>
      <c r="C203" s="10" t="s">
        <v>552</v>
      </c>
      <c r="D203" s="10" t="s">
        <v>541</v>
      </c>
      <c r="E203" s="10" t="s">
        <v>5</v>
      </c>
      <c r="F203" s="11" t="s">
        <v>654</v>
      </c>
      <c r="G203" s="11"/>
      <c r="H203" s="11"/>
      <c r="I203" s="11">
        <v>1975</v>
      </c>
      <c r="J203" s="11" t="s">
        <v>209</v>
      </c>
      <c r="K203" s="15" t="s">
        <v>210</v>
      </c>
      <c r="L203" s="15" t="s">
        <v>56</v>
      </c>
      <c r="M203" s="11" t="s">
        <v>26</v>
      </c>
      <c r="N203" s="10">
        <v>404</v>
      </c>
      <c r="O203" s="10">
        <v>1212</v>
      </c>
      <c r="P203" s="10">
        <v>2</v>
      </c>
      <c r="Q203" s="10">
        <v>125.3</v>
      </c>
      <c r="R203" s="10" t="s">
        <v>66</v>
      </c>
      <c r="S203" s="10">
        <v>752</v>
      </c>
      <c r="T203" s="10">
        <v>145</v>
      </c>
      <c r="U203" s="29">
        <v>43619</v>
      </c>
      <c r="V203" s="29">
        <v>47271</v>
      </c>
      <c r="W203" s="10" t="s">
        <v>10</v>
      </c>
      <c r="X203" s="10" t="s">
        <v>17</v>
      </c>
    </row>
    <row r="204" spans="1:24" ht="67.5" customHeight="1" x14ac:dyDescent="0.25">
      <c r="A204" s="10">
        <f t="shared" si="0"/>
        <v>201</v>
      </c>
      <c r="B204" s="11" t="s">
        <v>655</v>
      </c>
      <c r="C204" s="10" t="s">
        <v>74</v>
      </c>
      <c r="D204" s="10" t="s">
        <v>75</v>
      </c>
      <c r="E204" s="10" t="s">
        <v>5</v>
      </c>
      <c r="F204" s="11" t="s">
        <v>656</v>
      </c>
      <c r="G204" s="11"/>
      <c r="H204" s="11"/>
      <c r="I204" s="11">
        <v>1986</v>
      </c>
      <c r="J204" s="11" t="s">
        <v>657</v>
      </c>
      <c r="K204" s="15" t="s">
        <v>658</v>
      </c>
      <c r="L204" s="15" t="s">
        <v>56</v>
      </c>
      <c r="M204" s="11" t="s">
        <v>20</v>
      </c>
      <c r="N204" s="10">
        <v>9428</v>
      </c>
      <c r="O204" s="10">
        <v>30434.400000000001</v>
      </c>
      <c r="P204" s="10">
        <v>8</v>
      </c>
      <c r="Q204" s="10">
        <v>69.2</v>
      </c>
      <c r="R204" s="10" t="s">
        <v>66</v>
      </c>
      <c r="S204" s="10">
        <v>355.7</v>
      </c>
      <c r="T204" s="10">
        <v>69.7</v>
      </c>
      <c r="U204" s="29">
        <v>43619</v>
      </c>
      <c r="V204" s="29">
        <v>47271</v>
      </c>
      <c r="W204" s="10" t="s">
        <v>10</v>
      </c>
      <c r="X204" s="10" t="s">
        <v>17</v>
      </c>
    </row>
    <row r="205" spans="1:24" ht="67.5" customHeight="1" x14ac:dyDescent="0.25">
      <c r="A205" s="10">
        <f t="shared" si="0"/>
        <v>202</v>
      </c>
      <c r="B205" s="11" t="s">
        <v>659</v>
      </c>
      <c r="C205" s="10" t="s">
        <v>598</v>
      </c>
      <c r="D205" s="10" t="s">
        <v>247</v>
      </c>
      <c r="E205" s="10" t="s">
        <v>0</v>
      </c>
      <c r="F205" s="11" t="s">
        <v>660</v>
      </c>
      <c r="G205" s="11"/>
      <c r="H205" s="11"/>
      <c r="I205" s="11">
        <v>1988</v>
      </c>
      <c r="J205" s="11" t="s">
        <v>54</v>
      </c>
      <c r="K205" s="15" t="s">
        <v>55</v>
      </c>
      <c r="L205" s="15" t="s">
        <v>56</v>
      </c>
      <c r="M205" s="11" t="s">
        <v>26</v>
      </c>
      <c r="N205" s="10">
        <v>9423</v>
      </c>
      <c r="O205" s="10">
        <v>24970</v>
      </c>
      <c r="P205" s="10">
        <v>9</v>
      </c>
      <c r="Q205" s="10">
        <v>198</v>
      </c>
      <c r="R205" s="10" t="s">
        <v>57</v>
      </c>
      <c r="S205" s="10">
        <v>279</v>
      </c>
      <c r="T205" s="10">
        <v>77</v>
      </c>
      <c r="U205" s="29">
        <v>43616</v>
      </c>
      <c r="V205" s="29">
        <v>47268</v>
      </c>
      <c r="W205" s="10" t="s">
        <v>10</v>
      </c>
      <c r="X205" s="10" t="s">
        <v>17</v>
      </c>
    </row>
    <row r="206" spans="1:24" ht="67.5" customHeight="1" x14ac:dyDescent="0.25">
      <c r="A206" s="10">
        <f t="shared" si="0"/>
        <v>203</v>
      </c>
      <c r="B206" s="11" t="s">
        <v>652</v>
      </c>
      <c r="C206" s="10" t="s">
        <v>552</v>
      </c>
      <c r="D206" s="10" t="s">
        <v>541</v>
      </c>
      <c r="E206" s="10" t="s">
        <v>5</v>
      </c>
      <c r="F206" s="11" t="s">
        <v>661</v>
      </c>
      <c r="G206" s="11"/>
      <c r="H206" s="11"/>
      <c r="I206" s="11">
        <v>1969</v>
      </c>
      <c r="J206" s="11" t="s">
        <v>209</v>
      </c>
      <c r="K206" s="15" t="s">
        <v>210</v>
      </c>
      <c r="L206" s="15" t="s">
        <v>56</v>
      </c>
      <c r="M206" s="11" t="s">
        <v>24</v>
      </c>
      <c r="N206" s="10">
        <v>5776</v>
      </c>
      <c r="O206" s="10">
        <v>21714</v>
      </c>
      <c r="P206" s="10">
        <v>4</v>
      </c>
      <c r="Q206" s="10">
        <v>89.4</v>
      </c>
      <c r="R206" s="10" t="s">
        <v>66</v>
      </c>
      <c r="S206" s="10">
        <v>667</v>
      </c>
      <c r="T206" s="10">
        <v>129</v>
      </c>
      <c r="U206" s="29">
        <v>43620</v>
      </c>
      <c r="V206" s="29">
        <v>47272</v>
      </c>
      <c r="W206" s="10" t="s">
        <v>10</v>
      </c>
      <c r="X206" s="10" t="s">
        <v>17</v>
      </c>
    </row>
    <row r="207" spans="1:24" ht="67.5" customHeight="1" x14ac:dyDescent="0.25">
      <c r="A207" s="10">
        <f t="shared" si="0"/>
        <v>204</v>
      </c>
      <c r="B207" s="11" t="s">
        <v>652</v>
      </c>
      <c r="C207" s="10" t="s">
        <v>552</v>
      </c>
      <c r="D207" s="10" t="s">
        <v>541</v>
      </c>
      <c r="E207" s="10" t="s">
        <v>5</v>
      </c>
      <c r="F207" s="11" t="s">
        <v>662</v>
      </c>
      <c r="G207" s="11"/>
      <c r="H207" s="11"/>
      <c r="I207" s="11">
        <v>1987</v>
      </c>
      <c r="J207" s="11" t="s">
        <v>209</v>
      </c>
      <c r="K207" s="15" t="s">
        <v>210</v>
      </c>
      <c r="L207" s="15" t="s">
        <v>56</v>
      </c>
      <c r="M207" s="11" t="s">
        <v>24</v>
      </c>
      <c r="N207" s="10">
        <v>3650</v>
      </c>
      <c r="O207" s="10">
        <v>13385</v>
      </c>
      <c r="P207" s="10">
        <v>3</v>
      </c>
      <c r="Q207" s="10">
        <v>95.5</v>
      </c>
      <c r="R207" s="10" t="s">
        <v>66</v>
      </c>
      <c r="S207" s="10">
        <v>675</v>
      </c>
      <c r="T207" s="10">
        <v>130</v>
      </c>
      <c r="U207" s="29">
        <v>43620</v>
      </c>
      <c r="V207" s="29">
        <v>47272</v>
      </c>
      <c r="W207" s="10" t="s">
        <v>10</v>
      </c>
      <c r="X207" s="10" t="s">
        <v>17</v>
      </c>
    </row>
    <row r="208" spans="1:24" ht="67.5" customHeight="1" x14ac:dyDescent="0.25">
      <c r="A208" s="10">
        <f t="shared" si="0"/>
        <v>205</v>
      </c>
      <c r="B208" s="11" t="s">
        <v>663</v>
      </c>
      <c r="C208" s="10" t="s">
        <v>552</v>
      </c>
      <c r="D208" s="10" t="s">
        <v>541</v>
      </c>
      <c r="E208" s="10" t="s">
        <v>5</v>
      </c>
      <c r="F208" s="11" t="s">
        <v>664</v>
      </c>
      <c r="G208" s="11"/>
      <c r="H208" s="11"/>
      <c r="I208" s="11">
        <v>2011</v>
      </c>
      <c r="J208" s="11" t="s">
        <v>209</v>
      </c>
      <c r="K208" s="15" t="s">
        <v>210</v>
      </c>
      <c r="L208" s="15" t="s">
        <v>56</v>
      </c>
      <c r="M208" s="11" t="s">
        <v>22</v>
      </c>
      <c r="N208" s="10">
        <v>4618</v>
      </c>
      <c r="O208" s="10">
        <v>15585</v>
      </c>
      <c r="P208" s="10">
        <v>4</v>
      </c>
      <c r="Q208" s="10">
        <v>76.099999999999994</v>
      </c>
      <c r="R208" s="10" t="s">
        <v>66</v>
      </c>
      <c r="S208" s="10">
        <v>572</v>
      </c>
      <c r="T208" s="10">
        <v>110</v>
      </c>
      <c r="U208" s="29">
        <v>43621</v>
      </c>
      <c r="V208" s="29">
        <v>47273</v>
      </c>
      <c r="W208" s="10" t="s">
        <v>10</v>
      </c>
      <c r="X208" s="10" t="s">
        <v>17</v>
      </c>
    </row>
    <row r="209" spans="1:24" ht="67.5" customHeight="1" x14ac:dyDescent="0.25">
      <c r="A209" s="10">
        <f t="shared" si="0"/>
        <v>206</v>
      </c>
      <c r="B209" s="11" t="s">
        <v>663</v>
      </c>
      <c r="C209" s="10" t="s">
        <v>552</v>
      </c>
      <c r="D209" s="10" t="s">
        <v>541</v>
      </c>
      <c r="E209" s="10" t="s">
        <v>5</v>
      </c>
      <c r="F209" s="11" t="s">
        <v>665</v>
      </c>
      <c r="G209" s="11"/>
      <c r="H209" s="11"/>
      <c r="I209" s="11">
        <v>2017</v>
      </c>
      <c r="J209" s="11" t="s">
        <v>209</v>
      </c>
      <c r="K209" s="15" t="s">
        <v>210</v>
      </c>
      <c r="L209" s="15" t="s">
        <v>56</v>
      </c>
      <c r="M209" s="11" t="s">
        <v>20</v>
      </c>
      <c r="N209" s="10">
        <v>6786</v>
      </c>
      <c r="O209" s="10">
        <v>26466</v>
      </c>
      <c r="P209" s="10">
        <v>5</v>
      </c>
      <c r="Q209" s="10">
        <v>65</v>
      </c>
      <c r="R209" s="10" t="s">
        <v>66</v>
      </c>
      <c r="S209" s="10">
        <v>531</v>
      </c>
      <c r="T209" s="10">
        <v>102</v>
      </c>
      <c r="U209" s="29">
        <v>43621</v>
      </c>
      <c r="V209" s="29">
        <v>47273</v>
      </c>
      <c r="W209" s="10" t="s">
        <v>10</v>
      </c>
      <c r="X209" s="10" t="s">
        <v>17</v>
      </c>
    </row>
    <row r="210" spans="1:24" ht="67.5" customHeight="1" x14ac:dyDescent="0.25">
      <c r="A210" s="10">
        <f t="shared" si="0"/>
        <v>207</v>
      </c>
      <c r="B210" s="11" t="s">
        <v>666</v>
      </c>
      <c r="C210" s="10" t="s">
        <v>359</v>
      </c>
      <c r="D210" s="10" t="s">
        <v>124</v>
      </c>
      <c r="E210" s="10" t="s">
        <v>2</v>
      </c>
      <c r="F210" s="11" t="s">
        <v>667</v>
      </c>
      <c r="G210" s="11"/>
      <c r="H210" s="11"/>
      <c r="I210" s="11">
        <v>1982</v>
      </c>
      <c r="J210" s="10" t="s">
        <v>668</v>
      </c>
      <c r="K210" s="15" t="str">
        <f t="shared" ref="K210:K211" si="1">HYPERLINK("https://drive.google.com/open?id=1NSlpy3KnsggBDFhLrg81QLR2deMl7d6Q","АА000077")</f>
        <v>АА000077</v>
      </c>
      <c r="L210" s="15" t="str">
        <f>HYPERLINK("https://drive.google.com/open?id=1xG00SyUQ7BjhOiz31hw222aBNPkt3nFX","Сертифікат")</f>
        <v>Сертифікат</v>
      </c>
      <c r="M210" s="11" t="s">
        <v>26</v>
      </c>
      <c r="N210" s="10">
        <v>2478.5</v>
      </c>
      <c r="O210" s="10">
        <v>8699.5</v>
      </c>
      <c r="P210" s="10">
        <v>4</v>
      </c>
      <c r="Q210" s="10">
        <v>107</v>
      </c>
      <c r="R210" s="10" t="s">
        <v>66</v>
      </c>
      <c r="S210" s="10">
        <v>539.79999999999995</v>
      </c>
      <c r="T210" s="10">
        <v>151.1</v>
      </c>
      <c r="U210" s="29">
        <v>43626</v>
      </c>
      <c r="V210" s="29">
        <v>47278</v>
      </c>
      <c r="W210" s="10" t="s">
        <v>13</v>
      </c>
      <c r="X210" s="10" t="s">
        <v>17</v>
      </c>
    </row>
    <row r="211" spans="1:24" ht="67.5" customHeight="1" x14ac:dyDescent="0.25">
      <c r="A211" s="10">
        <f t="shared" si="0"/>
        <v>208</v>
      </c>
      <c r="B211" s="11" t="s">
        <v>669</v>
      </c>
      <c r="C211" s="10" t="s">
        <v>123</v>
      </c>
      <c r="D211" s="10" t="s">
        <v>124</v>
      </c>
      <c r="E211" s="10" t="s">
        <v>2</v>
      </c>
      <c r="F211" s="11" t="s">
        <v>670</v>
      </c>
      <c r="G211" s="11"/>
      <c r="H211" s="11"/>
      <c r="I211" s="11">
        <v>1938</v>
      </c>
      <c r="J211" s="10" t="s">
        <v>668</v>
      </c>
      <c r="K211" s="15" t="str">
        <f t="shared" si="1"/>
        <v>АА000077</v>
      </c>
      <c r="L211" s="15" t="str">
        <f>HYPERLINK("https://drive.google.com/open?id=1lBdXGI6Qbr2RcOo0XTXFCfbTBuAaf9HZ","Сертифікат")</f>
        <v>Сертифікат</v>
      </c>
      <c r="M211" s="11" t="s">
        <v>26</v>
      </c>
      <c r="N211" s="10">
        <v>690.2</v>
      </c>
      <c r="O211" s="10">
        <v>2257</v>
      </c>
      <c r="P211" s="10">
        <v>2</v>
      </c>
      <c r="Q211" s="10">
        <v>122</v>
      </c>
      <c r="R211" s="10" t="s">
        <v>66</v>
      </c>
      <c r="S211" s="10">
        <v>600.5</v>
      </c>
      <c r="T211" s="10">
        <v>171.5</v>
      </c>
      <c r="U211" s="29">
        <v>43626</v>
      </c>
      <c r="V211" s="29">
        <v>47278</v>
      </c>
      <c r="W211" s="10" t="s">
        <v>13</v>
      </c>
      <c r="X211" s="10" t="s">
        <v>17</v>
      </c>
    </row>
    <row r="212" spans="1:24" ht="67.5" customHeight="1" x14ac:dyDescent="0.25">
      <c r="A212" s="10">
        <f t="shared" si="0"/>
        <v>209</v>
      </c>
      <c r="B212" s="11" t="s">
        <v>652</v>
      </c>
      <c r="C212" s="10" t="s">
        <v>552</v>
      </c>
      <c r="D212" s="10" t="s">
        <v>541</v>
      </c>
      <c r="E212" s="10" t="s">
        <v>5</v>
      </c>
      <c r="F212" s="11" t="s">
        <v>671</v>
      </c>
      <c r="G212" s="11"/>
      <c r="H212" s="11"/>
      <c r="I212" s="11">
        <v>1871</v>
      </c>
      <c r="J212" s="11" t="s">
        <v>209</v>
      </c>
      <c r="K212" s="15" t="s">
        <v>210</v>
      </c>
      <c r="L212" s="15" t="s">
        <v>56</v>
      </c>
      <c r="M212" s="11" t="s">
        <v>26</v>
      </c>
      <c r="N212" s="10">
        <v>257</v>
      </c>
      <c r="O212" s="10">
        <v>848</v>
      </c>
      <c r="P212" s="10">
        <v>1</v>
      </c>
      <c r="Q212" s="10">
        <v>135.5</v>
      </c>
      <c r="R212" s="10" t="s">
        <v>66</v>
      </c>
      <c r="S212" s="10">
        <v>757</v>
      </c>
      <c r="T212" s="10">
        <v>148</v>
      </c>
      <c r="U212" s="29">
        <v>43622</v>
      </c>
      <c r="V212" s="29">
        <v>47274</v>
      </c>
      <c r="W212" s="10" t="s">
        <v>10</v>
      </c>
      <c r="X212" s="10" t="s">
        <v>17</v>
      </c>
    </row>
    <row r="213" spans="1:24" ht="67.5" customHeight="1" x14ac:dyDescent="0.25">
      <c r="A213" s="10">
        <f t="shared" si="0"/>
        <v>210</v>
      </c>
      <c r="B213" s="11" t="s">
        <v>652</v>
      </c>
      <c r="C213" s="10" t="s">
        <v>552</v>
      </c>
      <c r="D213" s="10" t="s">
        <v>541</v>
      </c>
      <c r="E213" s="10" t="s">
        <v>5</v>
      </c>
      <c r="F213" s="11" t="s">
        <v>672</v>
      </c>
      <c r="G213" s="11"/>
      <c r="H213" s="11"/>
      <c r="I213" s="11">
        <v>1871</v>
      </c>
      <c r="J213" s="11" t="s">
        <v>209</v>
      </c>
      <c r="K213" s="15" t="s">
        <v>210</v>
      </c>
      <c r="L213" s="15" t="s">
        <v>56</v>
      </c>
      <c r="M213" s="11" t="s">
        <v>26</v>
      </c>
      <c r="N213" s="10">
        <v>479</v>
      </c>
      <c r="O213" s="10">
        <v>1677</v>
      </c>
      <c r="P213" s="10">
        <v>1</v>
      </c>
      <c r="Q213" s="10">
        <v>113.8</v>
      </c>
      <c r="R213" s="10" t="s">
        <v>66</v>
      </c>
      <c r="S213" s="10">
        <v>648</v>
      </c>
      <c r="T213" s="10">
        <v>127</v>
      </c>
      <c r="U213" s="29">
        <v>43622</v>
      </c>
      <c r="V213" s="29">
        <v>47274</v>
      </c>
      <c r="W213" s="10" t="s">
        <v>10</v>
      </c>
      <c r="X213" s="10" t="s">
        <v>17</v>
      </c>
    </row>
    <row r="214" spans="1:24" ht="67.5" customHeight="1" x14ac:dyDescent="0.25">
      <c r="A214" s="10">
        <f t="shared" si="0"/>
        <v>211</v>
      </c>
      <c r="B214" s="11" t="s">
        <v>652</v>
      </c>
      <c r="C214" s="10" t="s">
        <v>552</v>
      </c>
      <c r="D214" s="10" t="s">
        <v>541</v>
      </c>
      <c r="E214" s="10" t="s">
        <v>5</v>
      </c>
      <c r="F214" s="11" t="s">
        <v>673</v>
      </c>
      <c r="G214" s="11"/>
      <c r="H214" s="11"/>
      <c r="I214" s="11">
        <v>1871</v>
      </c>
      <c r="J214" s="11" t="s">
        <v>209</v>
      </c>
      <c r="K214" s="15" t="s">
        <v>210</v>
      </c>
      <c r="L214" s="15" t="s">
        <v>56</v>
      </c>
      <c r="M214" s="11" t="s">
        <v>26</v>
      </c>
      <c r="N214" s="10">
        <v>225</v>
      </c>
      <c r="O214" s="10">
        <v>675</v>
      </c>
      <c r="P214" s="10">
        <v>1</v>
      </c>
      <c r="Q214" s="10">
        <v>117.4</v>
      </c>
      <c r="R214" s="10" t="s">
        <v>66</v>
      </c>
      <c r="S214" s="10">
        <v>625</v>
      </c>
      <c r="T214" s="10">
        <v>121</v>
      </c>
      <c r="U214" s="29">
        <v>43623</v>
      </c>
      <c r="V214" s="29">
        <v>47275</v>
      </c>
      <c r="W214" s="10" t="s">
        <v>10</v>
      </c>
      <c r="X214" s="10" t="s">
        <v>17</v>
      </c>
    </row>
    <row r="215" spans="1:24" ht="67.5" customHeight="1" x14ac:dyDescent="0.25">
      <c r="A215" s="10">
        <f t="shared" si="0"/>
        <v>212</v>
      </c>
      <c r="B215" s="11" t="s">
        <v>652</v>
      </c>
      <c r="C215" s="10" t="s">
        <v>552</v>
      </c>
      <c r="D215" s="10" t="s">
        <v>541</v>
      </c>
      <c r="E215" s="10" t="s">
        <v>5</v>
      </c>
      <c r="F215" s="11" t="s">
        <v>674</v>
      </c>
      <c r="G215" s="11"/>
      <c r="H215" s="11"/>
      <c r="I215" s="11">
        <v>1871</v>
      </c>
      <c r="J215" s="11" t="s">
        <v>209</v>
      </c>
      <c r="K215" s="15" t="s">
        <v>210</v>
      </c>
      <c r="L215" s="15" t="s">
        <v>56</v>
      </c>
      <c r="M215" s="11" t="s">
        <v>26</v>
      </c>
      <c r="N215" s="10">
        <v>425</v>
      </c>
      <c r="O215" s="10">
        <v>1360</v>
      </c>
      <c r="P215" s="10">
        <v>1</v>
      </c>
      <c r="Q215" s="10">
        <v>122.5</v>
      </c>
      <c r="R215" s="10" t="s">
        <v>66</v>
      </c>
      <c r="S215" s="10">
        <v>848</v>
      </c>
      <c r="T215" s="10">
        <v>162</v>
      </c>
      <c r="U215" s="29">
        <v>43623</v>
      </c>
      <c r="V215" s="29">
        <v>47275</v>
      </c>
      <c r="W215" s="10" t="s">
        <v>10</v>
      </c>
      <c r="X215" s="10" t="s">
        <v>17</v>
      </c>
    </row>
    <row r="216" spans="1:24" ht="67.5" customHeight="1" x14ac:dyDescent="0.25">
      <c r="A216" s="10">
        <f t="shared" si="0"/>
        <v>213</v>
      </c>
      <c r="B216" s="11" t="s">
        <v>675</v>
      </c>
      <c r="C216" s="24" t="s">
        <v>246</v>
      </c>
      <c r="D216" s="10" t="s">
        <v>247</v>
      </c>
      <c r="E216" s="10" t="s">
        <v>2</v>
      </c>
      <c r="F216" s="11" t="s">
        <v>676</v>
      </c>
      <c r="G216" s="11"/>
      <c r="H216" s="11"/>
      <c r="I216" s="11">
        <v>1983</v>
      </c>
      <c r="J216" s="11" t="s">
        <v>209</v>
      </c>
      <c r="K216" s="15" t="s">
        <v>210</v>
      </c>
      <c r="L216" s="15" t="s">
        <v>56</v>
      </c>
      <c r="M216" s="11" t="s">
        <v>20</v>
      </c>
      <c r="N216" s="10">
        <v>6081</v>
      </c>
      <c r="O216" s="10">
        <v>18244</v>
      </c>
      <c r="P216" s="10">
        <v>3</v>
      </c>
      <c r="Q216" s="10">
        <v>66.3</v>
      </c>
      <c r="R216" s="10" t="s">
        <v>66</v>
      </c>
      <c r="S216" s="10">
        <v>363</v>
      </c>
      <c r="T216" s="10">
        <v>70</v>
      </c>
      <c r="U216" s="29">
        <v>43626</v>
      </c>
      <c r="V216" s="29">
        <v>47278</v>
      </c>
      <c r="W216" s="10" t="s">
        <v>10</v>
      </c>
      <c r="X216" s="10" t="s">
        <v>17</v>
      </c>
    </row>
    <row r="217" spans="1:24" ht="67.5" customHeight="1" x14ac:dyDescent="0.25">
      <c r="A217" s="10">
        <f t="shared" si="0"/>
        <v>214</v>
      </c>
      <c r="B217" s="11" t="s">
        <v>677</v>
      </c>
      <c r="C217" s="10" t="s">
        <v>441</v>
      </c>
      <c r="D217" s="10" t="s">
        <v>442</v>
      </c>
      <c r="E217" s="10" t="s">
        <v>0</v>
      </c>
      <c r="F217" s="11" t="s">
        <v>678</v>
      </c>
      <c r="G217" s="11"/>
      <c r="H217" s="11"/>
      <c r="I217" s="11">
        <v>2003</v>
      </c>
      <c r="J217" s="11" t="s">
        <v>287</v>
      </c>
      <c r="K217" s="15" t="s">
        <v>625</v>
      </c>
      <c r="L217" s="15" t="s">
        <v>56</v>
      </c>
      <c r="M217" s="11" t="s">
        <v>26</v>
      </c>
      <c r="N217" s="10">
        <v>12497.4</v>
      </c>
      <c r="O217" s="10">
        <v>375526.3</v>
      </c>
      <c r="P217" s="10">
        <v>10</v>
      </c>
      <c r="Q217" s="10">
        <v>223.9</v>
      </c>
      <c r="R217" s="10" t="s">
        <v>57</v>
      </c>
      <c r="S217" s="10">
        <v>274.10000000000002</v>
      </c>
      <c r="T217" s="10">
        <v>54.2</v>
      </c>
      <c r="U217" s="29">
        <v>43635</v>
      </c>
      <c r="V217" s="29">
        <v>47287</v>
      </c>
      <c r="W217" s="10" t="s">
        <v>13</v>
      </c>
      <c r="X217" s="10" t="s">
        <v>17</v>
      </c>
    </row>
    <row r="218" spans="1:24" ht="67.5" customHeight="1" x14ac:dyDescent="0.25">
      <c r="A218" s="10">
        <f t="shared" si="0"/>
        <v>215</v>
      </c>
      <c r="B218" s="11" t="s">
        <v>679</v>
      </c>
      <c r="C218" s="24" t="s">
        <v>680</v>
      </c>
      <c r="D218" s="10" t="s">
        <v>571</v>
      </c>
      <c r="E218" s="10" t="s">
        <v>3</v>
      </c>
      <c r="F218" s="11" t="s">
        <v>681</v>
      </c>
      <c r="G218" s="11"/>
      <c r="H218" s="11"/>
      <c r="I218" s="11" t="s">
        <v>682</v>
      </c>
      <c r="J218" s="11" t="s">
        <v>209</v>
      </c>
      <c r="K218" s="15" t="s">
        <v>210</v>
      </c>
      <c r="L218" s="15" t="s">
        <v>56</v>
      </c>
      <c r="M218" s="11" t="s">
        <v>26</v>
      </c>
      <c r="N218" s="10">
        <v>1988</v>
      </c>
      <c r="O218" s="10">
        <v>7217</v>
      </c>
      <c r="P218" s="31">
        <v>43467</v>
      </c>
      <c r="Q218" s="10">
        <v>64.7</v>
      </c>
      <c r="R218" s="10" t="s">
        <v>66</v>
      </c>
      <c r="S218" s="10">
        <v>304</v>
      </c>
      <c r="T218" s="10">
        <v>84</v>
      </c>
      <c r="U218" s="29">
        <v>43634</v>
      </c>
      <c r="V218" s="29">
        <v>47286</v>
      </c>
      <c r="W218" s="10" t="s">
        <v>10</v>
      </c>
      <c r="X218" s="10" t="s">
        <v>17</v>
      </c>
    </row>
    <row r="219" spans="1:24" ht="67.5" customHeight="1" x14ac:dyDescent="0.25">
      <c r="A219" s="10">
        <f t="shared" si="0"/>
        <v>216</v>
      </c>
      <c r="B219" s="11" t="s">
        <v>683</v>
      </c>
      <c r="C219" s="10" t="s">
        <v>243</v>
      </c>
      <c r="D219" s="10" t="s">
        <v>238</v>
      </c>
      <c r="E219" s="10" t="s">
        <v>5</v>
      </c>
      <c r="F219" s="11" t="s">
        <v>684</v>
      </c>
      <c r="G219" s="11"/>
      <c r="H219" s="11"/>
      <c r="I219" s="11" t="s">
        <v>685</v>
      </c>
      <c r="J219" s="11" t="s">
        <v>432</v>
      </c>
      <c r="K219" s="15" t="s">
        <v>433</v>
      </c>
      <c r="L219" s="15" t="s">
        <v>56</v>
      </c>
      <c r="M219" s="11" t="s">
        <v>26</v>
      </c>
      <c r="N219" s="10">
        <v>1820.07</v>
      </c>
      <c r="O219" s="10">
        <v>6650.4</v>
      </c>
      <c r="P219" s="10">
        <v>2</v>
      </c>
      <c r="Q219" s="10">
        <v>109.7</v>
      </c>
      <c r="R219" s="10" t="s">
        <v>66</v>
      </c>
      <c r="S219" s="10">
        <v>526.79999999999995</v>
      </c>
      <c r="T219" s="10">
        <v>105.13</v>
      </c>
      <c r="U219" s="29">
        <v>43634</v>
      </c>
      <c r="V219" s="29">
        <v>47286</v>
      </c>
      <c r="W219" s="10" t="s">
        <v>10</v>
      </c>
      <c r="X219" s="10" t="s">
        <v>17</v>
      </c>
    </row>
    <row r="220" spans="1:24" ht="67.5" customHeight="1" x14ac:dyDescent="0.25">
      <c r="A220" s="10">
        <f t="shared" si="0"/>
        <v>217</v>
      </c>
      <c r="B220" s="11" t="s">
        <v>686</v>
      </c>
      <c r="C220" s="24" t="s">
        <v>687</v>
      </c>
      <c r="D220" s="10" t="s">
        <v>142</v>
      </c>
      <c r="E220" s="10" t="s">
        <v>2</v>
      </c>
      <c r="F220" s="11" t="s">
        <v>688</v>
      </c>
      <c r="G220" s="11"/>
      <c r="H220" s="11"/>
      <c r="I220" s="11" t="s">
        <v>689</v>
      </c>
      <c r="J220" s="11" t="s">
        <v>93</v>
      </c>
      <c r="K220" s="15" t="s">
        <v>94</v>
      </c>
      <c r="L220" s="15" t="s">
        <v>56</v>
      </c>
      <c r="M220" s="11" t="s">
        <v>18</v>
      </c>
      <c r="N220" s="10">
        <v>1086</v>
      </c>
      <c r="O220" s="10">
        <v>3901</v>
      </c>
      <c r="P220" s="10">
        <v>2</v>
      </c>
      <c r="Q220" s="10">
        <v>56.2</v>
      </c>
      <c r="R220" s="10" t="s">
        <v>66</v>
      </c>
      <c r="S220" s="10">
        <v>614</v>
      </c>
      <c r="T220" s="10">
        <v>112</v>
      </c>
      <c r="U220" s="29">
        <v>43628</v>
      </c>
      <c r="V220" s="29">
        <v>47280</v>
      </c>
      <c r="W220" s="10" t="s">
        <v>10</v>
      </c>
      <c r="X220" s="10" t="s">
        <v>17</v>
      </c>
    </row>
    <row r="221" spans="1:24" ht="67.5" customHeight="1" x14ac:dyDescent="0.25">
      <c r="A221" s="10">
        <f t="shared" si="0"/>
        <v>218</v>
      </c>
      <c r="B221" s="11" t="s">
        <v>690</v>
      </c>
      <c r="C221" s="10" t="s">
        <v>182</v>
      </c>
      <c r="D221" s="10" t="s">
        <v>174</v>
      </c>
      <c r="E221" s="10" t="s">
        <v>0</v>
      </c>
      <c r="F221" s="11" t="s">
        <v>691</v>
      </c>
      <c r="G221" s="11"/>
      <c r="H221" s="11"/>
      <c r="I221" s="11">
        <v>1977</v>
      </c>
      <c r="J221" s="20" t="s">
        <v>196</v>
      </c>
      <c r="K221" s="15" t="s">
        <v>197</v>
      </c>
      <c r="L221" s="15" t="s">
        <v>56</v>
      </c>
      <c r="M221" s="11" t="s">
        <v>26</v>
      </c>
      <c r="N221" s="10">
        <v>5993</v>
      </c>
      <c r="O221" s="10">
        <v>19159</v>
      </c>
      <c r="P221" s="10">
        <v>4</v>
      </c>
      <c r="Q221" s="10">
        <v>198.7</v>
      </c>
      <c r="R221" s="10" t="s">
        <v>57</v>
      </c>
      <c r="S221" s="10">
        <v>286.7</v>
      </c>
      <c r="T221" s="10">
        <v>79.099999999999994</v>
      </c>
      <c r="U221" s="29">
        <v>43637</v>
      </c>
      <c r="V221" s="29">
        <v>47289</v>
      </c>
      <c r="W221" s="10" t="s">
        <v>10</v>
      </c>
      <c r="X221" s="10" t="s">
        <v>17</v>
      </c>
    </row>
    <row r="222" spans="1:24" ht="67.5" customHeight="1" x14ac:dyDescent="0.25">
      <c r="A222" s="10">
        <f t="shared" si="0"/>
        <v>219</v>
      </c>
      <c r="B222" s="11" t="s">
        <v>693</v>
      </c>
      <c r="C222" s="24" t="s">
        <v>102</v>
      </c>
      <c r="D222" s="10" t="s">
        <v>174</v>
      </c>
      <c r="E222" s="10" t="s">
        <v>3</v>
      </c>
      <c r="F222" s="11" t="s">
        <v>694</v>
      </c>
      <c r="G222" s="11"/>
      <c r="H222" s="11"/>
      <c r="I222" s="11" t="s">
        <v>695</v>
      </c>
      <c r="J222" s="44" t="s">
        <v>696</v>
      </c>
      <c r="K222" s="15" t="s">
        <v>697</v>
      </c>
      <c r="L222" s="15" t="s">
        <v>56</v>
      </c>
      <c r="M222" s="11" t="s">
        <v>24</v>
      </c>
      <c r="N222" s="10">
        <v>3187</v>
      </c>
      <c r="O222" s="10">
        <v>11029</v>
      </c>
      <c r="P222" s="10" t="s">
        <v>698</v>
      </c>
      <c r="Q222" s="10">
        <v>56.59</v>
      </c>
      <c r="R222" s="10" t="s">
        <v>57</v>
      </c>
      <c r="S222" s="10">
        <v>300.58</v>
      </c>
      <c r="T222" s="10">
        <v>85.5</v>
      </c>
      <c r="U222" s="29">
        <v>43637</v>
      </c>
      <c r="V222" s="29">
        <v>47289</v>
      </c>
      <c r="W222" s="10" t="s">
        <v>10</v>
      </c>
      <c r="X222" s="10" t="s">
        <v>17</v>
      </c>
    </row>
    <row r="223" spans="1:24" ht="67.5" customHeight="1" x14ac:dyDescent="0.25">
      <c r="A223" s="10">
        <f t="shared" si="0"/>
        <v>220</v>
      </c>
      <c r="B223" s="11" t="s">
        <v>692</v>
      </c>
      <c r="C223" s="10" t="s">
        <v>182</v>
      </c>
      <c r="D223" s="10" t="s">
        <v>174</v>
      </c>
      <c r="E223" s="10" t="s">
        <v>3</v>
      </c>
      <c r="F223" s="11" t="s">
        <v>699</v>
      </c>
      <c r="G223" s="11"/>
      <c r="H223" s="11"/>
      <c r="I223" s="11">
        <v>1982</v>
      </c>
      <c r="J223" s="10" t="s">
        <v>696</v>
      </c>
      <c r="K223" s="15" t="s">
        <v>697</v>
      </c>
      <c r="L223" s="15" t="s">
        <v>56</v>
      </c>
      <c r="M223" s="11" t="s">
        <v>26</v>
      </c>
      <c r="N223" s="10">
        <v>5449</v>
      </c>
      <c r="O223" s="10">
        <v>19947</v>
      </c>
      <c r="P223" s="10">
        <v>3.4</v>
      </c>
      <c r="Q223" s="10">
        <v>76.819999999999993</v>
      </c>
      <c r="R223" s="10" t="s">
        <v>66</v>
      </c>
      <c r="S223" s="10">
        <v>392.81</v>
      </c>
      <c r="T223" s="10">
        <v>106.49</v>
      </c>
      <c r="U223" s="29">
        <v>43637</v>
      </c>
      <c r="V223" s="29">
        <v>47289</v>
      </c>
      <c r="W223" s="10" t="s">
        <v>10</v>
      </c>
      <c r="X223" s="10" t="s">
        <v>17</v>
      </c>
    </row>
    <row r="224" spans="1:24" ht="67.5" customHeight="1" x14ac:dyDescent="0.25">
      <c r="A224" s="10">
        <f t="shared" si="0"/>
        <v>221</v>
      </c>
      <c r="B224" s="11" t="s">
        <v>700</v>
      </c>
      <c r="C224" s="10" t="s">
        <v>182</v>
      </c>
      <c r="D224" s="10" t="s">
        <v>174</v>
      </c>
      <c r="E224" s="10" t="s">
        <v>3</v>
      </c>
      <c r="F224" s="11" t="s">
        <v>701</v>
      </c>
      <c r="G224" s="11"/>
      <c r="H224" s="11"/>
      <c r="I224" s="11">
        <v>1979</v>
      </c>
      <c r="J224" s="11" t="s">
        <v>702</v>
      </c>
      <c r="K224" s="15" t="s">
        <v>703</v>
      </c>
      <c r="L224" s="15" t="s">
        <v>56</v>
      </c>
      <c r="M224" s="11" t="s">
        <v>24</v>
      </c>
      <c r="N224" s="10">
        <v>19503</v>
      </c>
      <c r="O224" s="10">
        <v>67275</v>
      </c>
      <c r="P224" s="10">
        <v>6</v>
      </c>
      <c r="Q224" s="10">
        <v>52.33</v>
      </c>
      <c r="R224" s="10" t="s">
        <v>66</v>
      </c>
      <c r="S224" s="10">
        <v>286.05</v>
      </c>
      <c r="T224" s="10">
        <v>82.59</v>
      </c>
      <c r="U224" s="29">
        <v>43637</v>
      </c>
      <c r="V224" s="29">
        <v>47289</v>
      </c>
      <c r="W224" s="10" t="s">
        <v>10</v>
      </c>
      <c r="X224" s="10" t="s">
        <v>17</v>
      </c>
    </row>
    <row r="225" spans="1:24" ht="67.5" customHeight="1" x14ac:dyDescent="0.25">
      <c r="A225" s="10">
        <f t="shared" si="0"/>
        <v>222</v>
      </c>
      <c r="B225" s="11" t="s">
        <v>704</v>
      </c>
      <c r="C225" s="10" t="s">
        <v>182</v>
      </c>
      <c r="D225" s="10" t="s">
        <v>174</v>
      </c>
      <c r="E225" s="10" t="s">
        <v>2</v>
      </c>
      <c r="F225" s="11" t="s">
        <v>705</v>
      </c>
      <c r="G225" s="11"/>
      <c r="H225" s="11"/>
      <c r="I225" s="11">
        <v>1970</v>
      </c>
      <c r="J225" s="11" t="s">
        <v>702</v>
      </c>
      <c r="K225" s="15" t="s">
        <v>703</v>
      </c>
      <c r="L225" s="15" t="s">
        <v>56</v>
      </c>
      <c r="M225" s="11" t="s">
        <v>20</v>
      </c>
      <c r="N225" s="10">
        <v>1490</v>
      </c>
      <c r="O225" s="10">
        <v>6093</v>
      </c>
      <c r="P225" s="10">
        <v>2</v>
      </c>
      <c r="Q225" s="10">
        <v>63.81</v>
      </c>
      <c r="R225" s="10" t="s">
        <v>66</v>
      </c>
      <c r="S225" s="10">
        <v>364.64</v>
      </c>
      <c r="T225" s="10">
        <v>98.86</v>
      </c>
      <c r="U225" s="29">
        <v>43637</v>
      </c>
      <c r="V225" s="29">
        <v>47289</v>
      </c>
      <c r="W225" s="10" t="s">
        <v>13</v>
      </c>
      <c r="X225" s="10" t="s">
        <v>14</v>
      </c>
    </row>
    <row r="226" spans="1:24" ht="63" customHeight="1" x14ac:dyDescent="0.25">
      <c r="A226" s="10">
        <f t="shared" si="0"/>
        <v>223</v>
      </c>
      <c r="B226" s="11" t="s">
        <v>706</v>
      </c>
      <c r="C226" s="10" t="s">
        <v>68</v>
      </c>
      <c r="D226" s="10" t="s">
        <v>69</v>
      </c>
      <c r="E226" s="10" t="s">
        <v>2</v>
      </c>
      <c r="F226" s="11" t="s">
        <v>707</v>
      </c>
      <c r="G226" s="11"/>
      <c r="H226" s="11"/>
      <c r="I226" s="11">
        <v>2001</v>
      </c>
      <c r="J226" s="11" t="s">
        <v>438</v>
      </c>
      <c r="K226" s="15" t="s">
        <v>708</v>
      </c>
      <c r="L226" s="15" t="s">
        <v>56</v>
      </c>
      <c r="M226" s="11" t="s">
        <v>24</v>
      </c>
      <c r="N226" s="10">
        <v>9375.4</v>
      </c>
      <c r="O226" s="10">
        <v>26211</v>
      </c>
      <c r="P226" s="10">
        <v>5</v>
      </c>
      <c r="Q226" s="10">
        <v>65.7</v>
      </c>
      <c r="R226" s="10" t="s">
        <v>66</v>
      </c>
      <c r="S226" s="10">
        <v>255.5</v>
      </c>
      <c r="T226" s="10">
        <v>50.5</v>
      </c>
      <c r="U226" s="29">
        <v>43630</v>
      </c>
      <c r="V226" s="29">
        <v>47282</v>
      </c>
      <c r="W226" s="10" t="s">
        <v>10</v>
      </c>
      <c r="X226" s="10" t="s">
        <v>17</v>
      </c>
    </row>
    <row r="227" spans="1:24" ht="63" customHeight="1" x14ac:dyDescent="0.25">
      <c r="A227" s="10">
        <f t="shared" si="0"/>
        <v>224</v>
      </c>
      <c r="B227" s="11" t="s">
        <v>709</v>
      </c>
      <c r="C227" s="10" t="s">
        <v>710</v>
      </c>
      <c r="D227" s="10" t="s">
        <v>69</v>
      </c>
      <c r="E227" s="10" t="s">
        <v>2</v>
      </c>
      <c r="F227" s="11" t="s">
        <v>711</v>
      </c>
      <c r="G227" s="11"/>
      <c r="H227" s="11"/>
      <c r="I227" s="11">
        <v>1991</v>
      </c>
      <c r="J227" s="11" t="s">
        <v>438</v>
      </c>
      <c r="K227" s="15" t="s">
        <v>708</v>
      </c>
      <c r="L227" s="15" t="s">
        <v>56</v>
      </c>
      <c r="M227" s="11" t="s">
        <v>24</v>
      </c>
      <c r="N227" s="10">
        <v>498.2</v>
      </c>
      <c r="O227" s="10">
        <v>1444.8</v>
      </c>
      <c r="P227" s="10">
        <v>2</v>
      </c>
      <c r="Q227" s="10">
        <v>98.8</v>
      </c>
      <c r="R227" s="10" t="s">
        <v>66</v>
      </c>
      <c r="S227" s="10">
        <v>457.9</v>
      </c>
      <c r="T227" s="10">
        <v>89.9</v>
      </c>
      <c r="U227" s="29">
        <v>43630</v>
      </c>
      <c r="V227" s="29">
        <v>47282</v>
      </c>
      <c r="W227" s="10" t="s">
        <v>10</v>
      </c>
      <c r="X227" s="10" t="s">
        <v>17</v>
      </c>
    </row>
    <row r="228" spans="1:24" ht="63" customHeight="1" x14ac:dyDescent="0.25">
      <c r="A228" s="10">
        <f t="shared" si="0"/>
        <v>225</v>
      </c>
      <c r="B228" s="11" t="s">
        <v>712</v>
      </c>
      <c r="C228" s="10" t="s">
        <v>713</v>
      </c>
      <c r="D228" s="10" t="s">
        <v>69</v>
      </c>
      <c r="E228" s="10" t="s">
        <v>2</v>
      </c>
      <c r="F228" s="11" t="s">
        <v>714</v>
      </c>
      <c r="G228" s="11"/>
      <c r="H228" s="11"/>
      <c r="I228" s="11">
        <v>1991</v>
      </c>
      <c r="J228" s="11" t="s">
        <v>438</v>
      </c>
      <c r="K228" s="15" t="s">
        <v>708</v>
      </c>
      <c r="L228" s="15" t="s">
        <v>56</v>
      </c>
      <c r="M228" s="11" t="s">
        <v>26</v>
      </c>
      <c r="N228" s="10">
        <v>285.60000000000002</v>
      </c>
      <c r="O228" s="10">
        <v>799.7</v>
      </c>
      <c r="P228" s="10">
        <v>2</v>
      </c>
      <c r="Q228" s="10">
        <v>142.5</v>
      </c>
      <c r="R228" s="10" t="s">
        <v>66</v>
      </c>
      <c r="S228" s="10">
        <v>593.70000000000005</v>
      </c>
      <c r="T228" s="10">
        <v>117.1</v>
      </c>
      <c r="U228" s="29">
        <v>43630</v>
      </c>
      <c r="V228" s="29">
        <v>47282</v>
      </c>
      <c r="W228" s="10" t="s">
        <v>10</v>
      </c>
      <c r="X228" s="10" t="s">
        <v>17</v>
      </c>
    </row>
    <row r="229" spans="1:24" ht="63" customHeight="1" x14ac:dyDescent="0.25">
      <c r="A229" s="10">
        <f t="shared" si="0"/>
        <v>226</v>
      </c>
      <c r="B229" s="11" t="s">
        <v>715</v>
      </c>
      <c r="C229" s="10" t="s">
        <v>716</v>
      </c>
      <c r="D229" s="10" t="s">
        <v>69</v>
      </c>
      <c r="E229" s="10" t="s">
        <v>2</v>
      </c>
      <c r="F229" s="11" t="s">
        <v>717</v>
      </c>
      <c r="G229" s="11"/>
      <c r="H229" s="11"/>
      <c r="I229" s="11">
        <v>1996</v>
      </c>
      <c r="J229" s="11" t="s">
        <v>438</v>
      </c>
      <c r="K229" s="15" t="s">
        <v>708</v>
      </c>
      <c r="L229" s="15" t="s">
        <v>56</v>
      </c>
      <c r="M229" s="11" t="s">
        <v>26</v>
      </c>
      <c r="N229" s="10">
        <v>534</v>
      </c>
      <c r="O229" s="10">
        <v>1629</v>
      </c>
      <c r="P229" s="10">
        <v>4</v>
      </c>
      <c r="Q229" s="10">
        <v>111.8</v>
      </c>
      <c r="R229" s="10" t="s">
        <v>66</v>
      </c>
      <c r="S229" s="10">
        <v>482.8</v>
      </c>
      <c r="T229" s="10">
        <v>95</v>
      </c>
      <c r="U229" s="29">
        <v>43630</v>
      </c>
      <c r="V229" s="29">
        <v>47282</v>
      </c>
      <c r="W229" s="10" t="s">
        <v>10</v>
      </c>
      <c r="X229" s="10" t="s">
        <v>17</v>
      </c>
    </row>
    <row r="230" spans="1:24" ht="63" customHeight="1" x14ac:dyDescent="0.25">
      <c r="A230" s="10">
        <f t="shared" si="0"/>
        <v>227</v>
      </c>
      <c r="B230" s="11" t="s">
        <v>718</v>
      </c>
      <c r="C230" s="10" t="s">
        <v>719</v>
      </c>
      <c r="D230" s="10" t="s">
        <v>69</v>
      </c>
      <c r="E230" s="10" t="s">
        <v>2</v>
      </c>
      <c r="F230" s="11" t="s">
        <v>720</v>
      </c>
      <c r="G230" s="11"/>
      <c r="H230" s="11"/>
      <c r="I230" s="11">
        <v>1953</v>
      </c>
      <c r="J230" s="11" t="s">
        <v>438</v>
      </c>
      <c r="K230" s="15" t="s">
        <v>708</v>
      </c>
      <c r="L230" s="15" t="s">
        <v>56</v>
      </c>
      <c r="M230" s="11" t="s">
        <v>22</v>
      </c>
      <c r="N230" s="10">
        <v>790.2</v>
      </c>
      <c r="O230" s="10">
        <v>2687</v>
      </c>
      <c r="P230" s="10">
        <v>2</v>
      </c>
      <c r="Q230" s="10">
        <v>86.8</v>
      </c>
      <c r="R230" s="10" t="s">
        <v>66</v>
      </c>
      <c r="S230" s="10">
        <v>396.2</v>
      </c>
      <c r="T230" s="10">
        <v>78.8</v>
      </c>
      <c r="U230" s="29">
        <v>43630</v>
      </c>
      <c r="V230" s="29">
        <v>47282</v>
      </c>
      <c r="W230" s="10" t="s">
        <v>10</v>
      </c>
      <c r="X230" s="10" t="s">
        <v>17</v>
      </c>
    </row>
    <row r="231" spans="1:24" ht="63" customHeight="1" x14ac:dyDescent="0.25">
      <c r="A231" s="10">
        <f t="shared" si="0"/>
        <v>228</v>
      </c>
      <c r="B231" s="11" t="s">
        <v>721</v>
      </c>
      <c r="C231" s="10" t="s">
        <v>722</v>
      </c>
      <c r="D231" s="10" t="s">
        <v>485</v>
      </c>
      <c r="E231" s="10" t="s">
        <v>2</v>
      </c>
      <c r="F231" s="11" t="s">
        <v>723</v>
      </c>
      <c r="G231" s="11"/>
      <c r="H231" s="11"/>
      <c r="I231" s="11">
        <v>1988</v>
      </c>
      <c r="J231" s="11" t="s">
        <v>724</v>
      </c>
      <c r="K231" s="15" t="s">
        <v>725</v>
      </c>
      <c r="L231" s="15" t="s">
        <v>56</v>
      </c>
      <c r="M231" s="11" t="s">
        <v>20</v>
      </c>
      <c r="N231" s="10">
        <v>1216.8</v>
      </c>
      <c r="O231" s="10">
        <v>3754.8</v>
      </c>
      <c r="P231" s="10">
        <v>3</v>
      </c>
      <c r="Q231" s="10">
        <v>63</v>
      </c>
      <c r="R231" s="10" t="s">
        <v>66</v>
      </c>
      <c r="S231" s="10">
        <v>291.60000000000002</v>
      </c>
      <c r="T231" s="10">
        <v>86.1</v>
      </c>
      <c r="U231" s="29">
        <v>43636</v>
      </c>
      <c r="V231" s="29">
        <v>47288</v>
      </c>
      <c r="W231" s="10" t="s">
        <v>13</v>
      </c>
      <c r="X231" s="10" t="s">
        <v>17</v>
      </c>
    </row>
    <row r="232" spans="1:24" ht="63" customHeight="1" x14ac:dyDescent="0.25">
      <c r="A232" s="10">
        <f t="shared" si="0"/>
        <v>229</v>
      </c>
      <c r="B232" s="11" t="s">
        <v>726</v>
      </c>
      <c r="C232" s="10" t="s">
        <v>727</v>
      </c>
      <c r="D232" s="10" t="s">
        <v>485</v>
      </c>
      <c r="E232" s="10" t="s">
        <v>2</v>
      </c>
      <c r="F232" s="11" t="s">
        <v>728</v>
      </c>
      <c r="G232" s="11"/>
      <c r="H232" s="11"/>
      <c r="I232" s="11">
        <v>1990</v>
      </c>
      <c r="J232" s="11" t="s">
        <v>724</v>
      </c>
      <c r="K232" s="15" t="s">
        <v>725</v>
      </c>
      <c r="L232" s="15" t="s">
        <v>56</v>
      </c>
      <c r="M232" s="11" t="s">
        <v>24</v>
      </c>
      <c r="N232" s="10">
        <v>1248.7</v>
      </c>
      <c r="O232" s="10">
        <v>3740.1</v>
      </c>
      <c r="P232" s="10">
        <v>2</v>
      </c>
      <c r="Q232" s="10">
        <v>92</v>
      </c>
      <c r="R232" s="10" t="s">
        <v>66</v>
      </c>
      <c r="S232" s="10">
        <v>349</v>
      </c>
      <c r="T232" s="10">
        <v>90.5</v>
      </c>
      <c r="U232" s="29">
        <v>43636</v>
      </c>
      <c r="V232" s="29">
        <v>47288</v>
      </c>
      <c r="W232" s="10" t="s">
        <v>13</v>
      </c>
      <c r="X232" s="10" t="s">
        <v>17</v>
      </c>
    </row>
    <row r="233" spans="1:24" ht="63" customHeight="1" x14ac:dyDescent="0.25">
      <c r="A233" s="10">
        <f t="shared" si="0"/>
        <v>230</v>
      </c>
      <c r="B233" s="11" t="s">
        <v>729</v>
      </c>
      <c r="C233" s="10" t="s">
        <v>730</v>
      </c>
      <c r="D233" s="10" t="s">
        <v>285</v>
      </c>
      <c r="E233" s="10" t="s">
        <v>5</v>
      </c>
      <c r="F233" s="11" t="s">
        <v>731</v>
      </c>
      <c r="G233" s="11"/>
      <c r="H233" s="11"/>
      <c r="I233" s="11">
        <v>1964</v>
      </c>
      <c r="J233" s="10" t="s">
        <v>732</v>
      </c>
      <c r="K233" s="15" t="s">
        <v>733</v>
      </c>
      <c r="L233" s="15" t="str">
        <f>HYPERLINK("https://drive.google.com/open?id=1Dq-cj68YE3AYK_tuhK1ru0bvar5EfaKJ","Сертифікат")</f>
        <v>Сертифікат</v>
      </c>
      <c r="M233" s="11" t="s">
        <v>26</v>
      </c>
      <c r="N233" s="10">
        <v>964</v>
      </c>
      <c r="O233" s="10">
        <v>2892</v>
      </c>
      <c r="P233" s="10">
        <v>2</v>
      </c>
      <c r="Q233" s="10">
        <v>182.3</v>
      </c>
      <c r="R233" s="10" t="s">
        <v>57</v>
      </c>
      <c r="S233" s="10">
        <v>760.3</v>
      </c>
      <c r="T233" s="10">
        <v>150</v>
      </c>
      <c r="U233" s="29">
        <v>43642</v>
      </c>
      <c r="V233" s="29">
        <v>47294</v>
      </c>
      <c r="W233" s="10" t="s">
        <v>13</v>
      </c>
      <c r="X233" s="10" t="s">
        <v>17</v>
      </c>
    </row>
    <row r="234" spans="1:24" ht="63" customHeight="1" x14ac:dyDescent="0.25">
      <c r="A234" s="10">
        <f t="shared" si="0"/>
        <v>231</v>
      </c>
      <c r="B234" s="11" t="s">
        <v>734</v>
      </c>
      <c r="C234" s="10" t="s">
        <v>735</v>
      </c>
      <c r="D234" s="10" t="s">
        <v>571</v>
      </c>
      <c r="E234" s="10" t="s">
        <v>3</v>
      </c>
      <c r="F234" s="11" t="s">
        <v>736</v>
      </c>
      <c r="G234" s="11"/>
      <c r="H234" s="11"/>
      <c r="I234" s="11">
        <v>1963</v>
      </c>
      <c r="J234" s="11" t="s">
        <v>528</v>
      </c>
      <c r="K234" s="15" t="s">
        <v>529</v>
      </c>
      <c r="L234" s="15" t="s">
        <v>56</v>
      </c>
      <c r="M234" s="11" t="s">
        <v>26</v>
      </c>
      <c r="N234" s="10">
        <v>4961</v>
      </c>
      <c r="O234" s="10">
        <v>14884</v>
      </c>
      <c r="P234" s="10">
        <v>3</v>
      </c>
      <c r="Q234" s="10">
        <v>64</v>
      </c>
      <c r="R234" s="10" t="s">
        <v>66</v>
      </c>
      <c r="S234" s="10">
        <v>305</v>
      </c>
      <c r="T234" s="10">
        <v>43</v>
      </c>
      <c r="U234" s="29">
        <v>43643</v>
      </c>
      <c r="V234" s="29">
        <v>47295</v>
      </c>
      <c r="W234" s="10" t="s">
        <v>10</v>
      </c>
      <c r="X234" s="10" t="s">
        <v>17</v>
      </c>
    </row>
    <row r="235" spans="1:24" ht="63" customHeight="1" x14ac:dyDescent="0.25">
      <c r="A235" s="10">
        <f t="shared" si="0"/>
        <v>232</v>
      </c>
      <c r="B235" s="11" t="s">
        <v>737</v>
      </c>
      <c r="C235" s="10" t="s">
        <v>52</v>
      </c>
      <c r="D235" s="10" t="s">
        <v>52</v>
      </c>
      <c r="E235" s="10" t="s">
        <v>2</v>
      </c>
      <c r="F235" s="11" t="s">
        <v>738</v>
      </c>
      <c r="G235" s="11"/>
      <c r="H235" s="11"/>
      <c r="I235" s="11">
        <v>1970</v>
      </c>
      <c r="J235" s="10" t="s">
        <v>739</v>
      </c>
      <c r="K235" s="15" t="s">
        <v>740</v>
      </c>
      <c r="L235" s="15" t="s">
        <v>56</v>
      </c>
      <c r="M235" s="11" t="s">
        <v>22</v>
      </c>
      <c r="N235" s="10">
        <v>4933.7</v>
      </c>
      <c r="O235" s="10">
        <v>12087.6</v>
      </c>
      <c r="P235" s="10">
        <v>9</v>
      </c>
      <c r="Q235" s="10">
        <v>61.75</v>
      </c>
      <c r="R235" s="10" t="s">
        <v>66</v>
      </c>
      <c r="S235" s="10">
        <v>127.63</v>
      </c>
      <c r="T235" s="10">
        <v>24.29</v>
      </c>
      <c r="U235" s="29">
        <v>43640</v>
      </c>
      <c r="V235" s="29">
        <v>47292</v>
      </c>
      <c r="W235" s="10" t="s">
        <v>13</v>
      </c>
      <c r="X235" s="10" t="s">
        <v>17</v>
      </c>
    </row>
    <row r="236" spans="1:24" ht="63" customHeight="1" x14ac:dyDescent="0.25">
      <c r="A236" s="10">
        <f t="shared" si="0"/>
        <v>233</v>
      </c>
      <c r="B236" s="11" t="s">
        <v>741</v>
      </c>
      <c r="C236" s="24" t="s">
        <v>647</v>
      </c>
      <c r="D236" s="10" t="s">
        <v>648</v>
      </c>
      <c r="E236" s="10" t="s">
        <v>3</v>
      </c>
      <c r="F236" s="11" t="s">
        <v>742</v>
      </c>
      <c r="G236" s="11"/>
      <c r="H236" s="11"/>
      <c r="I236" s="11">
        <v>1979</v>
      </c>
      <c r="J236" s="11" t="s">
        <v>528</v>
      </c>
      <c r="K236" s="15" t="s">
        <v>529</v>
      </c>
      <c r="L236" s="15" t="s">
        <v>56</v>
      </c>
      <c r="M236" s="11" t="s">
        <v>26</v>
      </c>
      <c r="N236" s="10">
        <v>9690</v>
      </c>
      <c r="O236" s="10">
        <v>31008</v>
      </c>
      <c r="P236" s="10">
        <v>3</v>
      </c>
      <c r="Q236" s="10">
        <v>68</v>
      </c>
      <c r="R236" s="10" t="s">
        <v>66</v>
      </c>
      <c r="S236" s="10">
        <v>350</v>
      </c>
      <c r="T236" s="10">
        <v>50</v>
      </c>
      <c r="U236" s="29">
        <v>43646</v>
      </c>
      <c r="V236" s="29">
        <v>47298</v>
      </c>
      <c r="W236" s="10" t="s">
        <v>10</v>
      </c>
      <c r="X236" s="10" t="s">
        <v>17</v>
      </c>
    </row>
    <row r="237" spans="1:24" ht="63" customHeight="1" x14ac:dyDescent="0.25">
      <c r="A237" s="10">
        <f t="shared" si="0"/>
        <v>234</v>
      </c>
      <c r="B237" s="11" t="s">
        <v>744</v>
      </c>
      <c r="C237" s="10" t="s">
        <v>745</v>
      </c>
      <c r="D237" s="10" t="s">
        <v>298</v>
      </c>
      <c r="E237" s="10" t="s">
        <v>3</v>
      </c>
      <c r="F237" s="11" t="s">
        <v>746</v>
      </c>
      <c r="G237" s="11"/>
      <c r="H237" s="11"/>
      <c r="I237" s="11">
        <v>1973</v>
      </c>
      <c r="J237" s="11" t="s">
        <v>604</v>
      </c>
      <c r="K237" s="15" t="s">
        <v>605</v>
      </c>
      <c r="L237" s="15" t="s">
        <v>56</v>
      </c>
      <c r="M237" s="11" t="s">
        <v>26</v>
      </c>
      <c r="N237" s="10">
        <v>2068</v>
      </c>
      <c r="O237" s="10">
        <v>6409</v>
      </c>
      <c r="P237" s="10">
        <v>2</v>
      </c>
      <c r="Q237" s="10">
        <v>63</v>
      </c>
      <c r="R237" s="10" t="s">
        <v>66</v>
      </c>
      <c r="S237" s="10">
        <v>223</v>
      </c>
      <c r="T237" s="10">
        <v>69</v>
      </c>
      <c r="U237" s="29">
        <v>43644</v>
      </c>
      <c r="V237" s="29">
        <v>47296</v>
      </c>
      <c r="W237" s="10" t="s">
        <v>13</v>
      </c>
      <c r="X237" s="10" t="s">
        <v>17</v>
      </c>
    </row>
    <row r="238" spans="1:24" ht="63" customHeight="1" x14ac:dyDescent="0.25">
      <c r="A238" s="10">
        <f t="shared" si="0"/>
        <v>235</v>
      </c>
      <c r="B238" s="11" t="s">
        <v>747</v>
      </c>
      <c r="C238" s="10" t="s">
        <v>748</v>
      </c>
      <c r="D238" s="10" t="s">
        <v>571</v>
      </c>
      <c r="E238" s="10" t="s">
        <v>2</v>
      </c>
      <c r="F238" s="11" t="s">
        <v>749</v>
      </c>
      <c r="G238" s="11"/>
      <c r="H238" s="11"/>
      <c r="I238" s="11">
        <v>1968</v>
      </c>
      <c r="J238" s="11" t="s">
        <v>573</v>
      </c>
      <c r="K238" s="15" t="s">
        <v>574</v>
      </c>
      <c r="L238" s="15" t="s">
        <v>56</v>
      </c>
      <c r="M238" s="11" t="s">
        <v>20</v>
      </c>
      <c r="N238" s="10">
        <v>1763</v>
      </c>
      <c r="O238" s="10">
        <v>5938</v>
      </c>
      <c r="P238" s="10">
        <v>4</v>
      </c>
      <c r="Q238" s="10">
        <v>150.97999999999999</v>
      </c>
      <c r="R238" s="10" t="s">
        <v>66</v>
      </c>
      <c r="S238" s="10">
        <v>226.73</v>
      </c>
      <c r="T238" s="10">
        <v>62.65</v>
      </c>
      <c r="U238" s="29">
        <v>43647</v>
      </c>
      <c r="V238" s="29">
        <v>47299</v>
      </c>
      <c r="W238" s="10" t="s">
        <v>13</v>
      </c>
      <c r="X238" s="10" t="s">
        <v>17</v>
      </c>
    </row>
    <row r="239" spans="1:24" ht="63" customHeight="1" x14ac:dyDescent="0.25">
      <c r="A239" s="10">
        <f t="shared" si="0"/>
        <v>236</v>
      </c>
      <c r="B239" s="11" t="s">
        <v>750</v>
      </c>
      <c r="C239" s="10" t="s">
        <v>647</v>
      </c>
      <c r="D239" s="10" t="s">
        <v>648</v>
      </c>
      <c r="E239" s="10" t="s">
        <v>2</v>
      </c>
      <c r="F239" s="11" t="s">
        <v>743</v>
      </c>
      <c r="G239" s="11"/>
      <c r="H239" s="11"/>
      <c r="I239" s="11">
        <v>1956</v>
      </c>
      <c r="J239" s="11" t="s">
        <v>528</v>
      </c>
      <c r="K239" s="15" t="s">
        <v>529</v>
      </c>
      <c r="L239" s="15" t="s">
        <v>56</v>
      </c>
      <c r="M239" s="11" t="s">
        <v>22</v>
      </c>
      <c r="N239" s="10">
        <v>3724</v>
      </c>
      <c r="O239" s="10">
        <v>13035</v>
      </c>
      <c r="P239" s="10">
        <v>3</v>
      </c>
      <c r="Q239" s="10">
        <v>79.599999999999994</v>
      </c>
      <c r="R239" s="10" t="s">
        <v>66</v>
      </c>
      <c r="S239" s="10">
        <v>541</v>
      </c>
      <c r="T239" s="10">
        <v>56</v>
      </c>
      <c r="U239" s="29">
        <v>43646</v>
      </c>
      <c r="V239" s="29">
        <v>47298</v>
      </c>
      <c r="W239" s="10" t="s">
        <v>10</v>
      </c>
      <c r="X239" s="10" t="s">
        <v>17</v>
      </c>
    </row>
    <row r="240" spans="1:24" ht="63" customHeight="1" x14ac:dyDescent="0.25">
      <c r="A240" s="10">
        <f t="shared" si="0"/>
        <v>237</v>
      </c>
      <c r="B240" s="11" t="s">
        <v>751</v>
      </c>
      <c r="C240" s="10" t="s">
        <v>52</v>
      </c>
      <c r="D240" s="10" t="s">
        <v>52</v>
      </c>
      <c r="E240" s="10" t="s">
        <v>2</v>
      </c>
      <c r="F240" s="11" t="s">
        <v>752</v>
      </c>
      <c r="G240" s="11"/>
      <c r="H240" s="11"/>
      <c r="I240" s="11">
        <v>1938</v>
      </c>
      <c r="J240" s="11" t="s">
        <v>753</v>
      </c>
      <c r="K240" s="15" t="s">
        <v>754</v>
      </c>
      <c r="L240" s="15" t="s">
        <v>56</v>
      </c>
      <c r="M240" s="11" t="s">
        <v>24</v>
      </c>
      <c r="N240" s="10">
        <v>6181.9</v>
      </c>
      <c r="O240" s="10">
        <v>19433</v>
      </c>
      <c r="P240" s="10">
        <v>3</v>
      </c>
      <c r="Q240" s="10">
        <v>94.2</v>
      </c>
      <c r="R240" s="10" t="s">
        <v>66</v>
      </c>
      <c r="S240" s="10">
        <v>407.7</v>
      </c>
      <c r="T240" s="10">
        <v>81</v>
      </c>
      <c r="U240" s="29">
        <v>43647</v>
      </c>
      <c r="V240" s="29">
        <v>47299</v>
      </c>
      <c r="W240" s="10" t="s">
        <v>10</v>
      </c>
      <c r="X240" s="10" t="s">
        <v>17</v>
      </c>
    </row>
    <row r="241" spans="1:24" ht="63" customHeight="1" x14ac:dyDescent="0.25">
      <c r="A241" s="10">
        <f t="shared" si="0"/>
        <v>238</v>
      </c>
      <c r="B241" s="11" t="s">
        <v>755</v>
      </c>
      <c r="C241" s="10" t="s">
        <v>74</v>
      </c>
      <c r="D241" s="10" t="s">
        <v>75</v>
      </c>
      <c r="E241" s="10" t="s">
        <v>2</v>
      </c>
      <c r="F241" s="11" t="s">
        <v>756</v>
      </c>
      <c r="G241" s="11"/>
      <c r="H241" s="11"/>
      <c r="I241" s="11">
        <v>1978</v>
      </c>
      <c r="J241" s="11" t="s">
        <v>657</v>
      </c>
      <c r="K241" s="15" t="s">
        <v>658</v>
      </c>
      <c r="L241" s="15" t="s">
        <v>56</v>
      </c>
      <c r="M241" s="11" t="s">
        <v>26</v>
      </c>
      <c r="N241" s="10">
        <v>373.88</v>
      </c>
      <c r="O241" s="10">
        <v>1084.25</v>
      </c>
      <c r="P241" s="10">
        <v>2</v>
      </c>
      <c r="Q241" s="10">
        <v>106.96</v>
      </c>
      <c r="R241" s="10" t="s">
        <v>66</v>
      </c>
      <c r="S241" s="10">
        <v>630.70000000000005</v>
      </c>
      <c r="T241" s="10">
        <v>120.8</v>
      </c>
      <c r="U241" s="29">
        <v>43643</v>
      </c>
      <c r="V241" s="29">
        <v>47295</v>
      </c>
      <c r="W241" s="10" t="s">
        <v>10</v>
      </c>
      <c r="X241" s="10" t="s">
        <v>17</v>
      </c>
    </row>
    <row r="242" spans="1:24" ht="63" customHeight="1" x14ac:dyDescent="0.25">
      <c r="A242" s="10">
        <f t="shared" si="0"/>
        <v>239</v>
      </c>
      <c r="B242" s="11" t="s">
        <v>757</v>
      </c>
      <c r="C242" s="24" t="s">
        <v>758</v>
      </c>
      <c r="D242" s="10" t="s">
        <v>86</v>
      </c>
      <c r="E242" s="10" t="s">
        <v>2</v>
      </c>
      <c r="F242" s="11" t="s">
        <v>759</v>
      </c>
      <c r="G242" s="11"/>
      <c r="H242" s="11"/>
      <c r="I242" s="11">
        <v>1970</v>
      </c>
      <c r="J242" s="11" t="s">
        <v>753</v>
      </c>
      <c r="K242" s="15" t="s">
        <v>754</v>
      </c>
      <c r="L242" s="15" t="s">
        <v>56</v>
      </c>
      <c r="M242" s="11" t="s">
        <v>26</v>
      </c>
      <c r="N242" s="10">
        <v>811.1</v>
      </c>
      <c r="O242" s="10">
        <v>2108.9</v>
      </c>
      <c r="P242" s="10">
        <v>2</v>
      </c>
      <c r="Q242" s="10">
        <v>110.15600000000001</v>
      </c>
      <c r="R242" s="10" t="s">
        <v>66</v>
      </c>
      <c r="S242" s="10">
        <v>326.04000000000002</v>
      </c>
      <c r="T242" s="10">
        <v>101.16</v>
      </c>
      <c r="U242" s="29">
        <v>43648</v>
      </c>
      <c r="V242" s="29">
        <v>47300</v>
      </c>
      <c r="W242" s="10" t="s">
        <v>10</v>
      </c>
      <c r="X242" s="10" t="s">
        <v>17</v>
      </c>
    </row>
    <row r="243" spans="1:24" ht="63" customHeight="1" x14ac:dyDescent="0.25">
      <c r="A243" s="10">
        <f t="shared" si="0"/>
        <v>240</v>
      </c>
      <c r="B243" s="11" t="s">
        <v>760</v>
      </c>
      <c r="C243" s="10" t="s">
        <v>570</v>
      </c>
      <c r="D243" s="10" t="s">
        <v>571</v>
      </c>
      <c r="E243" s="10" t="s">
        <v>5</v>
      </c>
      <c r="F243" s="11" t="s">
        <v>761</v>
      </c>
      <c r="G243" s="11"/>
      <c r="H243" s="11"/>
      <c r="I243" s="11">
        <v>1990</v>
      </c>
      <c r="J243" s="11" t="s">
        <v>573</v>
      </c>
      <c r="K243" s="15" t="s">
        <v>574</v>
      </c>
      <c r="L243" s="15" t="s">
        <v>56</v>
      </c>
      <c r="M243" s="11" t="s">
        <v>26</v>
      </c>
      <c r="N243" s="10">
        <v>1656</v>
      </c>
      <c r="O243" s="10">
        <v>3478</v>
      </c>
      <c r="P243" s="10">
        <v>2</v>
      </c>
      <c r="Q243" s="10">
        <v>99.53</v>
      </c>
      <c r="R243" s="10" t="s">
        <v>66</v>
      </c>
      <c r="S243" s="10">
        <v>297.5</v>
      </c>
      <c r="T243" s="10">
        <v>58.6</v>
      </c>
      <c r="U243" s="29">
        <v>43646</v>
      </c>
      <c r="V243" s="29">
        <v>47298</v>
      </c>
      <c r="W243" s="10" t="s">
        <v>13</v>
      </c>
      <c r="X243" s="10" t="s">
        <v>17</v>
      </c>
    </row>
    <row r="244" spans="1:24" ht="63" customHeight="1" x14ac:dyDescent="0.25">
      <c r="A244" s="10">
        <f t="shared" si="0"/>
        <v>241</v>
      </c>
      <c r="B244" s="11" t="s">
        <v>762</v>
      </c>
      <c r="C244" s="10" t="s">
        <v>258</v>
      </c>
      <c r="D244" s="10" t="s">
        <v>75</v>
      </c>
      <c r="E244" s="10" t="s">
        <v>5</v>
      </c>
      <c r="F244" s="11" t="s">
        <v>763</v>
      </c>
      <c r="G244" s="11"/>
      <c r="H244" s="11"/>
      <c r="I244" s="11">
        <v>1987</v>
      </c>
      <c r="J244" s="10" t="s">
        <v>261</v>
      </c>
      <c r="K244" s="15" t="s">
        <v>764</v>
      </c>
      <c r="L244" s="15" t="str">
        <f>HYPERLINK("https://drive.google.com/open?id=1B1TZdiWzSs4zhLdukmJe-D3ly7cnMer8","Сертифікат")</f>
        <v>Сертифікат</v>
      </c>
      <c r="M244" s="11" t="s">
        <v>26</v>
      </c>
      <c r="N244" s="10">
        <v>97</v>
      </c>
      <c r="O244" s="10">
        <v>214</v>
      </c>
      <c r="P244" s="10">
        <v>1</v>
      </c>
      <c r="Q244" s="10">
        <v>147</v>
      </c>
      <c r="R244" s="10" t="s">
        <v>66</v>
      </c>
      <c r="S244" s="10">
        <v>88</v>
      </c>
      <c r="T244" s="10">
        <v>17</v>
      </c>
      <c r="U244" s="29">
        <v>43637</v>
      </c>
      <c r="V244" s="29">
        <v>47289</v>
      </c>
      <c r="W244" s="10" t="s">
        <v>10</v>
      </c>
      <c r="X244" s="10" t="s">
        <v>17</v>
      </c>
    </row>
    <row r="245" spans="1:24" ht="63" customHeight="1" x14ac:dyDescent="0.25">
      <c r="A245" s="10">
        <f t="shared" si="0"/>
        <v>242</v>
      </c>
      <c r="B245" s="11" t="s">
        <v>762</v>
      </c>
      <c r="C245" s="24" t="s">
        <v>258</v>
      </c>
      <c r="D245" s="10" t="s">
        <v>75</v>
      </c>
      <c r="E245" s="10" t="s">
        <v>2</v>
      </c>
      <c r="F245" s="11" t="s">
        <v>765</v>
      </c>
      <c r="G245" s="11"/>
      <c r="H245" s="11"/>
      <c r="I245" s="11">
        <v>2003</v>
      </c>
      <c r="J245" s="10" t="s">
        <v>261</v>
      </c>
      <c r="K245" s="15" t="s">
        <v>764</v>
      </c>
      <c r="L245" s="15" t="str">
        <f>HYPERLINK("https://drive.google.com/open?id=1BEXkR7Qqc2-dNP05imeGrl9WojPymE7c","Сертифікат")</f>
        <v>Сертифікат</v>
      </c>
      <c r="M245" s="11" t="s">
        <v>22</v>
      </c>
      <c r="N245" s="10">
        <v>365</v>
      </c>
      <c r="O245" s="10">
        <v>912</v>
      </c>
      <c r="P245" s="10">
        <v>2</v>
      </c>
      <c r="Q245" s="10">
        <v>77</v>
      </c>
      <c r="R245" s="10" t="s">
        <v>66</v>
      </c>
      <c r="S245" s="10">
        <v>83</v>
      </c>
      <c r="T245" s="10">
        <v>16</v>
      </c>
      <c r="U245" s="29">
        <v>43637</v>
      </c>
      <c r="V245" s="29">
        <v>47289</v>
      </c>
      <c r="W245" s="10" t="s">
        <v>10</v>
      </c>
      <c r="X245" s="10" t="s">
        <v>17</v>
      </c>
    </row>
    <row r="246" spans="1:24" ht="63" customHeight="1" x14ac:dyDescent="0.25">
      <c r="A246" s="10">
        <f t="shared" si="0"/>
        <v>243</v>
      </c>
      <c r="B246" s="11" t="s">
        <v>762</v>
      </c>
      <c r="C246" s="10" t="s">
        <v>258</v>
      </c>
      <c r="D246" s="10" t="s">
        <v>75</v>
      </c>
      <c r="E246" s="10" t="s">
        <v>5</v>
      </c>
      <c r="F246" s="11" t="s">
        <v>766</v>
      </c>
      <c r="G246" s="11"/>
      <c r="H246" s="11"/>
      <c r="I246" s="11">
        <v>1890</v>
      </c>
      <c r="J246" s="10" t="s">
        <v>261</v>
      </c>
      <c r="K246" s="15" t="s">
        <v>764</v>
      </c>
      <c r="L246" s="15" t="str">
        <f>HYPERLINK("https://drive.google.com/open?id=1_X1Jtp8ZNn32wk5rAxrSNY6I1FFGwAbE","Сертифікат")</f>
        <v>Сертифікат</v>
      </c>
      <c r="M246" s="11" t="s">
        <v>20</v>
      </c>
      <c r="N246" s="10">
        <v>575</v>
      </c>
      <c r="O246" s="10">
        <v>1939</v>
      </c>
      <c r="P246" s="10">
        <v>3</v>
      </c>
      <c r="Q246" s="10">
        <v>68</v>
      </c>
      <c r="R246" s="10" t="s">
        <v>66</v>
      </c>
      <c r="S246" s="10">
        <v>120</v>
      </c>
      <c r="T246" s="10">
        <v>23</v>
      </c>
      <c r="U246" s="29">
        <v>43637</v>
      </c>
      <c r="V246" s="29">
        <v>47289</v>
      </c>
      <c r="W246" s="10" t="s">
        <v>10</v>
      </c>
      <c r="X246" s="10" t="s">
        <v>17</v>
      </c>
    </row>
    <row r="247" spans="1:24" ht="63" customHeight="1" x14ac:dyDescent="0.25">
      <c r="A247" s="10">
        <f t="shared" si="0"/>
        <v>244</v>
      </c>
      <c r="B247" s="11" t="s">
        <v>762</v>
      </c>
      <c r="C247" s="10" t="s">
        <v>258</v>
      </c>
      <c r="D247" s="10" t="s">
        <v>75</v>
      </c>
      <c r="E247" s="10" t="s">
        <v>5</v>
      </c>
      <c r="F247" s="11" t="s">
        <v>767</v>
      </c>
      <c r="G247" s="11"/>
      <c r="H247" s="11"/>
      <c r="I247" s="11">
        <v>1890</v>
      </c>
      <c r="J247" s="10" t="s">
        <v>261</v>
      </c>
      <c r="K247" s="15" t="s">
        <v>764</v>
      </c>
      <c r="L247" s="15" t="str">
        <f>HYPERLINK("https://drive.google.com/open?id=1W6x8ADB2CeH9m1Xj1kVZjABLjynmIr_2","Сертифікат")</f>
        <v>Сертифікат</v>
      </c>
      <c r="M247" s="11" t="s">
        <v>24</v>
      </c>
      <c r="N247" s="10">
        <v>428</v>
      </c>
      <c r="O247" s="10">
        <v>1285</v>
      </c>
      <c r="P247" s="10">
        <v>2</v>
      </c>
      <c r="Q247" s="10">
        <v>90</v>
      </c>
      <c r="R247" s="10" t="s">
        <v>66</v>
      </c>
      <c r="S247" s="10">
        <v>124</v>
      </c>
      <c r="T247" s="10">
        <v>23</v>
      </c>
      <c r="U247" s="29">
        <v>43637</v>
      </c>
      <c r="V247" s="29">
        <v>47289</v>
      </c>
      <c r="W247" s="10" t="s">
        <v>10</v>
      </c>
      <c r="X247" s="10" t="s">
        <v>17</v>
      </c>
    </row>
    <row r="248" spans="1:24" ht="63" customHeight="1" x14ac:dyDescent="0.25">
      <c r="A248" s="10">
        <f t="shared" si="0"/>
        <v>245</v>
      </c>
      <c r="B248" s="11" t="s">
        <v>762</v>
      </c>
      <c r="C248" s="10" t="s">
        <v>258</v>
      </c>
      <c r="D248" s="10" t="s">
        <v>75</v>
      </c>
      <c r="E248" s="10" t="s">
        <v>5</v>
      </c>
      <c r="F248" s="11" t="s">
        <v>768</v>
      </c>
      <c r="G248" s="11"/>
      <c r="H248" s="11"/>
      <c r="I248" s="11">
        <v>1963</v>
      </c>
      <c r="J248" s="10" t="s">
        <v>261</v>
      </c>
      <c r="K248" s="15" t="s">
        <v>764</v>
      </c>
      <c r="L248" s="15" t="str">
        <f>HYPERLINK("https://drive.google.com/open?id=1g2SNZnL9T-Zl5voBqKTdVzUy-VOzEdJi","Сертифікат")</f>
        <v>Сертифікат</v>
      </c>
      <c r="M248" s="11" t="s">
        <v>26</v>
      </c>
      <c r="N248" s="10">
        <v>170</v>
      </c>
      <c r="O248" s="10">
        <v>374</v>
      </c>
      <c r="P248" s="10">
        <v>1</v>
      </c>
      <c r="Q248" s="10">
        <v>122</v>
      </c>
      <c r="R248" s="10" t="s">
        <v>66</v>
      </c>
      <c r="S248" s="10">
        <v>120</v>
      </c>
      <c r="T248" s="10">
        <v>23</v>
      </c>
      <c r="U248" s="29">
        <v>43637</v>
      </c>
      <c r="V248" s="29">
        <v>47289</v>
      </c>
      <c r="W248" s="10" t="s">
        <v>10</v>
      </c>
      <c r="X248" s="10" t="s">
        <v>17</v>
      </c>
    </row>
    <row r="249" spans="1:24" ht="63" customHeight="1" x14ac:dyDescent="0.25">
      <c r="A249" s="10">
        <f t="shared" si="0"/>
        <v>246</v>
      </c>
      <c r="B249" s="11" t="s">
        <v>762</v>
      </c>
      <c r="C249" s="10" t="s">
        <v>258</v>
      </c>
      <c r="D249" s="10" t="s">
        <v>75</v>
      </c>
      <c r="E249" s="10" t="s">
        <v>5</v>
      </c>
      <c r="F249" s="11" t="s">
        <v>769</v>
      </c>
      <c r="G249" s="11"/>
      <c r="H249" s="11"/>
      <c r="I249" s="11">
        <v>1962</v>
      </c>
      <c r="J249" s="10" t="s">
        <v>261</v>
      </c>
      <c r="K249" s="15" t="s">
        <v>764</v>
      </c>
      <c r="L249" s="15" t="str">
        <f>HYPERLINK("https://drive.google.com/open?id=1T2LEiCOHjinEkecMxS1jVg8VB7uq03Oc","Сертифікат")</f>
        <v>Сертифікат</v>
      </c>
      <c r="M249" s="11" t="s">
        <v>26</v>
      </c>
      <c r="N249" s="10">
        <v>73.7</v>
      </c>
      <c r="O249" s="10">
        <v>195.3</v>
      </c>
      <c r="P249" s="10">
        <v>1</v>
      </c>
      <c r="Q249" s="10">
        <v>137</v>
      </c>
      <c r="R249" s="10" t="s">
        <v>66</v>
      </c>
      <c r="S249" s="10">
        <v>207</v>
      </c>
      <c r="T249" s="10">
        <v>39</v>
      </c>
      <c r="U249" s="29">
        <v>43637</v>
      </c>
      <c r="V249" s="29">
        <v>47289</v>
      </c>
      <c r="W249" s="10" t="s">
        <v>10</v>
      </c>
      <c r="X249" s="10" t="s">
        <v>17</v>
      </c>
    </row>
    <row r="250" spans="1:24" ht="63" customHeight="1" x14ac:dyDescent="0.25">
      <c r="A250" s="10">
        <f t="shared" si="0"/>
        <v>247</v>
      </c>
      <c r="B250" s="11" t="s">
        <v>770</v>
      </c>
      <c r="C250" s="10" t="s">
        <v>74</v>
      </c>
      <c r="D250" s="10" t="s">
        <v>75</v>
      </c>
      <c r="E250" s="10" t="s">
        <v>5</v>
      </c>
      <c r="F250" s="11" t="s">
        <v>771</v>
      </c>
      <c r="G250" s="11"/>
      <c r="H250" s="11"/>
      <c r="I250" s="11">
        <v>1979</v>
      </c>
      <c r="J250" s="11" t="s">
        <v>657</v>
      </c>
      <c r="K250" s="15" t="s">
        <v>658</v>
      </c>
      <c r="L250" s="15" t="s">
        <v>56</v>
      </c>
      <c r="M250" s="11" t="s">
        <v>22</v>
      </c>
      <c r="N250" s="10">
        <v>2670</v>
      </c>
      <c r="O250" s="10">
        <v>8704.2000000000007</v>
      </c>
      <c r="P250" s="10">
        <v>4</v>
      </c>
      <c r="Q250" s="10">
        <v>79.150000000000006</v>
      </c>
      <c r="R250" s="10" t="s">
        <v>66</v>
      </c>
      <c r="S250" s="10">
        <v>398.01</v>
      </c>
      <c r="T250" s="10">
        <v>78.290000000000006</v>
      </c>
      <c r="U250" s="29">
        <v>43643</v>
      </c>
      <c r="V250" s="29">
        <v>47295</v>
      </c>
      <c r="W250" s="10" t="s">
        <v>13</v>
      </c>
      <c r="X250" s="10" t="s">
        <v>17</v>
      </c>
    </row>
    <row r="251" spans="1:24" ht="63" customHeight="1" x14ac:dyDescent="0.25">
      <c r="A251" s="10">
        <f t="shared" si="0"/>
        <v>248</v>
      </c>
      <c r="B251" s="11" t="s">
        <v>772</v>
      </c>
      <c r="C251" s="10" t="s">
        <v>773</v>
      </c>
      <c r="D251" s="10" t="s">
        <v>247</v>
      </c>
      <c r="E251" s="10" t="s">
        <v>2</v>
      </c>
      <c r="F251" s="11" t="s">
        <v>774</v>
      </c>
      <c r="G251" s="11"/>
      <c r="H251" s="11"/>
      <c r="I251" s="11">
        <v>1990</v>
      </c>
      <c r="J251" s="10" t="s">
        <v>105</v>
      </c>
      <c r="K251" s="15" t="s">
        <v>106</v>
      </c>
      <c r="L251" s="15" t="str">
        <f>HYPERLINK("https://drive.google.com/open?id=1M456ixyGjsQHgVIhlr3qgLQEwbtDQS6K","Сертифікат")</f>
        <v>Сертифікат</v>
      </c>
      <c r="M251" s="11" t="s">
        <v>24</v>
      </c>
      <c r="N251" s="10">
        <v>1439</v>
      </c>
      <c r="O251" s="10">
        <v>4179</v>
      </c>
      <c r="P251" s="10">
        <v>3</v>
      </c>
      <c r="Q251" s="10">
        <v>101.6</v>
      </c>
      <c r="R251" s="10" t="s">
        <v>66</v>
      </c>
      <c r="S251" s="10">
        <v>347.4</v>
      </c>
      <c r="T251" s="10">
        <v>68.900000000000006</v>
      </c>
      <c r="U251" s="29">
        <v>43599</v>
      </c>
      <c r="V251" s="29">
        <v>47251</v>
      </c>
      <c r="W251" s="10" t="s">
        <v>10</v>
      </c>
      <c r="X251" s="10" t="s">
        <v>17</v>
      </c>
    </row>
    <row r="252" spans="1:24" ht="63" customHeight="1" x14ac:dyDescent="0.25">
      <c r="A252" s="10">
        <f t="shared" si="0"/>
        <v>249</v>
      </c>
      <c r="B252" s="11" t="s">
        <v>775</v>
      </c>
      <c r="C252" s="10" t="s">
        <v>85</v>
      </c>
      <c r="D252" s="10" t="s">
        <v>86</v>
      </c>
      <c r="E252" s="10" t="s">
        <v>3</v>
      </c>
      <c r="F252" s="11" t="s">
        <v>776</v>
      </c>
      <c r="G252" s="11"/>
      <c r="H252" s="11"/>
      <c r="I252" s="11">
        <v>1970</v>
      </c>
      <c r="J252" s="11" t="s">
        <v>88</v>
      </c>
      <c r="K252" s="15" t="s">
        <v>89</v>
      </c>
      <c r="L252" s="15" t="str">
        <f>HYPERLINK("https://drive.google.com/open?id=1OgMNTOdQ1N3pVCztcZY6m4FBZAOLDQQ5","Сертифікат")</f>
        <v>Сертифікат</v>
      </c>
      <c r="M252" s="11" t="s">
        <v>26</v>
      </c>
      <c r="N252" s="10">
        <v>2240.5</v>
      </c>
      <c r="O252" s="10">
        <v>7398.8</v>
      </c>
      <c r="P252" s="42">
        <v>43588</v>
      </c>
      <c r="Q252" s="10">
        <v>108.7</v>
      </c>
      <c r="R252" s="10" t="s">
        <v>66</v>
      </c>
      <c r="S252" s="10">
        <v>446.2</v>
      </c>
      <c r="T252" s="10">
        <v>111.3</v>
      </c>
      <c r="U252" s="45">
        <v>43654</v>
      </c>
      <c r="V252" s="29">
        <v>47306</v>
      </c>
      <c r="W252" s="10" t="s">
        <v>10</v>
      </c>
      <c r="X252" s="10" t="s">
        <v>17</v>
      </c>
    </row>
    <row r="253" spans="1:24" ht="63" customHeight="1" x14ac:dyDescent="0.25">
      <c r="A253" s="10">
        <f t="shared" si="0"/>
        <v>250</v>
      </c>
      <c r="B253" s="11" t="s">
        <v>777</v>
      </c>
      <c r="C253" s="10" t="s">
        <v>284</v>
      </c>
      <c r="D253" s="10" t="s">
        <v>285</v>
      </c>
      <c r="E253" s="10" t="s">
        <v>0</v>
      </c>
      <c r="F253" s="11" t="s">
        <v>778</v>
      </c>
      <c r="G253" s="11"/>
      <c r="H253" s="11"/>
      <c r="I253" s="11">
        <v>1984</v>
      </c>
      <c r="J253" s="11" t="s">
        <v>287</v>
      </c>
      <c r="K253" s="15" t="s">
        <v>625</v>
      </c>
      <c r="L253" s="15" t="s">
        <v>56</v>
      </c>
      <c r="M253" s="11" t="s">
        <v>26</v>
      </c>
      <c r="N253" s="10">
        <v>7536.6</v>
      </c>
      <c r="O253" s="10">
        <v>19779.400000000001</v>
      </c>
      <c r="P253" s="10">
        <v>9</v>
      </c>
      <c r="Q253" s="10">
        <v>210.2</v>
      </c>
      <c r="R253" s="10" t="s">
        <v>57</v>
      </c>
      <c r="S253" s="10">
        <v>343.3</v>
      </c>
      <c r="T253" s="10">
        <v>66.5</v>
      </c>
      <c r="U253" s="29">
        <v>43655</v>
      </c>
      <c r="V253" s="29">
        <v>47307</v>
      </c>
      <c r="W253" s="10" t="s">
        <v>10</v>
      </c>
      <c r="X253" s="10" t="s">
        <v>17</v>
      </c>
    </row>
    <row r="254" spans="1:24" ht="63" customHeight="1" x14ac:dyDescent="0.25">
      <c r="A254" s="10">
        <f t="shared" si="0"/>
        <v>251</v>
      </c>
      <c r="B254" s="11" t="s">
        <v>779</v>
      </c>
      <c r="C254" s="10" t="s">
        <v>74</v>
      </c>
      <c r="D254" s="10" t="s">
        <v>75</v>
      </c>
      <c r="E254" s="10" t="s">
        <v>5</v>
      </c>
      <c r="F254" s="11" t="s">
        <v>780</v>
      </c>
      <c r="G254" s="11"/>
      <c r="H254" s="11"/>
      <c r="I254" s="11">
        <v>1968</v>
      </c>
      <c r="J254" s="11" t="s">
        <v>657</v>
      </c>
      <c r="K254" s="15" t="s">
        <v>658</v>
      </c>
      <c r="L254" s="15" t="s">
        <v>56</v>
      </c>
      <c r="M254" s="11" t="s">
        <v>24</v>
      </c>
      <c r="N254" s="10">
        <v>2249</v>
      </c>
      <c r="O254" s="10">
        <v>6506.67</v>
      </c>
      <c r="P254" s="10">
        <v>4</v>
      </c>
      <c r="Q254" s="10">
        <v>85.23</v>
      </c>
      <c r="R254" s="10" t="s">
        <v>57</v>
      </c>
      <c r="S254" s="10">
        <v>355.3</v>
      </c>
      <c r="T254" s="10">
        <v>69.400000000000006</v>
      </c>
      <c r="U254" s="29">
        <v>43643</v>
      </c>
      <c r="V254" s="29">
        <v>47295</v>
      </c>
      <c r="W254" s="10" t="s">
        <v>10</v>
      </c>
      <c r="X254" s="10" t="s">
        <v>17</v>
      </c>
    </row>
    <row r="255" spans="1:24" ht="63" customHeight="1" x14ac:dyDescent="0.25">
      <c r="A255" s="10">
        <f t="shared" si="0"/>
        <v>252</v>
      </c>
      <c r="B255" s="11" t="s">
        <v>781</v>
      </c>
      <c r="C255" s="10" t="s">
        <v>782</v>
      </c>
      <c r="D255" s="10" t="s">
        <v>783</v>
      </c>
      <c r="E255" s="10" t="s">
        <v>2</v>
      </c>
      <c r="F255" s="11" t="s">
        <v>784</v>
      </c>
      <c r="G255" s="11"/>
      <c r="H255" s="11"/>
      <c r="I255" s="11">
        <v>1977</v>
      </c>
      <c r="J255" s="11" t="s">
        <v>753</v>
      </c>
      <c r="K255" s="15" t="s">
        <v>754</v>
      </c>
      <c r="L255" s="15" t="s">
        <v>56</v>
      </c>
      <c r="M255" s="11" t="s">
        <v>26</v>
      </c>
      <c r="N255" s="10">
        <v>1998</v>
      </c>
      <c r="O255" s="10">
        <v>5794</v>
      </c>
      <c r="P255" s="10">
        <v>3</v>
      </c>
      <c r="Q255" s="10">
        <v>108.672</v>
      </c>
      <c r="R255" s="10" t="s">
        <v>66</v>
      </c>
      <c r="S255" s="10">
        <v>365.68</v>
      </c>
      <c r="T255" s="10">
        <v>112.8</v>
      </c>
      <c r="U255" s="29">
        <v>43654</v>
      </c>
      <c r="V255" s="29">
        <v>47306</v>
      </c>
      <c r="W255" s="10" t="s">
        <v>10</v>
      </c>
      <c r="X255" s="10" t="s">
        <v>17</v>
      </c>
    </row>
    <row r="256" spans="1:24" ht="63" customHeight="1" x14ac:dyDescent="0.25">
      <c r="A256" s="10">
        <f t="shared" si="0"/>
        <v>253</v>
      </c>
      <c r="B256" s="11" t="s">
        <v>785</v>
      </c>
      <c r="C256" s="24" t="s">
        <v>786</v>
      </c>
      <c r="D256" s="10" t="s">
        <v>69</v>
      </c>
      <c r="E256" s="10" t="s">
        <v>2</v>
      </c>
      <c r="F256" s="11" t="s">
        <v>787</v>
      </c>
      <c r="G256" s="11"/>
      <c r="H256" s="11"/>
      <c r="I256" s="11">
        <v>1997</v>
      </c>
      <c r="J256" s="11" t="s">
        <v>438</v>
      </c>
      <c r="K256" s="15" t="s">
        <v>708</v>
      </c>
      <c r="L256" s="15" t="s">
        <v>56</v>
      </c>
      <c r="M256" s="11" t="s">
        <v>26</v>
      </c>
      <c r="N256" s="10">
        <v>1023.2</v>
      </c>
      <c r="O256" s="10">
        <v>2537.6</v>
      </c>
      <c r="P256" s="10">
        <v>3</v>
      </c>
      <c r="Q256" s="10">
        <v>114.8</v>
      </c>
      <c r="R256" s="10" t="s">
        <v>66</v>
      </c>
      <c r="S256" s="10">
        <v>421.6</v>
      </c>
      <c r="T256" s="10">
        <v>82.3</v>
      </c>
      <c r="U256" s="29">
        <v>43654</v>
      </c>
      <c r="V256" s="29">
        <v>47306</v>
      </c>
      <c r="W256" s="10" t="s">
        <v>10</v>
      </c>
      <c r="X256" s="10" t="s">
        <v>17</v>
      </c>
    </row>
    <row r="257" spans="1:24" ht="63" customHeight="1" x14ac:dyDescent="0.25">
      <c r="A257" s="10">
        <f t="shared" si="0"/>
        <v>254</v>
      </c>
      <c r="B257" s="11" t="s">
        <v>788</v>
      </c>
      <c r="C257" s="10" t="s">
        <v>789</v>
      </c>
      <c r="D257" s="10" t="s">
        <v>69</v>
      </c>
      <c r="E257" s="10" t="s">
        <v>2</v>
      </c>
      <c r="F257" s="11" t="s">
        <v>790</v>
      </c>
      <c r="G257" s="11"/>
      <c r="H257" s="11"/>
      <c r="I257" s="11">
        <v>1970</v>
      </c>
      <c r="J257" s="11" t="s">
        <v>438</v>
      </c>
      <c r="K257" s="15" t="s">
        <v>708</v>
      </c>
      <c r="L257" s="15" t="s">
        <v>56</v>
      </c>
      <c r="M257" s="11" t="s">
        <v>26</v>
      </c>
      <c r="N257" s="10">
        <v>764.2</v>
      </c>
      <c r="O257" s="10">
        <v>2330.8000000000002</v>
      </c>
      <c r="P257" s="10">
        <v>2</v>
      </c>
      <c r="Q257" s="10">
        <v>105.5</v>
      </c>
      <c r="R257" s="10" t="s">
        <v>66</v>
      </c>
      <c r="S257" s="10">
        <v>499.9</v>
      </c>
      <c r="T257" s="10">
        <v>98.4</v>
      </c>
      <c r="U257" s="29">
        <v>43654</v>
      </c>
      <c r="V257" s="29">
        <v>47306</v>
      </c>
      <c r="W257" s="10" t="s">
        <v>10</v>
      </c>
      <c r="X257" s="10" t="s">
        <v>17</v>
      </c>
    </row>
    <row r="258" spans="1:24" ht="63" customHeight="1" x14ac:dyDescent="0.25">
      <c r="A258" s="10">
        <f t="shared" si="0"/>
        <v>255</v>
      </c>
      <c r="B258" s="11" t="s">
        <v>791</v>
      </c>
      <c r="C258" s="10" t="s">
        <v>792</v>
      </c>
      <c r="D258" s="10" t="s">
        <v>69</v>
      </c>
      <c r="E258" s="10" t="s">
        <v>2</v>
      </c>
      <c r="F258" s="11" t="s">
        <v>793</v>
      </c>
      <c r="G258" s="11"/>
      <c r="H258" s="11"/>
      <c r="I258" s="11">
        <v>1976</v>
      </c>
      <c r="J258" s="11" t="s">
        <v>438</v>
      </c>
      <c r="K258" s="15" t="s">
        <v>708</v>
      </c>
      <c r="L258" s="15" t="s">
        <v>56</v>
      </c>
      <c r="M258" s="11" t="s">
        <v>22</v>
      </c>
      <c r="N258" s="10">
        <v>836</v>
      </c>
      <c r="O258" s="10">
        <v>2592.8000000000002</v>
      </c>
      <c r="P258" s="10">
        <v>3</v>
      </c>
      <c r="Q258" s="10">
        <v>79.5</v>
      </c>
      <c r="R258" s="10" t="s">
        <v>66</v>
      </c>
      <c r="S258" s="10">
        <v>398.7</v>
      </c>
      <c r="T258" s="10">
        <v>78.099999999999994</v>
      </c>
      <c r="U258" s="29">
        <v>43654</v>
      </c>
      <c r="V258" s="29">
        <v>47306</v>
      </c>
      <c r="W258" s="10" t="s">
        <v>10</v>
      </c>
      <c r="X258" s="10" t="s">
        <v>17</v>
      </c>
    </row>
    <row r="259" spans="1:24" ht="63" customHeight="1" x14ac:dyDescent="0.25">
      <c r="A259" s="10">
        <f t="shared" si="0"/>
        <v>256</v>
      </c>
      <c r="B259" s="11" t="s">
        <v>794</v>
      </c>
      <c r="C259" s="10" t="s">
        <v>795</v>
      </c>
      <c r="D259" s="10" t="s">
        <v>442</v>
      </c>
      <c r="E259" s="10" t="s">
        <v>2</v>
      </c>
      <c r="F259" s="11" t="s">
        <v>796</v>
      </c>
      <c r="G259" s="11"/>
      <c r="H259" s="11"/>
      <c r="I259" s="11">
        <v>1998</v>
      </c>
      <c r="J259" s="11" t="s">
        <v>797</v>
      </c>
      <c r="K259" s="15" t="s">
        <v>798</v>
      </c>
      <c r="L259" s="15" t="s">
        <v>56</v>
      </c>
      <c r="M259" s="11" t="s">
        <v>26</v>
      </c>
      <c r="N259" s="10">
        <v>856.15</v>
      </c>
      <c r="O259" s="10">
        <v>2654.1</v>
      </c>
      <c r="P259" s="10">
        <v>4</v>
      </c>
      <c r="Q259" s="10">
        <v>190.95</v>
      </c>
      <c r="R259" s="10" t="s">
        <v>66</v>
      </c>
      <c r="S259" s="10">
        <v>651.54999999999995</v>
      </c>
      <c r="T259" s="10">
        <v>130.22999999999999</v>
      </c>
      <c r="U259" s="29">
        <v>43656</v>
      </c>
      <c r="V259" s="29">
        <v>47308</v>
      </c>
      <c r="W259" s="10" t="s">
        <v>13</v>
      </c>
      <c r="X259" s="10" t="s">
        <v>17</v>
      </c>
    </row>
    <row r="260" spans="1:24" ht="63" customHeight="1" x14ac:dyDescent="0.25">
      <c r="A260" s="10">
        <f t="shared" si="0"/>
        <v>257</v>
      </c>
      <c r="B260" s="11" t="s">
        <v>799</v>
      </c>
      <c r="C260" s="10" t="s">
        <v>800</v>
      </c>
      <c r="D260" s="10" t="s">
        <v>648</v>
      </c>
      <c r="E260" s="10" t="s">
        <v>4</v>
      </c>
      <c r="F260" s="11" t="s">
        <v>801</v>
      </c>
      <c r="G260" s="11"/>
      <c r="H260" s="11"/>
      <c r="I260" s="11">
        <v>1980</v>
      </c>
      <c r="J260" s="11" t="s">
        <v>131</v>
      </c>
      <c r="K260" s="15" t="s">
        <v>132</v>
      </c>
      <c r="L260" s="15" t="s">
        <v>56</v>
      </c>
      <c r="M260" s="11" t="s">
        <v>26</v>
      </c>
      <c r="N260" s="10">
        <v>1252</v>
      </c>
      <c r="O260" s="10">
        <v>3633</v>
      </c>
      <c r="P260" s="10">
        <v>2</v>
      </c>
      <c r="Q260" s="10">
        <v>114</v>
      </c>
      <c r="R260" s="10" t="s">
        <v>66</v>
      </c>
      <c r="S260" s="10">
        <v>481</v>
      </c>
      <c r="T260" s="10">
        <v>134</v>
      </c>
      <c r="U260" s="29">
        <v>43656</v>
      </c>
      <c r="V260" s="29">
        <v>47308</v>
      </c>
      <c r="W260" s="10" t="s">
        <v>10</v>
      </c>
      <c r="X260" s="10" t="s">
        <v>17</v>
      </c>
    </row>
    <row r="261" spans="1:24" ht="63" customHeight="1" x14ac:dyDescent="0.25">
      <c r="A261" s="10">
        <f t="shared" si="0"/>
        <v>258</v>
      </c>
      <c r="B261" s="11" t="s">
        <v>802</v>
      </c>
      <c r="C261" s="10" t="s">
        <v>800</v>
      </c>
      <c r="D261" s="10" t="s">
        <v>648</v>
      </c>
      <c r="E261" s="10" t="s">
        <v>4</v>
      </c>
      <c r="F261" s="11" t="s">
        <v>803</v>
      </c>
      <c r="G261" s="11"/>
      <c r="H261" s="11"/>
      <c r="I261" s="11">
        <v>1959</v>
      </c>
      <c r="J261" s="11" t="s">
        <v>131</v>
      </c>
      <c r="K261" s="15" t="s">
        <v>132</v>
      </c>
      <c r="L261" s="15" t="s">
        <v>56</v>
      </c>
      <c r="M261" s="11" t="s">
        <v>26</v>
      </c>
      <c r="N261" s="10">
        <v>318</v>
      </c>
      <c r="O261" s="10">
        <v>954</v>
      </c>
      <c r="P261" s="10">
        <v>1</v>
      </c>
      <c r="Q261" s="10">
        <v>144</v>
      </c>
      <c r="R261" s="10" t="s">
        <v>66</v>
      </c>
      <c r="S261" s="10">
        <v>603</v>
      </c>
      <c r="T261" s="10">
        <v>165</v>
      </c>
      <c r="U261" s="29">
        <v>43656</v>
      </c>
      <c r="V261" s="29">
        <v>47308</v>
      </c>
      <c r="W261" s="10" t="s">
        <v>10</v>
      </c>
      <c r="X261" s="10" t="s">
        <v>17</v>
      </c>
    </row>
    <row r="262" spans="1:24" ht="63" customHeight="1" x14ac:dyDescent="0.25">
      <c r="A262" s="10">
        <f t="shared" si="0"/>
        <v>259</v>
      </c>
      <c r="B262" s="11" t="s">
        <v>804</v>
      </c>
      <c r="C262" s="24" t="s">
        <v>805</v>
      </c>
      <c r="D262" s="10" t="s">
        <v>86</v>
      </c>
      <c r="E262" s="10" t="s">
        <v>2</v>
      </c>
      <c r="F262" s="11" t="s">
        <v>806</v>
      </c>
      <c r="G262" s="11"/>
      <c r="H262" s="11"/>
      <c r="I262" s="11">
        <v>1994</v>
      </c>
      <c r="J262" s="10" t="s">
        <v>668</v>
      </c>
      <c r="K262" s="15" t="str">
        <f t="shared" ref="K262:K264" si="2">HYPERLINK("https://drive.google.com/open?id=1NSlpy3KnsggBDFhLrg81QLR2deMl7d6Q","АА000077")</f>
        <v>АА000077</v>
      </c>
      <c r="L262" s="15" t="str">
        <f>HYPERLINK("https://drive.google.com/open?id=1xnzuZaDPLkmlO7bNXjJ-1-m5njervxyd","Сертифікат")</f>
        <v>Сертифікат</v>
      </c>
      <c r="M262" s="11" t="s">
        <v>24</v>
      </c>
      <c r="N262" s="10">
        <v>691.5</v>
      </c>
      <c r="O262" s="10">
        <v>2188.3000000000002</v>
      </c>
      <c r="P262" s="10">
        <v>2</v>
      </c>
      <c r="Q262" s="10">
        <v>96.4</v>
      </c>
      <c r="R262" s="10" t="s">
        <v>66</v>
      </c>
      <c r="S262" s="10">
        <v>438.5</v>
      </c>
      <c r="T262" s="10">
        <v>132</v>
      </c>
      <c r="U262" s="29">
        <v>43656</v>
      </c>
      <c r="V262" s="29">
        <v>47308</v>
      </c>
      <c r="W262" s="10" t="s">
        <v>10</v>
      </c>
      <c r="X262" s="10" t="s">
        <v>17</v>
      </c>
    </row>
    <row r="263" spans="1:24" ht="63" customHeight="1" x14ac:dyDescent="0.25">
      <c r="A263" s="10">
        <f t="shared" si="0"/>
        <v>260</v>
      </c>
      <c r="B263" s="11" t="s">
        <v>809</v>
      </c>
      <c r="C263" s="10" t="s">
        <v>153</v>
      </c>
      <c r="D263" s="10" t="s">
        <v>86</v>
      </c>
      <c r="E263" s="10" t="s">
        <v>2</v>
      </c>
      <c r="F263" s="11" t="s">
        <v>810</v>
      </c>
      <c r="G263" s="11"/>
      <c r="H263" s="11"/>
      <c r="I263" s="11">
        <v>1993</v>
      </c>
      <c r="J263" s="10" t="s">
        <v>668</v>
      </c>
      <c r="K263" s="15" t="str">
        <f t="shared" si="2"/>
        <v>АА000077</v>
      </c>
      <c r="L263" s="15" t="str">
        <f>HYPERLINK("https://drive.google.com/open?id=1batfp_xKNgMwPHVOp2Z6cnczN-GhsB0o","Сертифікат")</f>
        <v>Сертифікат</v>
      </c>
      <c r="M263" s="11" t="s">
        <v>26</v>
      </c>
      <c r="N263" s="10">
        <v>489.2</v>
      </c>
      <c r="O263" s="10">
        <v>1399</v>
      </c>
      <c r="P263" s="10">
        <v>2</v>
      </c>
      <c r="Q263" s="10">
        <v>255.9</v>
      </c>
      <c r="R263" s="10" t="s">
        <v>66</v>
      </c>
      <c r="S263" s="10">
        <v>845.4</v>
      </c>
      <c r="T263" s="10">
        <v>196.4</v>
      </c>
      <c r="U263" s="29">
        <v>43656</v>
      </c>
      <c r="V263" s="29">
        <v>47308</v>
      </c>
      <c r="W263" s="10" t="s">
        <v>10</v>
      </c>
      <c r="X263" s="10" t="s">
        <v>17</v>
      </c>
    </row>
    <row r="264" spans="1:24" ht="63" customHeight="1" x14ac:dyDescent="0.25">
      <c r="A264" s="10">
        <f t="shared" si="0"/>
        <v>261</v>
      </c>
      <c r="B264" s="11" t="s">
        <v>808</v>
      </c>
      <c r="C264" s="10" t="s">
        <v>85</v>
      </c>
      <c r="D264" s="10" t="s">
        <v>86</v>
      </c>
      <c r="E264" s="10" t="s">
        <v>2</v>
      </c>
      <c r="F264" s="11" t="s">
        <v>807</v>
      </c>
      <c r="G264" s="11"/>
      <c r="H264" s="11"/>
      <c r="I264" s="11">
        <v>1987</v>
      </c>
      <c r="J264" s="10" t="s">
        <v>668</v>
      </c>
      <c r="K264" s="15" t="str">
        <f t="shared" si="2"/>
        <v>АА000077</v>
      </c>
      <c r="L264" s="15" t="str">
        <f>HYPERLINK("https://drive.google.com/open?id=1MGWkVvifU18CBu6jkQYDfeM8TkXHlsGt","Сертифікат")</f>
        <v>Сертифікат</v>
      </c>
      <c r="M264" s="11" t="s">
        <v>20</v>
      </c>
      <c r="N264" s="10">
        <v>2588.6</v>
      </c>
      <c r="O264" s="10">
        <v>7453.9</v>
      </c>
      <c r="P264" s="31">
        <v>43526</v>
      </c>
      <c r="Q264" s="10">
        <v>86</v>
      </c>
      <c r="R264" s="10" t="s">
        <v>66</v>
      </c>
      <c r="S264" s="10">
        <v>356.1</v>
      </c>
      <c r="T264" s="10">
        <v>101.1</v>
      </c>
      <c r="U264" s="29">
        <v>43656</v>
      </c>
      <c r="V264" s="29">
        <v>47308</v>
      </c>
      <c r="W264" s="10" t="s">
        <v>10</v>
      </c>
      <c r="X264" s="10" t="s">
        <v>17</v>
      </c>
    </row>
    <row r="265" spans="1:24" ht="63" customHeight="1" x14ac:dyDescent="0.25">
      <c r="A265" s="10">
        <f t="shared" si="0"/>
        <v>262</v>
      </c>
      <c r="B265" s="11" t="s">
        <v>811</v>
      </c>
      <c r="C265" s="10" t="s">
        <v>68</v>
      </c>
      <c r="D265" s="10" t="s">
        <v>69</v>
      </c>
      <c r="E265" s="10" t="s">
        <v>5</v>
      </c>
      <c r="F265" s="11" t="s">
        <v>812</v>
      </c>
      <c r="G265" s="11"/>
      <c r="H265" s="11"/>
      <c r="I265" s="11">
        <v>1979</v>
      </c>
      <c r="J265" s="11" t="s">
        <v>448</v>
      </c>
      <c r="K265" s="15" t="s">
        <v>449</v>
      </c>
      <c r="L265" s="15" t="s">
        <v>56</v>
      </c>
      <c r="M265" s="11" t="s">
        <v>22</v>
      </c>
      <c r="N265" s="10">
        <v>8842.5</v>
      </c>
      <c r="O265" s="10">
        <v>28778.7</v>
      </c>
      <c r="P265" s="10">
        <v>5</v>
      </c>
      <c r="Q265" s="10">
        <v>71.900000000000006</v>
      </c>
      <c r="R265" s="10" t="s">
        <v>66</v>
      </c>
      <c r="S265" s="10">
        <v>337.3</v>
      </c>
      <c r="T265" s="10">
        <v>66</v>
      </c>
      <c r="U265" s="29">
        <v>43661</v>
      </c>
      <c r="V265" s="29">
        <v>47313</v>
      </c>
      <c r="W265" s="10" t="s">
        <v>10</v>
      </c>
      <c r="X265" s="10" t="s">
        <v>17</v>
      </c>
    </row>
    <row r="266" spans="1:24" ht="63" customHeight="1" x14ac:dyDescent="0.25">
      <c r="A266" s="10">
        <f t="shared" si="0"/>
        <v>263</v>
      </c>
      <c r="B266" s="27" t="s">
        <v>813</v>
      </c>
      <c r="C266" s="10" t="s">
        <v>814</v>
      </c>
      <c r="D266" s="10" t="s">
        <v>815</v>
      </c>
      <c r="E266" s="10" t="s">
        <v>5</v>
      </c>
      <c r="F266" s="27" t="s">
        <v>816</v>
      </c>
      <c r="G266" s="11"/>
      <c r="H266" s="11"/>
      <c r="I266" s="11">
        <v>1991</v>
      </c>
      <c r="J266" s="10" t="s">
        <v>817</v>
      </c>
      <c r="K266" s="15" t="s">
        <v>818</v>
      </c>
      <c r="L266" s="15" t="s">
        <v>56</v>
      </c>
      <c r="M266" s="11" t="s">
        <v>26</v>
      </c>
      <c r="N266" s="10">
        <v>4268.57</v>
      </c>
      <c r="O266" s="10">
        <v>12805.72</v>
      </c>
      <c r="P266" s="10">
        <v>3</v>
      </c>
      <c r="Q266" s="10">
        <v>150</v>
      </c>
      <c r="R266" s="10" t="s">
        <v>66</v>
      </c>
      <c r="S266" s="10">
        <v>714.7</v>
      </c>
      <c r="T266" s="10">
        <v>138.80000000000001</v>
      </c>
      <c r="U266" s="29">
        <v>43658</v>
      </c>
      <c r="V266" s="29">
        <v>47310</v>
      </c>
      <c r="W266" s="10" t="s">
        <v>10</v>
      </c>
      <c r="X266" s="10" t="s">
        <v>17</v>
      </c>
    </row>
    <row r="267" spans="1:24" ht="63" customHeight="1" x14ac:dyDescent="0.25">
      <c r="A267" s="10">
        <f t="shared" si="0"/>
        <v>264</v>
      </c>
      <c r="B267" s="10" t="s">
        <v>819</v>
      </c>
      <c r="C267" s="10" t="s">
        <v>329</v>
      </c>
      <c r="D267" s="10" t="s">
        <v>79</v>
      </c>
      <c r="E267" s="10" t="s">
        <v>3</v>
      </c>
      <c r="F267" s="11" t="s">
        <v>820</v>
      </c>
      <c r="G267" s="11"/>
      <c r="H267" s="11"/>
      <c r="I267" s="11">
        <v>1984</v>
      </c>
      <c r="J267" s="20" t="s">
        <v>150</v>
      </c>
      <c r="K267" s="15" t="s">
        <v>151</v>
      </c>
      <c r="L267" s="15" t="s">
        <v>56</v>
      </c>
      <c r="M267" s="11" t="s">
        <v>26</v>
      </c>
      <c r="N267" s="10">
        <v>2471</v>
      </c>
      <c r="O267" s="10">
        <v>9390</v>
      </c>
      <c r="P267" s="10">
        <v>2</v>
      </c>
      <c r="Q267" s="10">
        <v>74</v>
      </c>
      <c r="R267" s="10" t="s">
        <v>66</v>
      </c>
      <c r="S267" s="10">
        <v>453</v>
      </c>
      <c r="T267" s="10">
        <v>132</v>
      </c>
      <c r="U267" s="29">
        <v>43615</v>
      </c>
      <c r="V267" s="29">
        <v>47267</v>
      </c>
      <c r="W267" s="10" t="s">
        <v>10</v>
      </c>
      <c r="X267" s="10" t="s">
        <v>17</v>
      </c>
    </row>
    <row r="268" spans="1:24" ht="63" customHeight="1" x14ac:dyDescent="0.25">
      <c r="A268" s="10">
        <f t="shared" si="0"/>
        <v>265</v>
      </c>
      <c r="B268" s="10" t="s">
        <v>821</v>
      </c>
      <c r="C268" s="10" t="s">
        <v>441</v>
      </c>
      <c r="D268" s="10" t="s">
        <v>442</v>
      </c>
      <c r="E268" s="10" t="s">
        <v>2</v>
      </c>
      <c r="F268" s="11" t="s">
        <v>822</v>
      </c>
      <c r="G268" s="11"/>
      <c r="H268" s="11"/>
      <c r="I268" s="11">
        <v>1970</v>
      </c>
      <c r="J268" s="10" t="s">
        <v>797</v>
      </c>
      <c r="K268" s="15" t="s">
        <v>798</v>
      </c>
      <c r="L268" s="15" t="s">
        <v>56</v>
      </c>
      <c r="M268" s="11" t="s">
        <v>26</v>
      </c>
      <c r="N268" s="10">
        <v>635.5</v>
      </c>
      <c r="O268" s="10">
        <v>1938.3</v>
      </c>
      <c r="P268" s="10">
        <v>2</v>
      </c>
      <c r="Q268" s="10">
        <v>131</v>
      </c>
      <c r="R268" s="10" t="s">
        <v>66</v>
      </c>
      <c r="S268" s="10">
        <v>571.9</v>
      </c>
      <c r="T268" s="10">
        <v>34</v>
      </c>
      <c r="U268" s="29">
        <v>43656</v>
      </c>
      <c r="V268" s="29">
        <v>43746</v>
      </c>
      <c r="W268" s="10" t="s">
        <v>13</v>
      </c>
      <c r="X268" s="10" t="s">
        <v>11</v>
      </c>
    </row>
    <row r="269" spans="1:24" ht="63" customHeight="1" x14ac:dyDescent="0.25">
      <c r="A269" s="10">
        <f t="shared" si="0"/>
        <v>266</v>
      </c>
      <c r="B269" s="11" t="s">
        <v>824</v>
      </c>
      <c r="C269" s="24" t="s">
        <v>825</v>
      </c>
      <c r="D269" s="10" t="s">
        <v>79</v>
      </c>
      <c r="E269" s="10" t="s">
        <v>3</v>
      </c>
      <c r="F269" s="11" t="s">
        <v>826</v>
      </c>
      <c r="G269" s="11"/>
      <c r="H269" s="11"/>
      <c r="I269" s="11">
        <v>1986</v>
      </c>
      <c r="J269" s="20" t="s">
        <v>150</v>
      </c>
      <c r="K269" s="15" t="s">
        <v>151</v>
      </c>
      <c r="L269" s="15" t="s">
        <v>56</v>
      </c>
      <c r="M269" s="11" t="s">
        <v>26</v>
      </c>
      <c r="N269" s="10">
        <v>1171</v>
      </c>
      <c r="O269" s="10">
        <v>4686</v>
      </c>
      <c r="P269" s="10">
        <v>2</v>
      </c>
      <c r="Q269" s="10">
        <v>107</v>
      </c>
      <c r="R269" s="10" t="s">
        <v>66</v>
      </c>
      <c r="S269" s="10">
        <v>589</v>
      </c>
      <c r="T269" s="10">
        <v>158</v>
      </c>
      <c r="U269" s="29">
        <v>43615</v>
      </c>
      <c r="V269" s="29">
        <v>47267</v>
      </c>
      <c r="W269" s="10" t="s">
        <v>10</v>
      </c>
      <c r="X269" s="10" t="s">
        <v>17</v>
      </c>
    </row>
    <row r="270" spans="1:24" ht="63" customHeight="1" x14ac:dyDescent="0.25">
      <c r="A270" s="10">
        <f t="shared" si="0"/>
        <v>267</v>
      </c>
      <c r="B270" s="10" t="s">
        <v>827</v>
      </c>
      <c r="C270" s="10" t="s">
        <v>828</v>
      </c>
      <c r="D270" s="10" t="s">
        <v>75</v>
      </c>
      <c r="E270" s="10" t="s">
        <v>5</v>
      </c>
      <c r="F270" s="11" t="s">
        <v>829</v>
      </c>
      <c r="G270" s="11"/>
      <c r="H270" s="11"/>
      <c r="I270" s="11">
        <v>1864</v>
      </c>
      <c r="J270" s="10" t="s">
        <v>261</v>
      </c>
      <c r="K270" s="15" t="s">
        <v>830</v>
      </c>
      <c r="L270" s="15" t="s">
        <v>56</v>
      </c>
      <c r="M270" s="11" t="s">
        <v>22</v>
      </c>
      <c r="N270" s="10">
        <v>428</v>
      </c>
      <c r="O270" s="10">
        <v>1253</v>
      </c>
      <c r="P270" s="10">
        <v>2</v>
      </c>
      <c r="Q270" s="10">
        <v>73</v>
      </c>
      <c r="R270" s="10" t="s">
        <v>66</v>
      </c>
      <c r="S270" s="10">
        <v>135</v>
      </c>
      <c r="T270" s="10">
        <v>26</v>
      </c>
      <c r="U270" s="29">
        <v>43656</v>
      </c>
      <c r="V270" s="29">
        <v>47308</v>
      </c>
      <c r="W270" s="10" t="s">
        <v>10</v>
      </c>
      <c r="X270" s="10" t="s">
        <v>17</v>
      </c>
    </row>
    <row r="271" spans="1:24" ht="63" customHeight="1" x14ac:dyDescent="0.25">
      <c r="A271" s="10">
        <f t="shared" si="0"/>
        <v>268</v>
      </c>
      <c r="B271" s="10" t="s">
        <v>827</v>
      </c>
      <c r="C271" s="10" t="s">
        <v>828</v>
      </c>
      <c r="D271" s="10" t="s">
        <v>75</v>
      </c>
      <c r="E271" s="10" t="s">
        <v>5</v>
      </c>
      <c r="F271" s="11" t="s">
        <v>831</v>
      </c>
      <c r="G271" s="11"/>
      <c r="H271" s="11"/>
      <c r="I271" s="11">
        <v>1910</v>
      </c>
      <c r="J271" s="10" t="s">
        <v>261</v>
      </c>
      <c r="K271" s="15" t="s">
        <v>830</v>
      </c>
      <c r="L271" s="15" t="s">
        <v>56</v>
      </c>
      <c r="M271" s="11" t="s">
        <v>26</v>
      </c>
      <c r="N271" s="10">
        <v>268</v>
      </c>
      <c r="O271" s="10">
        <v>737</v>
      </c>
      <c r="P271" s="10">
        <v>1</v>
      </c>
      <c r="Q271" s="10">
        <v>113</v>
      </c>
      <c r="R271" s="10" t="s">
        <v>66</v>
      </c>
      <c r="S271" s="10">
        <v>104</v>
      </c>
      <c r="T271" s="10">
        <v>20</v>
      </c>
      <c r="U271" s="29">
        <v>43656</v>
      </c>
      <c r="V271" s="29">
        <v>47308</v>
      </c>
      <c r="W271" s="10" t="s">
        <v>10</v>
      </c>
      <c r="X271" s="10" t="s">
        <v>17</v>
      </c>
    </row>
    <row r="272" spans="1:24" ht="63" customHeight="1" x14ac:dyDescent="0.25">
      <c r="A272" s="10">
        <f t="shared" si="0"/>
        <v>269</v>
      </c>
      <c r="B272" s="10" t="s">
        <v>827</v>
      </c>
      <c r="C272" s="10" t="s">
        <v>828</v>
      </c>
      <c r="D272" s="10" t="s">
        <v>75</v>
      </c>
      <c r="E272" s="10" t="s">
        <v>5</v>
      </c>
      <c r="F272" s="11" t="s">
        <v>832</v>
      </c>
      <c r="G272" s="11"/>
      <c r="H272" s="11"/>
      <c r="I272" s="11">
        <v>1965</v>
      </c>
      <c r="J272" s="10" t="s">
        <v>261</v>
      </c>
      <c r="K272" s="15" t="s">
        <v>830</v>
      </c>
      <c r="L272" s="15" t="s">
        <v>56</v>
      </c>
      <c r="M272" s="11" t="s">
        <v>26</v>
      </c>
      <c r="N272" s="10">
        <v>408</v>
      </c>
      <c r="O272" s="10">
        <v>1020</v>
      </c>
      <c r="P272" s="10">
        <v>1</v>
      </c>
      <c r="Q272" s="10">
        <v>113</v>
      </c>
      <c r="R272" s="10" t="s">
        <v>66</v>
      </c>
      <c r="S272" s="10">
        <v>74</v>
      </c>
      <c r="T272" s="10">
        <v>14</v>
      </c>
      <c r="U272" s="29">
        <v>43656</v>
      </c>
      <c r="V272" s="29">
        <v>47308</v>
      </c>
      <c r="W272" s="10" t="s">
        <v>10</v>
      </c>
      <c r="X272" s="10" t="s">
        <v>17</v>
      </c>
    </row>
    <row r="273" spans="1:24" ht="63" customHeight="1" x14ac:dyDescent="0.25">
      <c r="A273" s="10">
        <f t="shared" si="0"/>
        <v>270</v>
      </c>
      <c r="B273" s="10" t="s">
        <v>827</v>
      </c>
      <c r="C273" s="10" t="s">
        <v>828</v>
      </c>
      <c r="D273" s="10" t="s">
        <v>75</v>
      </c>
      <c r="E273" s="10" t="s">
        <v>5</v>
      </c>
      <c r="F273" s="11" t="s">
        <v>833</v>
      </c>
      <c r="G273" s="11"/>
      <c r="H273" s="11"/>
      <c r="I273" s="11">
        <v>1976</v>
      </c>
      <c r="J273" s="10" t="s">
        <v>261</v>
      </c>
      <c r="K273" s="15" t="s">
        <v>830</v>
      </c>
      <c r="L273" s="15" t="s">
        <v>56</v>
      </c>
      <c r="M273" s="11" t="s">
        <v>26</v>
      </c>
      <c r="N273" s="10">
        <v>346</v>
      </c>
      <c r="O273" s="10">
        <v>953</v>
      </c>
      <c r="P273" s="10">
        <v>1</v>
      </c>
      <c r="Q273" s="10">
        <v>115</v>
      </c>
      <c r="R273" s="10" t="s">
        <v>66</v>
      </c>
      <c r="S273" s="10">
        <v>76</v>
      </c>
      <c r="T273" s="10">
        <v>15</v>
      </c>
      <c r="U273" s="29">
        <v>43656</v>
      </c>
      <c r="V273" s="29">
        <v>47308</v>
      </c>
      <c r="W273" s="10" t="s">
        <v>10</v>
      </c>
      <c r="X273" s="10" t="s">
        <v>17</v>
      </c>
    </row>
    <row r="274" spans="1:24" ht="63" customHeight="1" x14ac:dyDescent="0.25">
      <c r="A274" s="10">
        <f t="shared" si="0"/>
        <v>271</v>
      </c>
      <c r="B274" s="11" t="s">
        <v>834</v>
      </c>
      <c r="C274" s="11" t="s">
        <v>147</v>
      </c>
      <c r="D274" s="11" t="s">
        <v>148</v>
      </c>
      <c r="E274" s="10" t="s">
        <v>0</v>
      </c>
      <c r="F274" s="11" t="s">
        <v>835</v>
      </c>
      <c r="G274" s="11"/>
      <c r="H274" s="11"/>
      <c r="I274" s="11" t="s">
        <v>836</v>
      </c>
      <c r="J274" s="10" t="s">
        <v>732</v>
      </c>
      <c r="K274" s="15" t="s">
        <v>733</v>
      </c>
      <c r="L274" s="15" t="str">
        <f>HYPERLINK("https://drive.google.com/open?id=1g4W_IUFUMpB343F8uK3CV4T-HuMKJEZF","Сертифікат")</f>
        <v>Сертифікат</v>
      </c>
      <c r="M274" s="11" t="s">
        <v>18</v>
      </c>
      <c r="N274" s="11">
        <v>9330.52</v>
      </c>
      <c r="O274" s="11">
        <v>24259.35</v>
      </c>
      <c r="P274" s="11">
        <v>22</v>
      </c>
      <c r="Q274" s="11">
        <v>85</v>
      </c>
      <c r="R274" s="10" t="s">
        <v>66</v>
      </c>
      <c r="S274" s="11">
        <v>138</v>
      </c>
      <c r="T274" s="11">
        <v>27</v>
      </c>
      <c r="U274" s="29">
        <v>43668</v>
      </c>
      <c r="V274" s="29">
        <v>47320</v>
      </c>
      <c r="W274" s="10" t="s">
        <v>10</v>
      </c>
      <c r="X274" s="10" t="s">
        <v>17</v>
      </c>
    </row>
    <row r="275" spans="1:24" ht="63" customHeight="1" x14ac:dyDescent="0.25">
      <c r="A275" s="10">
        <f t="shared" si="0"/>
        <v>272</v>
      </c>
      <c r="B275" s="11" t="s">
        <v>837</v>
      </c>
      <c r="C275" s="10" t="s">
        <v>78</v>
      </c>
      <c r="D275" s="10" t="s">
        <v>79</v>
      </c>
      <c r="E275" s="10" t="s">
        <v>4</v>
      </c>
      <c r="F275" s="11" t="s">
        <v>838</v>
      </c>
      <c r="G275" s="11"/>
      <c r="H275" s="11"/>
      <c r="I275" s="11">
        <v>1972</v>
      </c>
      <c r="J275" s="10" t="s">
        <v>54</v>
      </c>
      <c r="K275" s="15" t="s">
        <v>55</v>
      </c>
      <c r="L275" s="15" t="s">
        <v>56</v>
      </c>
      <c r="M275" s="11" t="s">
        <v>26</v>
      </c>
      <c r="N275" s="10">
        <v>1972</v>
      </c>
      <c r="O275" s="10">
        <v>5987</v>
      </c>
      <c r="P275" s="10">
        <v>2</v>
      </c>
      <c r="Q275" s="10">
        <v>148</v>
      </c>
      <c r="R275" s="10" t="s">
        <v>66</v>
      </c>
      <c r="S275" s="10">
        <v>652</v>
      </c>
      <c r="T275" s="10">
        <v>181</v>
      </c>
      <c r="U275" s="29">
        <v>43615</v>
      </c>
      <c r="V275" s="29">
        <v>47267</v>
      </c>
      <c r="W275" s="10" t="s">
        <v>10</v>
      </c>
      <c r="X275" s="10" t="s">
        <v>17</v>
      </c>
    </row>
    <row r="276" spans="1:24" ht="63" customHeight="1" x14ac:dyDescent="0.25">
      <c r="A276" s="10">
        <f t="shared" si="0"/>
        <v>273</v>
      </c>
      <c r="B276" s="11" t="s">
        <v>839</v>
      </c>
      <c r="C276" s="10" t="s">
        <v>78</v>
      </c>
      <c r="D276" s="10" t="s">
        <v>79</v>
      </c>
      <c r="E276" s="10" t="s">
        <v>2</v>
      </c>
      <c r="F276" s="11" t="s">
        <v>840</v>
      </c>
      <c r="G276" s="11"/>
      <c r="H276" s="11"/>
      <c r="I276" s="11">
        <v>1977</v>
      </c>
      <c r="J276" s="11" t="s">
        <v>131</v>
      </c>
      <c r="K276" s="15" t="s">
        <v>132</v>
      </c>
      <c r="L276" s="15" t="s">
        <v>56</v>
      </c>
      <c r="M276" s="11" t="s">
        <v>20</v>
      </c>
      <c r="N276" s="10">
        <v>1977</v>
      </c>
      <c r="O276" s="10">
        <v>12943</v>
      </c>
      <c r="P276" s="10">
        <v>5</v>
      </c>
      <c r="Q276" s="10">
        <v>50</v>
      </c>
      <c r="R276" s="10" t="s">
        <v>66</v>
      </c>
      <c r="S276" s="10">
        <v>299</v>
      </c>
      <c r="T276" s="10">
        <v>97</v>
      </c>
      <c r="U276" s="29">
        <v>43615</v>
      </c>
      <c r="V276" s="29">
        <v>47267</v>
      </c>
      <c r="W276" s="10" t="s">
        <v>10</v>
      </c>
      <c r="X276" s="10" t="s">
        <v>17</v>
      </c>
    </row>
    <row r="277" spans="1:24" ht="63" customHeight="1" x14ac:dyDescent="0.25">
      <c r="A277" s="10">
        <f t="shared" si="0"/>
        <v>274</v>
      </c>
      <c r="B277" s="11" t="s">
        <v>841</v>
      </c>
      <c r="C277" s="10" t="s">
        <v>243</v>
      </c>
      <c r="D277" s="10" t="s">
        <v>238</v>
      </c>
      <c r="E277" s="10" t="s">
        <v>0</v>
      </c>
      <c r="F277" s="11" t="s">
        <v>842</v>
      </c>
      <c r="G277" s="11"/>
      <c r="H277" s="11"/>
      <c r="I277" s="11" t="s">
        <v>836</v>
      </c>
      <c r="J277" s="10" t="s">
        <v>843</v>
      </c>
      <c r="K277" s="15" t="s">
        <v>844</v>
      </c>
      <c r="L277" s="15" t="s">
        <v>56</v>
      </c>
      <c r="M277" s="11" t="s">
        <v>18</v>
      </c>
      <c r="N277" s="10">
        <v>5624</v>
      </c>
      <c r="O277" s="10">
        <v>16872</v>
      </c>
      <c r="P277" s="10">
        <v>9</v>
      </c>
      <c r="Q277" s="10">
        <v>82.15</v>
      </c>
      <c r="R277" s="10" t="s">
        <v>57</v>
      </c>
      <c r="S277" s="10">
        <v>137.80000000000001</v>
      </c>
      <c r="T277" s="10">
        <v>27</v>
      </c>
      <c r="U277" s="29">
        <v>43661</v>
      </c>
      <c r="V277" s="29">
        <v>47313</v>
      </c>
      <c r="W277" s="10" t="s">
        <v>10</v>
      </c>
      <c r="X277" s="10" t="s">
        <v>17</v>
      </c>
    </row>
    <row r="278" spans="1:24" ht="63" customHeight="1" x14ac:dyDescent="0.25">
      <c r="A278" s="10">
        <f t="shared" si="0"/>
        <v>275</v>
      </c>
      <c r="B278" s="11" t="s">
        <v>845</v>
      </c>
      <c r="C278" s="10" t="s">
        <v>846</v>
      </c>
      <c r="D278" s="10" t="s">
        <v>79</v>
      </c>
      <c r="E278" s="10" t="s">
        <v>5</v>
      </c>
      <c r="F278" s="11" t="s">
        <v>847</v>
      </c>
      <c r="G278" s="11"/>
      <c r="H278" s="11"/>
      <c r="I278" s="11">
        <v>1975</v>
      </c>
      <c r="J278" s="10" t="s">
        <v>848</v>
      </c>
      <c r="K278" s="15" t="s">
        <v>849</v>
      </c>
      <c r="L278" s="15" t="s">
        <v>56</v>
      </c>
      <c r="M278" s="11" t="s">
        <v>26</v>
      </c>
      <c r="N278" s="10">
        <v>1840</v>
      </c>
      <c r="O278" s="10">
        <v>5888</v>
      </c>
      <c r="P278" s="10">
        <v>2</v>
      </c>
      <c r="Q278" s="10">
        <v>120</v>
      </c>
      <c r="R278" s="10" t="s">
        <v>66</v>
      </c>
      <c r="S278" s="10">
        <v>516</v>
      </c>
      <c r="T278" s="10">
        <v>191</v>
      </c>
      <c r="U278" s="29">
        <v>43615</v>
      </c>
      <c r="V278" s="29">
        <v>47267</v>
      </c>
      <c r="W278" s="10" t="s">
        <v>10</v>
      </c>
      <c r="X278" s="10" t="s">
        <v>17</v>
      </c>
    </row>
    <row r="279" spans="1:24" ht="63" customHeight="1" x14ac:dyDescent="0.25">
      <c r="A279" s="10">
        <f t="shared" si="0"/>
        <v>276</v>
      </c>
      <c r="B279" s="11" t="s">
        <v>850</v>
      </c>
      <c r="C279" s="10" t="s">
        <v>243</v>
      </c>
      <c r="D279" s="10" t="s">
        <v>238</v>
      </c>
      <c r="E279" s="10" t="s">
        <v>2</v>
      </c>
      <c r="F279" s="11" t="s">
        <v>851</v>
      </c>
      <c r="G279" s="11"/>
      <c r="H279" s="11"/>
      <c r="I279" s="11">
        <v>2019</v>
      </c>
      <c r="J279" s="10" t="s">
        <v>852</v>
      </c>
      <c r="K279" s="15" t="s">
        <v>853</v>
      </c>
      <c r="L279" s="15" t="s">
        <v>56</v>
      </c>
      <c r="M279" s="11" t="s">
        <v>18</v>
      </c>
      <c r="N279" s="10">
        <v>2506.46</v>
      </c>
      <c r="O279" s="10">
        <v>9421.7999999999993</v>
      </c>
      <c r="P279" s="10">
        <v>2</v>
      </c>
      <c r="Q279" s="10">
        <v>55.42</v>
      </c>
      <c r="R279" s="10" t="s">
        <v>66</v>
      </c>
      <c r="S279" s="10">
        <v>425.31</v>
      </c>
      <c r="T279" s="10">
        <v>80.959999999999994</v>
      </c>
      <c r="U279" s="29">
        <v>43668</v>
      </c>
      <c r="V279" s="29">
        <v>47320</v>
      </c>
      <c r="W279" s="10" t="s">
        <v>13</v>
      </c>
      <c r="X279" s="10" t="s">
        <v>17</v>
      </c>
    </row>
    <row r="280" spans="1:24" ht="63" customHeight="1" x14ac:dyDescent="0.25">
      <c r="A280" s="10">
        <f t="shared" si="0"/>
        <v>277</v>
      </c>
      <c r="B280" s="11" t="s">
        <v>854</v>
      </c>
      <c r="C280" s="10" t="s">
        <v>362</v>
      </c>
      <c r="D280" s="10" t="s">
        <v>255</v>
      </c>
      <c r="E280" s="10" t="s">
        <v>2</v>
      </c>
      <c r="F280" s="11" t="s">
        <v>855</v>
      </c>
      <c r="G280" s="11"/>
      <c r="H280" s="11"/>
      <c r="I280" s="11">
        <v>1979</v>
      </c>
      <c r="J280" s="10" t="s">
        <v>724</v>
      </c>
      <c r="K280" s="15" t="s">
        <v>725</v>
      </c>
      <c r="L280" s="15" t="s">
        <v>56</v>
      </c>
      <c r="M280" s="11" t="s">
        <v>20</v>
      </c>
      <c r="N280" s="10">
        <v>907.5</v>
      </c>
      <c r="O280" s="10">
        <v>2819</v>
      </c>
      <c r="P280" s="10">
        <v>3</v>
      </c>
      <c r="Q280" s="10">
        <v>70</v>
      </c>
      <c r="R280" s="10" t="s">
        <v>66</v>
      </c>
      <c r="S280" s="10">
        <v>319</v>
      </c>
      <c r="T280" s="10">
        <v>91.4</v>
      </c>
      <c r="U280" s="29">
        <v>43661</v>
      </c>
      <c r="V280" s="29">
        <v>47313</v>
      </c>
      <c r="W280" s="10" t="s">
        <v>10</v>
      </c>
      <c r="X280" s="10" t="s">
        <v>17</v>
      </c>
    </row>
    <row r="281" spans="1:24" ht="63" customHeight="1" x14ac:dyDescent="0.25">
      <c r="A281" s="10">
        <f t="shared" si="0"/>
        <v>278</v>
      </c>
      <c r="B281" s="11" t="s">
        <v>856</v>
      </c>
      <c r="C281" s="10" t="s">
        <v>52</v>
      </c>
      <c r="D281" s="10" t="s">
        <v>52</v>
      </c>
      <c r="E281" s="10" t="s">
        <v>2</v>
      </c>
      <c r="F281" s="11" t="s">
        <v>857</v>
      </c>
      <c r="G281" s="11"/>
      <c r="H281" s="11"/>
      <c r="I281" s="11" t="s">
        <v>858</v>
      </c>
      <c r="J281" s="20" t="s">
        <v>126</v>
      </c>
      <c r="K281" s="15" t="s">
        <v>127</v>
      </c>
      <c r="L281" s="15" t="str">
        <f>HYPERLINK("https://drive.google.com/open?id=1gNByUUwoMRGPlv8pFShAIrRISIFPOKnH","Сертифікат")</f>
        <v>Сертифікат</v>
      </c>
      <c r="M281" s="11" t="s">
        <v>15</v>
      </c>
      <c r="N281" s="10">
        <v>15824.4</v>
      </c>
      <c r="O281" s="10">
        <v>63297.599999999999</v>
      </c>
      <c r="P281" s="10">
        <v>2</v>
      </c>
      <c r="Q281" s="10">
        <v>42.6</v>
      </c>
      <c r="R281" s="10" t="s">
        <v>66</v>
      </c>
      <c r="S281" s="10">
        <v>459.9</v>
      </c>
      <c r="T281" s="10">
        <v>87</v>
      </c>
      <c r="U281" s="29">
        <v>43668</v>
      </c>
      <c r="V281" s="29">
        <v>47320</v>
      </c>
      <c r="W281" s="10" t="s">
        <v>10</v>
      </c>
      <c r="X281" s="10" t="s">
        <v>17</v>
      </c>
    </row>
    <row r="282" spans="1:24" ht="63" customHeight="1" x14ac:dyDescent="0.25">
      <c r="A282" s="10">
        <f t="shared" si="0"/>
        <v>279</v>
      </c>
      <c r="B282" s="11" t="s">
        <v>859</v>
      </c>
      <c r="C282" s="10" t="s">
        <v>860</v>
      </c>
      <c r="D282" s="10" t="s">
        <v>442</v>
      </c>
      <c r="E282" s="10" t="s">
        <v>3</v>
      </c>
      <c r="F282" s="11" t="s">
        <v>861</v>
      </c>
      <c r="G282" s="11"/>
      <c r="H282" s="11"/>
      <c r="I282" s="11">
        <v>1988</v>
      </c>
      <c r="J282" s="11" t="s">
        <v>863</v>
      </c>
      <c r="K282" s="15" t="str">
        <f>HYPERLINK("https://drive.google.com/open?id=1zpGGjxW-5FjlhSc9vyLynI5MjUOBJLlg","ОД 000061")</f>
        <v>ОД 000061</v>
      </c>
      <c r="L282" s="15" t="s">
        <v>56</v>
      </c>
      <c r="M282" s="11" t="s">
        <v>22</v>
      </c>
      <c r="N282" s="10">
        <v>3363</v>
      </c>
      <c r="O282" s="10">
        <v>11100</v>
      </c>
      <c r="P282" s="10">
        <v>2</v>
      </c>
      <c r="Q282" s="11" t="s">
        <v>864</v>
      </c>
      <c r="R282" s="10" t="s">
        <v>66</v>
      </c>
      <c r="S282" s="10">
        <v>46.35</v>
      </c>
      <c r="T282" s="10">
        <v>8.52</v>
      </c>
      <c r="U282" s="11" t="s">
        <v>864</v>
      </c>
      <c r="V282" s="29">
        <v>47321</v>
      </c>
      <c r="W282" s="10" t="s">
        <v>16</v>
      </c>
      <c r="X282" s="10" t="s">
        <v>11</v>
      </c>
    </row>
    <row r="283" spans="1:24" ht="63" customHeight="1" x14ac:dyDescent="0.25">
      <c r="A283" s="10">
        <f t="shared" si="0"/>
        <v>280</v>
      </c>
      <c r="B283" s="11" t="s">
        <v>865</v>
      </c>
      <c r="C283" s="24" t="s">
        <v>866</v>
      </c>
      <c r="D283" s="10" t="s">
        <v>79</v>
      </c>
      <c r="E283" s="10" t="s">
        <v>3</v>
      </c>
      <c r="F283" s="11" t="s">
        <v>867</v>
      </c>
      <c r="G283" s="11"/>
      <c r="H283" s="11"/>
      <c r="I283" s="11">
        <v>1887</v>
      </c>
      <c r="J283" s="20" t="s">
        <v>150</v>
      </c>
      <c r="K283" s="46" t="s">
        <v>151</v>
      </c>
      <c r="L283" s="15" t="s">
        <v>56</v>
      </c>
      <c r="M283" s="11" t="s">
        <v>26</v>
      </c>
      <c r="N283" s="10">
        <v>1797</v>
      </c>
      <c r="O283" s="10">
        <v>7729</v>
      </c>
      <c r="P283" s="10">
        <v>2</v>
      </c>
      <c r="Q283" s="10">
        <v>84</v>
      </c>
      <c r="R283" s="10" t="s">
        <v>66</v>
      </c>
      <c r="S283" s="10">
        <v>456</v>
      </c>
      <c r="T283" s="10">
        <v>164</v>
      </c>
      <c r="U283" s="29">
        <v>43615</v>
      </c>
      <c r="V283" s="29">
        <v>47267</v>
      </c>
      <c r="W283" s="10" t="s">
        <v>10</v>
      </c>
      <c r="X283" s="10" t="s">
        <v>17</v>
      </c>
    </row>
    <row r="284" spans="1:24" ht="63" customHeight="1" x14ac:dyDescent="0.25">
      <c r="A284" s="10">
        <f t="shared" si="0"/>
        <v>281</v>
      </c>
      <c r="B284" s="11" t="s">
        <v>868</v>
      </c>
      <c r="C284" s="10" t="s">
        <v>380</v>
      </c>
      <c r="D284" s="10" t="s">
        <v>79</v>
      </c>
      <c r="E284" s="10" t="s">
        <v>3</v>
      </c>
      <c r="F284" s="11" t="s">
        <v>869</v>
      </c>
      <c r="G284" s="11"/>
      <c r="H284" s="11"/>
      <c r="I284" s="11">
        <v>1978</v>
      </c>
      <c r="J284" s="11" t="s">
        <v>54</v>
      </c>
      <c r="K284" s="46" t="s">
        <v>55</v>
      </c>
      <c r="L284" s="15" t="s">
        <v>56</v>
      </c>
      <c r="M284" s="11" t="s">
        <v>26</v>
      </c>
      <c r="N284" s="10">
        <v>2208</v>
      </c>
      <c r="O284" s="10">
        <v>12679</v>
      </c>
      <c r="P284" s="10">
        <v>1</v>
      </c>
      <c r="Q284" s="10">
        <v>86</v>
      </c>
      <c r="R284" s="10" t="s">
        <v>66</v>
      </c>
      <c r="S284" s="10">
        <v>698</v>
      </c>
      <c r="T284" s="10">
        <v>193</v>
      </c>
      <c r="U284" s="29">
        <v>43615</v>
      </c>
      <c r="V284" s="29">
        <v>47267</v>
      </c>
      <c r="W284" s="10" t="s">
        <v>10</v>
      </c>
      <c r="X284" s="10" t="s">
        <v>17</v>
      </c>
    </row>
    <row r="285" spans="1:24" ht="63" customHeight="1" x14ac:dyDescent="0.25">
      <c r="A285" s="10">
        <f t="shared" si="0"/>
        <v>282</v>
      </c>
      <c r="B285" s="11" t="s">
        <v>870</v>
      </c>
      <c r="C285" s="10" t="s">
        <v>825</v>
      </c>
      <c r="D285" s="10" t="s">
        <v>79</v>
      </c>
      <c r="E285" s="10" t="s">
        <v>0</v>
      </c>
      <c r="F285" s="11" t="s">
        <v>871</v>
      </c>
      <c r="G285" s="11"/>
      <c r="H285" s="11"/>
      <c r="I285" s="11">
        <v>1972</v>
      </c>
      <c r="J285" s="10" t="s">
        <v>848</v>
      </c>
      <c r="K285" s="46" t="s">
        <v>849</v>
      </c>
      <c r="L285" s="15" t="s">
        <v>56</v>
      </c>
      <c r="M285" s="11" t="s">
        <v>26</v>
      </c>
      <c r="N285" s="10">
        <v>1550</v>
      </c>
      <c r="O285" s="10">
        <v>3955</v>
      </c>
      <c r="P285" s="10">
        <v>3</v>
      </c>
      <c r="Q285" s="10">
        <v>238</v>
      </c>
      <c r="R285" s="10" t="s">
        <v>57</v>
      </c>
      <c r="S285" s="10">
        <v>285</v>
      </c>
      <c r="T285" s="10">
        <v>67</v>
      </c>
      <c r="U285" s="29">
        <v>43615</v>
      </c>
      <c r="V285" s="29">
        <v>47267</v>
      </c>
      <c r="W285" s="10" t="s">
        <v>10</v>
      </c>
      <c r="X285" s="10" t="s">
        <v>17</v>
      </c>
    </row>
    <row r="286" spans="1:24" ht="63" customHeight="1" x14ac:dyDescent="0.25">
      <c r="A286" s="10">
        <f t="shared" si="0"/>
        <v>283</v>
      </c>
      <c r="B286" s="11" t="s">
        <v>872</v>
      </c>
      <c r="C286" s="10" t="s">
        <v>873</v>
      </c>
      <c r="D286" s="10" t="s">
        <v>79</v>
      </c>
      <c r="E286" s="10" t="s">
        <v>3</v>
      </c>
      <c r="F286" s="11" t="s">
        <v>874</v>
      </c>
      <c r="G286" s="11"/>
      <c r="H286" s="11"/>
      <c r="I286" s="11">
        <v>1965</v>
      </c>
      <c r="J286" s="11" t="s">
        <v>131</v>
      </c>
      <c r="K286" s="46" t="s">
        <v>132</v>
      </c>
      <c r="L286" s="15" t="s">
        <v>56</v>
      </c>
      <c r="M286" s="11" t="s">
        <v>26</v>
      </c>
      <c r="N286" s="10">
        <v>3011</v>
      </c>
      <c r="O286" s="10">
        <v>8192</v>
      </c>
      <c r="P286" s="10">
        <v>2</v>
      </c>
      <c r="Q286" s="10">
        <v>87</v>
      </c>
      <c r="R286" s="10" t="s">
        <v>66</v>
      </c>
      <c r="S286" s="10">
        <v>373</v>
      </c>
      <c r="T286" s="10">
        <v>114</v>
      </c>
      <c r="U286" s="29">
        <v>43615</v>
      </c>
      <c r="V286" s="29">
        <v>47267</v>
      </c>
      <c r="W286" s="10" t="s">
        <v>10</v>
      </c>
      <c r="X286" s="10" t="s">
        <v>17</v>
      </c>
    </row>
    <row r="287" spans="1:24" ht="63" customHeight="1" x14ac:dyDescent="0.25">
      <c r="A287" s="10">
        <f t="shared" si="0"/>
        <v>284</v>
      </c>
      <c r="B287" s="11" t="s">
        <v>875</v>
      </c>
      <c r="C287" s="10" t="s">
        <v>419</v>
      </c>
      <c r="D287" s="10" t="s">
        <v>79</v>
      </c>
      <c r="E287" s="10" t="s">
        <v>3</v>
      </c>
      <c r="F287" s="11" t="s">
        <v>876</v>
      </c>
      <c r="G287" s="11"/>
      <c r="H287" s="11"/>
      <c r="I287" s="11">
        <v>1975</v>
      </c>
      <c r="J287" s="20" t="s">
        <v>150</v>
      </c>
      <c r="K287" s="46" t="s">
        <v>151</v>
      </c>
      <c r="L287" s="15" t="s">
        <v>56</v>
      </c>
      <c r="M287" s="11" t="s">
        <v>26</v>
      </c>
      <c r="N287" s="10">
        <v>2511</v>
      </c>
      <c r="O287" s="10">
        <v>10238</v>
      </c>
      <c r="P287" s="10">
        <v>3</v>
      </c>
      <c r="Q287" s="10">
        <v>91</v>
      </c>
      <c r="R287" s="10" t="s">
        <v>66</v>
      </c>
      <c r="S287" s="10">
        <v>505</v>
      </c>
      <c r="T287" s="10">
        <v>132</v>
      </c>
      <c r="U287" s="29">
        <v>43615</v>
      </c>
      <c r="V287" s="29">
        <v>47267</v>
      </c>
      <c r="W287" s="10" t="s">
        <v>10</v>
      </c>
      <c r="X287" s="10" t="s">
        <v>17</v>
      </c>
    </row>
    <row r="288" spans="1:24" ht="63" customHeight="1" x14ac:dyDescent="0.25">
      <c r="A288" s="10">
        <f t="shared" si="0"/>
        <v>285</v>
      </c>
      <c r="B288" s="11" t="s">
        <v>877</v>
      </c>
      <c r="C288" s="10" t="s">
        <v>345</v>
      </c>
      <c r="D288" s="10" t="s">
        <v>79</v>
      </c>
      <c r="E288" s="10" t="s">
        <v>3</v>
      </c>
      <c r="F288" s="11" t="s">
        <v>878</v>
      </c>
      <c r="G288" s="11"/>
      <c r="H288" s="11"/>
      <c r="I288" s="11">
        <v>1971</v>
      </c>
      <c r="J288" s="11" t="s">
        <v>131</v>
      </c>
      <c r="K288" s="46" t="s">
        <v>132</v>
      </c>
      <c r="L288" s="15" t="s">
        <v>56</v>
      </c>
      <c r="M288" s="11" t="s">
        <v>26</v>
      </c>
      <c r="N288" s="10">
        <v>1560</v>
      </c>
      <c r="O288" s="10">
        <v>4992</v>
      </c>
      <c r="P288" s="10">
        <v>3</v>
      </c>
      <c r="Q288" s="10">
        <v>86</v>
      </c>
      <c r="R288" s="10" t="s">
        <v>66</v>
      </c>
      <c r="S288" s="10">
        <v>429</v>
      </c>
      <c r="T288" s="10">
        <v>127</v>
      </c>
      <c r="U288" s="29">
        <v>43615</v>
      </c>
      <c r="V288" s="29">
        <v>47267</v>
      </c>
      <c r="W288" s="10" t="s">
        <v>10</v>
      </c>
      <c r="X288" s="10" t="s">
        <v>17</v>
      </c>
    </row>
    <row r="289" spans="1:24" ht="63" customHeight="1" x14ac:dyDescent="0.25">
      <c r="A289" s="10">
        <f t="shared" si="0"/>
        <v>286</v>
      </c>
      <c r="B289" s="11" t="s">
        <v>879</v>
      </c>
      <c r="C289" s="10" t="s">
        <v>441</v>
      </c>
      <c r="D289" s="10" t="s">
        <v>442</v>
      </c>
      <c r="E289" s="10" t="s">
        <v>2</v>
      </c>
      <c r="F289" s="11" t="s">
        <v>880</v>
      </c>
      <c r="G289" s="11"/>
      <c r="H289" s="11"/>
      <c r="I289" s="11">
        <v>2008</v>
      </c>
      <c r="J289" s="26" t="s">
        <v>724</v>
      </c>
      <c r="K289" s="46" t="s">
        <v>725</v>
      </c>
      <c r="L289" s="15" t="str">
        <f>HYPERLINK("https://drive.google.com/open?id=1Te5Y4ZvrAmrxKdIRrlXrUhr_bisIHgfr","Сертифікат")</f>
        <v>Сертифікат</v>
      </c>
      <c r="M289" s="11" t="s">
        <v>18</v>
      </c>
      <c r="N289" s="10">
        <v>356.7</v>
      </c>
      <c r="O289" s="10">
        <v>1212.8</v>
      </c>
      <c r="P289" s="10">
        <v>1</v>
      </c>
      <c r="Q289" s="10">
        <v>56.9</v>
      </c>
      <c r="R289" s="10" t="s">
        <v>66</v>
      </c>
      <c r="S289" s="10">
        <v>377.4</v>
      </c>
      <c r="T289" s="10">
        <v>131.30000000000001</v>
      </c>
      <c r="U289" s="29">
        <v>43663</v>
      </c>
      <c r="V289" s="29">
        <v>47315</v>
      </c>
      <c r="W289" s="10" t="s">
        <v>10</v>
      </c>
      <c r="X289" s="10" t="s">
        <v>17</v>
      </c>
    </row>
    <row r="290" spans="1:24" ht="63" customHeight="1" x14ac:dyDescent="0.25">
      <c r="A290" s="10">
        <f t="shared" si="0"/>
        <v>287</v>
      </c>
      <c r="B290" s="11" t="s">
        <v>879</v>
      </c>
      <c r="C290" s="10" t="s">
        <v>441</v>
      </c>
      <c r="D290" s="10" t="s">
        <v>442</v>
      </c>
      <c r="E290" s="10" t="s">
        <v>2</v>
      </c>
      <c r="F290" s="11" t="s">
        <v>883</v>
      </c>
      <c r="G290" s="11"/>
      <c r="H290" s="11"/>
      <c r="I290" s="11">
        <v>2008</v>
      </c>
      <c r="J290" s="20" t="s">
        <v>724</v>
      </c>
      <c r="K290" s="46" t="s">
        <v>725</v>
      </c>
      <c r="L290" s="15" t="str">
        <f>HYPERLINK("https://drive.google.com/open?id=1_wrWRsl3e0Y-iYI7Q8Cls5hTVGr8zgUO","Сертифікат")</f>
        <v>Сертифікат</v>
      </c>
      <c r="M290" s="11" t="s">
        <v>18</v>
      </c>
      <c r="N290" s="10">
        <v>237.7</v>
      </c>
      <c r="O290" s="10">
        <v>808</v>
      </c>
      <c r="P290" s="10">
        <v>1</v>
      </c>
      <c r="Q290" s="10">
        <v>59</v>
      </c>
      <c r="R290" s="10" t="s">
        <v>66</v>
      </c>
      <c r="S290" s="10">
        <v>358.2</v>
      </c>
      <c r="T290" s="10">
        <v>116.8</v>
      </c>
      <c r="U290" s="29">
        <v>43663</v>
      </c>
      <c r="V290" s="29">
        <v>47315</v>
      </c>
      <c r="W290" s="10" t="s">
        <v>10</v>
      </c>
      <c r="X290" s="10" t="s">
        <v>17</v>
      </c>
    </row>
    <row r="291" spans="1:24" ht="63" customHeight="1" x14ac:dyDescent="0.25">
      <c r="A291" s="10">
        <f t="shared" si="0"/>
        <v>288</v>
      </c>
      <c r="B291" s="11" t="s">
        <v>884</v>
      </c>
      <c r="C291" s="10" t="s">
        <v>885</v>
      </c>
      <c r="D291" s="10" t="s">
        <v>247</v>
      </c>
      <c r="E291" s="10" t="s">
        <v>5</v>
      </c>
      <c r="F291" s="11" t="s">
        <v>886</v>
      </c>
      <c r="G291" s="11"/>
      <c r="H291" s="11"/>
      <c r="I291" s="11">
        <v>1968</v>
      </c>
      <c r="J291" s="11" t="s">
        <v>887</v>
      </c>
      <c r="K291" s="46" t="s">
        <v>888</v>
      </c>
      <c r="L291" s="15" t="s">
        <v>56</v>
      </c>
      <c r="M291" s="11" t="s">
        <v>26</v>
      </c>
      <c r="N291" s="10">
        <v>3647.34</v>
      </c>
      <c r="O291" s="10">
        <v>11672.68</v>
      </c>
      <c r="P291" s="10">
        <v>4</v>
      </c>
      <c r="Q291" s="10">
        <v>150.15</v>
      </c>
      <c r="R291" s="10" t="s">
        <v>66</v>
      </c>
      <c r="S291" s="10">
        <v>584.28</v>
      </c>
      <c r="T291" s="10">
        <v>115.89</v>
      </c>
      <c r="U291" s="29">
        <v>43669</v>
      </c>
      <c r="V291" s="29">
        <v>47321</v>
      </c>
      <c r="W291" s="10" t="s">
        <v>13</v>
      </c>
      <c r="X291" s="10" t="s">
        <v>17</v>
      </c>
    </row>
    <row r="292" spans="1:24" ht="63" customHeight="1" x14ac:dyDescent="0.25">
      <c r="A292" s="10">
        <f t="shared" si="0"/>
        <v>289</v>
      </c>
      <c r="B292" s="11" t="s">
        <v>344</v>
      </c>
      <c r="C292" s="10" t="s">
        <v>345</v>
      </c>
      <c r="D292" s="10" t="s">
        <v>79</v>
      </c>
      <c r="E292" s="10" t="s">
        <v>3</v>
      </c>
      <c r="F292" s="11" t="s">
        <v>889</v>
      </c>
      <c r="G292" s="11"/>
      <c r="H292" s="11"/>
      <c r="I292" s="11">
        <v>1971</v>
      </c>
      <c r="J292" s="11" t="s">
        <v>131</v>
      </c>
      <c r="K292" s="46" t="s">
        <v>132</v>
      </c>
      <c r="L292" s="15" t="s">
        <v>56</v>
      </c>
      <c r="M292" s="11" t="s">
        <v>26</v>
      </c>
      <c r="N292" s="10">
        <v>605</v>
      </c>
      <c r="O292" s="10">
        <v>2353</v>
      </c>
      <c r="P292" s="10">
        <v>1</v>
      </c>
      <c r="Q292" s="10">
        <v>118</v>
      </c>
      <c r="R292" s="10" t="s">
        <v>66</v>
      </c>
      <c r="S292" s="10">
        <v>661</v>
      </c>
      <c r="T292" s="10">
        <v>184</v>
      </c>
      <c r="U292" s="29">
        <v>43615</v>
      </c>
      <c r="V292" s="29">
        <v>47267</v>
      </c>
      <c r="W292" s="10" t="s">
        <v>10</v>
      </c>
      <c r="X292" s="10" t="s">
        <v>17</v>
      </c>
    </row>
    <row r="293" spans="1:24" ht="63" customHeight="1" x14ac:dyDescent="0.25">
      <c r="A293" s="10">
        <f t="shared" si="0"/>
        <v>290</v>
      </c>
      <c r="B293" s="11" t="s">
        <v>890</v>
      </c>
      <c r="C293" s="10" t="s">
        <v>78</v>
      </c>
      <c r="D293" s="10" t="s">
        <v>79</v>
      </c>
      <c r="E293" s="10" t="s">
        <v>2</v>
      </c>
      <c r="F293" s="11" t="s">
        <v>891</v>
      </c>
      <c r="G293" s="11"/>
      <c r="H293" s="11"/>
      <c r="I293" s="11">
        <v>1976</v>
      </c>
      <c r="J293" s="11" t="s">
        <v>893</v>
      </c>
      <c r="K293" s="46" t="s">
        <v>894</v>
      </c>
      <c r="L293" s="15" t="s">
        <v>56</v>
      </c>
      <c r="M293" s="11" t="s">
        <v>22</v>
      </c>
      <c r="N293" s="10">
        <v>1780</v>
      </c>
      <c r="O293" s="10">
        <v>5647</v>
      </c>
      <c r="P293" s="10">
        <v>2</v>
      </c>
      <c r="Q293" s="10" t="s">
        <v>895</v>
      </c>
      <c r="R293" s="10" t="s">
        <v>66</v>
      </c>
      <c r="S293" s="10">
        <v>441</v>
      </c>
      <c r="T293" s="10">
        <v>87</v>
      </c>
      <c r="U293" s="11" t="s">
        <v>864</v>
      </c>
      <c r="V293" s="29">
        <v>47323</v>
      </c>
      <c r="W293" s="10" t="s">
        <v>13</v>
      </c>
      <c r="X293" s="10" t="s">
        <v>17</v>
      </c>
    </row>
    <row r="294" spans="1:24" ht="63" customHeight="1" x14ac:dyDescent="0.25">
      <c r="A294" s="10">
        <f t="shared" si="0"/>
        <v>291</v>
      </c>
      <c r="B294" s="11" t="s">
        <v>896</v>
      </c>
      <c r="C294" s="10" t="s">
        <v>359</v>
      </c>
      <c r="D294" s="10" t="s">
        <v>124</v>
      </c>
      <c r="E294" s="10" t="s">
        <v>3</v>
      </c>
      <c r="F294" s="11" t="s">
        <v>897</v>
      </c>
      <c r="G294" s="11"/>
      <c r="H294" s="11"/>
      <c r="I294" s="11" t="s">
        <v>157</v>
      </c>
      <c r="J294" s="11" t="s">
        <v>668</v>
      </c>
      <c r="K294" s="15" t="str">
        <f>HYPERLINK("https://drive.google.com/open?id=1NSlpy3KnsggBDFhLrg81QLR2deMl7d6Q","АА000077")</f>
        <v>АА000077</v>
      </c>
      <c r="L294" s="15" t="s">
        <v>56</v>
      </c>
      <c r="M294" s="11" t="s">
        <v>26</v>
      </c>
      <c r="N294" s="10">
        <v>3506</v>
      </c>
      <c r="O294" s="10">
        <v>11208</v>
      </c>
      <c r="P294" s="10">
        <v>2</v>
      </c>
      <c r="Q294" s="10">
        <v>198.6</v>
      </c>
      <c r="R294" s="10" t="s">
        <v>66</v>
      </c>
      <c r="S294" s="10">
        <v>911</v>
      </c>
      <c r="T294" s="10">
        <v>253.4</v>
      </c>
      <c r="U294" s="29">
        <v>43670</v>
      </c>
      <c r="V294" s="29">
        <v>47322</v>
      </c>
      <c r="W294" s="10" t="s">
        <v>10</v>
      </c>
      <c r="X294" s="10" t="s">
        <v>17</v>
      </c>
    </row>
    <row r="295" spans="1:24" ht="63" customHeight="1" x14ac:dyDescent="0.25">
      <c r="A295" s="10">
        <f t="shared" si="0"/>
        <v>292</v>
      </c>
      <c r="B295" s="11" t="s">
        <v>898</v>
      </c>
      <c r="C295" s="10" t="s">
        <v>846</v>
      </c>
      <c r="D295" s="10" t="s">
        <v>79</v>
      </c>
      <c r="E295" s="10" t="s">
        <v>3</v>
      </c>
      <c r="F295" s="11" t="s">
        <v>899</v>
      </c>
      <c r="G295" s="11"/>
      <c r="H295" s="11"/>
      <c r="I295" s="11">
        <v>1981</v>
      </c>
      <c r="J295" s="11" t="s">
        <v>150</v>
      </c>
      <c r="K295" s="46" t="s">
        <v>900</v>
      </c>
      <c r="L295" s="15" t="s">
        <v>56</v>
      </c>
      <c r="M295" s="11" t="s">
        <v>26</v>
      </c>
      <c r="N295" s="10">
        <v>1523</v>
      </c>
      <c r="O295" s="10">
        <v>4869</v>
      </c>
      <c r="P295" s="10">
        <v>4</v>
      </c>
      <c r="Q295" s="10">
        <v>83</v>
      </c>
      <c r="R295" s="10" t="s">
        <v>66</v>
      </c>
      <c r="S295" s="10">
        <v>362</v>
      </c>
      <c r="T295" s="10">
        <v>96</v>
      </c>
      <c r="U295" s="29">
        <v>43615</v>
      </c>
      <c r="V295" s="29">
        <v>47267</v>
      </c>
      <c r="W295" s="10" t="s">
        <v>10</v>
      </c>
      <c r="X295" s="10" t="s">
        <v>17</v>
      </c>
    </row>
    <row r="296" spans="1:24" ht="63" customHeight="1" x14ac:dyDescent="0.25">
      <c r="A296" s="10">
        <f t="shared" si="0"/>
        <v>293</v>
      </c>
      <c r="B296" s="11" t="s">
        <v>901</v>
      </c>
      <c r="C296" s="10" t="s">
        <v>78</v>
      </c>
      <c r="D296" s="10" t="s">
        <v>79</v>
      </c>
      <c r="E296" s="10" t="s">
        <v>5</v>
      </c>
      <c r="F296" s="11" t="s">
        <v>902</v>
      </c>
      <c r="G296" s="11"/>
      <c r="H296" s="11"/>
      <c r="I296" s="11">
        <v>1978</v>
      </c>
      <c r="J296" s="11" t="s">
        <v>131</v>
      </c>
      <c r="K296" s="46" t="s">
        <v>132</v>
      </c>
      <c r="L296" s="15" t="s">
        <v>56</v>
      </c>
      <c r="M296" s="11" t="s">
        <v>22</v>
      </c>
      <c r="N296" s="10">
        <v>11142</v>
      </c>
      <c r="O296" s="10">
        <v>32868</v>
      </c>
      <c r="P296" s="10">
        <v>8</v>
      </c>
      <c r="Q296" s="10">
        <v>74</v>
      </c>
      <c r="R296" s="10" t="s">
        <v>66</v>
      </c>
      <c r="S296" s="10">
        <v>467</v>
      </c>
      <c r="T296" s="10">
        <v>151</v>
      </c>
      <c r="U296" s="29">
        <v>43615</v>
      </c>
      <c r="V296" s="29">
        <v>47267</v>
      </c>
      <c r="W296" s="10" t="s">
        <v>10</v>
      </c>
      <c r="X296" s="10" t="s">
        <v>17</v>
      </c>
    </row>
    <row r="297" spans="1:24" ht="63" customHeight="1" x14ac:dyDescent="0.25">
      <c r="A297" s="10">
        <f t="shared" si="0"/>
        <v>294</v>
      </c>
      <c r="B297" s="11" t="s">
        <v>903</v>
      </c>
      <c r="C297" s="10" t="s">
        <v>78</v>
      </c>
      <c r="D297" s="10" t="s">
        <v>79</v>
      </c>
      <c r="E297" s="10" t="s">
        <v>3</v>
      </c>
      <c r="F297" s="11" t="s">
        <v>904</v>
      </c>
      <c r="G297" s="11"/>
      <c r="H297" s="11"/>
      <c r="I297" s="11">
        <v>1962</v>
      </c>
      <c r="J297" s="11" t="s">
        <v>54</v>
      </c>
      <c r="K297" s="46" t="s">
        <v>55</v>
      </c>
      <c r="L297" s="15" t="s">
        <v>56</v>
      </c>
      <c r="M297" s="11" t="s">
        <v>26</v>
      </c>
      <c r="N297" s="10">
        <v>4433</v>
      </c>
      <c r="O297" s="10">
        <v>13299</v>
      </c>
      <c r="P297" s="10">
        <v>3</v>
      </c>
      <c r="Q297" s="10">
        <v>93</v>
      </c>
      <c r="R297" s="10" t="s">
        <v>66</v>
      </c>
      <c r="S297" s="10">
        <v>405</v>
      </c>
      <c r="T297" s="10">
        <v>113</v>
      </c>
      <c r="U297" s="29">
        <v>43615</v>
      </c>
      <c r="V297" s="29">
        <v>47267</v>
      </c>
      <c r="W297" s="10" t="s">
        <v>10</v>
      </c>
      <c r="X297" s="10" t="s">
        <v>17</v>
      </c>
    </row>
    <row r="298" spans="1:24" ht="63" customHeight="1" x14ac:dyDescent="0.25">
      <c r="A298" s="10">
        <f t="shared" si="0"/>
        <v>295</v>
      </c>
      <c r="B298" s="11" t="s">
        <v>905</v>
      </c>
      <c r="C298" s="10" t="s">
        <v>906</v>
      </c>
      <c r="D298" s="10" t="s">
        <v>238</v>
      </c>
      <c r="E298" s="10" t="s">
        <v>5</v>
      </c>
      <c r="F298" s="11" t="s">
        <v>907</v>
      </c>
      <c r="G298" s="11"/>
      <c r="H298" s="11"/>
      <c r="I298" s="11">
        <v>1970</v>
      </c>
      <c r="J298" s="11" t="s">
        <v>908</v>
      </c>
      <c r="K298" s="46" t="s">
        <v>909</v>
      </c>
      <c r="L298" s="15" t="s">
        <v>56</v>
      </c>
      <c r="M298" s="11" t="s">
        <v>26</v>
      </c>
      <c r="N298" s="10">
        <v>738</v>
      </c>
      <c r="O298" s="10">
        <v>2167</v>
      </c>
      <c r="P298" s="10">
        <v>3</v>
      </c>
      <c r="Q298" s="10">
        <v>123.1</v>
      </c>
      <c r="R298" s="10" t="s">
        <v>66</v>
      </c>
      <c r="S298" s="10">
        <v>437.65</v>
      </c>
      <c r="T298" s="10">
        <v>87.16</v>
      </c>
      <c r="U298" s="29">
        <v>43671</v>
      </c>
      <c r="V298" s="29">
        <v>47323</v>
      </c>
      <c r="W298" s="10" t="s">
        <v>13</v>
      </c>
      <c r="X298" s="10" t="s">
        <v>17</v>
      </c>
    </row>
    <row r="299" spans="1:24" ht="63" customHeight="1" x14ac:dyDescent="0.25">
      <c r="A299" s="10">
        <f t="shared" si="0"/>
        <v>296</v>
      </c>
      <c r="B299" s="11" t="s">
        <v>910</v>
      </c>
      <c r="C299" s="24" t="s">
        <v>374</v>
      </c>
      <c r="D299" s="10" t="s">
        <v>79</v>
      </c>
      <c r="E299" s="10" t="s">
        <v>0</v>
      </c>
      <c r="F299" s="11" t="s">
        <v>911</v>
      </c>
      <c r="G299" s="11"/>
      <c r="H299" s="11"/>
      <c r="I299" s="11">
        <v>1976</v>
      </c>
      <c r="J299" s="10" t="s">
        <v>848</v>
      </c>
      <c r="K299" s="15" t="s">
        <v>849</v>
      </c>
      <c r="L299" s="15" t="s">
        <v>56</v>
      </c>
      <c r="M299" s="11" t="s">
        <v>26</v>
      </c>
      <c r="N299" s="10">
        <v>5290</v>
      </c>
      <c r="O299" s="10">
        <v>15711</v>
      </c>
      <c r="P299" s="10">
        <v>5</v>
      </c>
      <c r="Q299" s="10">
        <v>220</v>
      </c>
      <c r="R299" s="10" t="s">
        <v>57</v>
      </c>
      <c r="S299" s="10">
        <v>303</v>
      </c>
      <c r="T299" s="10">
        <v>82</v>
      </c>
      <c r="U299" s="29">
        <v>43615</v>
      </c>
      <c r="V299" s="29">
        <v>47267</v>
      </c>
      <c r="W299" s="10" t="s">
        <v>10</v>
      </c>
      <c r="X299" s="10" t="s">
        <v>17</v>
      </c>
    </row>
    <row r="300" spans="1:24" ht="63" customHeight="1" x14ac:dyDescent="0.25">
      <c r="A300" s="10">
        <f t="shared" si="0"/>
        <v>297</v>
      </c>
      <c r="B300" s="11" t="s">
        <v>912</v>
      </c>
      <c r="C300" s="10" t="s">
        <v>828</v>
      </c>
      <c r="D300" s="10" t="s">
        <v>75</v>
      </c>
      <c r="E300" s="10" t="s">
        <v>5</v>
      </c>
      <c r="F300" s="11" t="s">
        <v>913</v>
      </c>
      <c r="G300" s="11"/>
      <c r="H300" s="11"/>
      <c r="I300" s="11" t="s">
        <v>914</v>
      </c>
      <c r="J300" s="11" t="s">
        <v>261</v>
      </c>
      <c r="K300" s="15" t="s">
        <v>262</v>
      </c>
      <c r="L300" s="15" t="str">
        <f>HYPERLINK("https://drive.google.com/open?id=16G8kU9RvqWiF-dmub0lKiruvd0uHRpVd","Сертифікат")</f>
        <v>Сертифікат</v>
      </c>
      <c r="M300" s="11" t="s">
        <v>20</v>
      </c>
      <c r="N300" s="10">
        <v>1115</v>
      </c>
      <c r="O300" s="10">
        <v>3445</v>
      </c>
      <c r="P300" s="10">
        <v>2</v>
      </c>
      <c r="Q300" s="10">
        <v>69</v>
      </c>
      <c r="R300" s="10" t="s">
        <v>66</v>
      </c>
      <c r="S300" s="10">
        <v>122</v>
      </c>
      <c r="T300" s="10">
        <v>23</v>
      </c>
      <c r="U300" s="29">
        <v>43656</v>
      </c>
      <c r="V300" s="29">
        <v>47308</v>
      </c>
      <c r="W300" s="10" t="s">
        <v>10</v>
      </c>
      <c r="X300" s="10" t="s">
        <v>17</v>
      </c>
    </row>
    <row r="301" spans="1:24" ht="46.5" customHeight="1" x14ac:dyDescent="0.25">
      <c r="A301" s="10">
        <f t="shared" si="0"/>
        <v>298</v>
      </c>
      <c r="B301" s="11" t="s">
        <v>915</v>
      </c>
      <c r="C301" s="10" t="s">
        <v>78</v>
      </c>
      <c r="D301" s="10" t="s">
        <v>79</v>
      </c>
      <c r="E301" s="10" t="s">
        <v>5</v>
      </c>
      <c r="F301" s="11" t="s">
        <v>916</v>
      </c>
      <c r="G301" s="11"/>
      <c r="H301" s="11"/>
      <c r="I301" s="11">
        <v>1995</v>
      </c>
      <c r="J301" s="11" t="s">
        <v>131</v>
      </c>
      <c r="K301" s="15" t="s">
        <v>132</v>
      </c>
      <c r="L301" s="15" t="s">
        <v>56</v>
      </c>
      <c r="M301" s="11" t="s">
        <v>22</v>
      </c>
      <c r="N301" s="10">
        <v>7745</v>
      </c>
      <c r="O301" s="10">
        <v>23790</v>
      </c>
      <c r="P301" s="10">
        <v>7</v>
      </c>
      <c r="Q301" s="10">
        <v>83</v>
      </c>
      <c r="R301" s="10" t="s">
        <v>66</v>
      </c>
      <c r="S301" s="10">
        <v>394</v>
      </c>
      <c r="T301" s="10">
        <v>114</v>
      </c>
      <c r="U301" s="29">
        <v>43615</v>
      </c>
      <c r="V301" s="29">
        <v>47267</v>
      </c>
      <c r="W301" s="10" t="s">
        <v>10</v>
      </c>
      <c r="X301" s="10" t="s">
        <v>17</v>
      </c>
    </row>
    <row r="302" spans="1:24" ht="46.5" customHeight="1" x14ac:dyDescent="0.25">
      <c r="A302" s="10">
        <f t="shared" si="0"/>
        <v>299</v>
      </c>
      <c r="B302" s="11" t="s">
        <v>917</v>
      </c>
      <c r="C302" s="10" t="s">
        <v>78</v>
      </c>
      <c r="D302" s="10" t="s">
        <v>79</v>
      </c>
      <c r="E302" s="10" t="s">
        <v>5</v>
      </c>
      <c r="F302" s="11" t="s">
        <v>918</v>
      </c>
      <c r="G302" s="11"/>
      <c r="H302" s="11"/>
      <c r="I302" s="11">
        <v>1978</v>
      </c>
      <c r="J302" s="11" t="s">
        <v>131</v>
      </c>
      <c r="K302" s="15" t="s">
        <v>132</v>
      </c>
      <c r="L302" s="15" t="s">
        <v>56</v>
      </c>
      <c r="M302" s="11" t="s">
        <v>22</v>
      </c>
      <c r="N302" s="10">
        <v>5844</v>
      </c>
      <c r="O302" s="10">
        <v>20457</v>
      </c>
      <c r="P302" s="10">
        <v>4</v>
      </c>
      <c r="Q302" s="10">
        <v>82</v>
      </c>
      <c r="R302" s="10" t="s">
        <v>66</v>
      </c>
      <c r="S302" s="10">
        <v>405</v>
      </c>
      <c r="T302" s="10">
        <v>110</v>
      </c>
      <c r="U302" s="29">
        <v>43615</v>
      </c>
      <c r="V302" s="29">
        <v>47267</v>
      </c>
      <c r="W302" s="10" t="s">
        <v>10</v>
      </c>
      <c r="X302" s="10" t="s">
        <v>17</v>
      </c>
    </row>
    <row r="303" spans="1:24" ht="46.5" customHeight="1" x14ac:dyDescent="0.25">
      <c r="A303" s="10">
        <f t="shared" si="0"/>
        <v>300</v>
      </c>
      <c r="B303" s="11" t="s">
        <v>882</v>
      </c>
      <c r="C303" s="10" t="s">
        <v>441</v>
      </c>
      <c r="D303" s="10" t="s">
        <v>442</v>
      </c>
      <c r="E303" s="10" t="s">
        <v>2</v>
      </c>
      <c r="F303" s="11" t="s">
        <v>881</v>
      </c>
      <c r="G303" s="11"/>
      <c r="H303" s="11"/>
      <c r="I303" s="11">
        <v>1984</v>
      </c>
      <c r="J303" s="20" t="s">
        <v>724</v>
      </c>
      <c r="K303" s="15" t="s">
        <v>725</v>
      </c>
      <c r="L303" s="15" t="str">
        <f>HYPERLINK("https://drive.google.com/open?id=1yx704X5D0HfvGWoKDx8-GDEkBPWZFnAt","Сертифікат")</f>
        <v>Сертифікат</v>
      </c>
      <c r="M303" s="11" t="s">
        <v>26</v>
      </c>
      <c r="N303" s="10">
        <v>4597.8</v>
      </c>
      <c r="O303" s="10">
        <v>15345</v>
      </c>
      <c r="P303" s="31">
        <v>43503</v>
      </c>
      <c r="Q303" s="10">
        <v>78.900000000000006</v>
      </c>
      <c r="R303" s="10" t="s">
        <v>66</v>
      </c>
      <c r="S303" s="10">
        <v>399.6</v>
      </c>
      <c r="T303" s="10">
        <v>117.7</v>
      </c>
      <c r="U303" s="29">
        <v>43663</v>
      </c>
      <c r="V303" s="29">
        <v>47315</v>
      </c>
      <c r="W303" s="10" t="s">
        <v>10</v>
      </c>
      <c r="X303" s="10" t="s">
        <v>17</v>
      </c>
    </row>
    <row r="304" spans="1:24" ht="46.5" customHeight="1" x14ac:dyDescent="0.25">
      <c r="A304" s="10">
        <f t="shared" si="0"/>
        <v>301</v>
      </c>
      <c r="B304" s="11" t="s">
        <v>919</v>
      </c>
      <c r="C304" s="10" t="s">
        <v>795</v>
      </c>
      <c r="D304" s="10" t="s">
        <v>442</v>
      </c>
      <c r="E304" s="10" t="s">
        <v>2</v>
      </c>
      <c r="F304" s="11" t="s">
        <v>920</v>
      </c>
      <c r="G304" s="11"/>
      <c r="H304" s="11"/>
      <c r="I304" s="11" t="s">
        <v>921</v>
      </c>
      <c r="J304" s="20" t="s">
        <v>724</v>
      </c>
      <c r="K304" s="15" t="s">
        <v>725</v>
      </c>
      <c r="L304" s="15" t="str">
        <f>HYPERLINK("https://drive.google.com/open?id=16eDyQA6pM9Xl7-P-PoH43d4x6s7wiMAH","Сертифікат")</f>
        <v>Сертифікат</v>
      </c>
      <c r="M304" s="11" t="s">
        <v>26</v>
      </c>
      <c r="N304" s="10">
        <v>319</v>
      </c>
      <c r="O304" s="10">
        <v>946</v>
      </c>
      <c r="P304" s="10">
        <v>2</v>
      </c>
      <c r="Q304" s="10">
        <v>120.6</v>
      </c>
      <c r="R304" s="10" t="s">
        <v>66</v>
      </c>
      <c r="S304" s="10">
        <v>518.1</v>
      </c>
      <c r="T304" s="10">
        <v>150.19999999999999</v>
      </c>
      <c r="U304" s="29">
        <v>43663</v>
      </c>
      <c r="V304" s="29">
        <v>47315</v>
      </c>
      <c r="W304" s="10" t="s">
        <v>10</v>
      </c>
      <c r="X304" s="10" t="s">
        <v>17</v>
      </c>
    </row>
    <row r="305" spans="1:24" ht="46.5" customHeight="1" x14ac:dyDescent="0.25">
      <c r="A305" s="10">
        <f t="shared" si="0"/>
        <v>302</v>
      </c>
      <c r="B305" s="11" t="s">
        <v>922</v>
      </c>
      <c r="C305" s="10" t="s">
        <v>74</v>
      </c>
      <c r="D305" s="10" t="s">
        <v>75</v>
      </c>
      <c r="E305" s="10" t="s">
        <v>2</v>
      </c>
      <c r="F305" s="11" t="s">
        <v>923</v>
      </c>
      <c r="G305" s="11"/>
      <c r="H305" s="11"/>
      <c r="I305" s="11">
        <v>1988</v>
      </c>
      <c r="J305" s="11" t="s">
        <v>657</v>
      </c>
      <c r="K305" s="15" t="s">
        <v>658</v>
      </c>
      <c r="L305" s="15" t="s">
        <v>56</v>
      </c>
      <c r="M305" s="11" t="s">
        <v>24</v>
      </c>
      <c r="N305" s="10">
        <v>1708.39</v>
      </c>
      <c r="O305" s="10">
        <v>5269.7</v>
      </c>
      <c r="P305" s="10">
        <v>3</v>
      </c>
      <c r="Q305" s="10">
        <v>95.3</v>
      </c>
      <c r="R305" s="10" t="s">
        <v>66</v>
      </c>
      <c r="S305" s="10">
        <v>516.29999999999995</v>
      </c>
      <c r="T305" s="10">
        <v>100.8</v>
      </c>
      <c r="U305" s="29">
        <v>43573</v>
      </c>
      <c r="V305" s="29">
        <v>47225</v>
      </c>
      <c r="W305" s="10" t="s">
        <v>13</v>
      </c>
      <c r="X305" s="10" t="s">
        <v>17</v>
      </c>
    </row>
    <row r="306" spans="1:24" ht="46.5" customHeight="1" x14ac:dyDescent="0.25">
      <c r="A306" s="10">
        <f t="shared" si="0"/>
        <v>303</v>
      </c>
      <c r="B306" s="11" t="s">
        <v>924</v>
      </c>
      <c r="C306" s="10" t="s">
        <v>243</v>
      </c>
      <c r="D306" s="10" t="s">
        <v>238</v>
      </c>
      <c r="E306" s="10" t="s">
        <v>2</v>
      </c>
      <c r="F306" s="11" t="s">
        <v>925</v>
      </c>
      <c r="G306" s="11"/>
      <c r="H306" s="11"/>
      <c r="I306" s="11" t="s">
        <v>926</v>
      </c>
      <c r="J306" s="11" t="s">
        <v>432</v>
      </c>
      <c r="K306" s="15" t="s">
        <v>433</v>
      </c>
      <c r="L306" s="15" t="s">
        <v>56</v>
      </c>
      <c r="M306" s="11" t="s">
        <v>18</v>
      </c>
      <c r="N306" s="10">
        <v>3525.2</v>
      </c>
      <c r="O306" s="10">
        <v>13181.25</v>
      </c>
      <c r="P306" s="31">
        <v>43558</v>
      </c>
      <c r="Q306" s="10">
        <v>42.59</v>
      </c>
      <c r="R306" s="10" t="s">
        <v>66</v>
      </c>
      <c r="S306" s="10">
        <v>349.42</v>
      </c>
      <c r="T306" s="10">
        <v>69.41</v>
      </c>
      <c r="U306" s="29">
        <v>43675</v>
      </c>
      <c r="V306" s="29">
        <v>47327</v>
      </c>
      <c r="W306" s="10" t="s">
        <v>10</v>
      </c>
      <c r="X306" s="10" t="s">
        <v>17</v>
      </c>
    </row>
    <row r="307" spans="1:24" ht="46.5" customHeight="1" x14ac:dyDescent="0.25">
      <c r="A307" s="10">
        <f t="shared" si="0"/>
        <v>304</v>
      </c>
      <c r="B307" s="11" t="s">
        <v>917</v>
      </c>
      <c r="C307" s="10" t="s">
        <v>78</v>
      </c>
      <c r="D307" s="10" t="s">
        <v>79</v>
      </c>
      <c r="E307" s="10" t="s">
        <v>5</v>
      </c>
      <c r="F307" s="11" t="s">
        <v>927</v>
      </c>
      <c r="G307" s="11"/>
      <c r="H307" s="11"/>
      <c r="I307" s="11">
        <v>1820</v>
      </c>
      <c r="J307" s="11" t="s">
        <v>131</v>
      </c>
      <c r="K307" s="15" t="s">
        <v>132</v>
      </c>
      <c r="L307" s="15" t="s">
        <v>56</v>
      </c>
      <c r="M307" s="11" t="s">
        <v>20</v>
      </c>
      <c r="N307" s="10">
        <v>11244</v>
      </c>
      <c r="O307" s="10">
        <v>48745</v>
      </c>
      <c r="P307" s="10">
        <v>3</v>
      </c>
      <c r="Q307" s="10">
        <v>56</v>
      </c>
      <c r="R307" s="10" t="s">
        <v>66</v>
      </c>
      <c r="S307" s="10">
        <v>482</v>
      </c>
      <c r="T307" s="10">
        <v>152</v>
      </c>
      <c r="U307" s="29">
        <v>43615</v>
      </c>
      <c r="V307" s="29">
        <v>47267</v>
      </c>
      <c r="W307" s="10" t="s">
        <v>10</v>
      </c>
      <c r="X307" s="10" t="s">
        <v>17</v>
      </c>
    </row>
    <row r="308" spans="1:24" ht="46.5" customHeight="1" x14ac:dyDescent="0.25">
      <c r="A308" s="10">
        <f t="shared" si="0"/>
        <v>305</v>
      </c>
      <c r="B308" s="11" t="s">
        <v>928</v>
      </c>
      <c r="C308" s="10" t="s">
        <v>929</v>
      </c>
      <c r="D308" s="10" t="s">
        <v>238</v>
      </c>
      <c r="E308" s="10" t="s">
        <v>3</v>
      </c>
      <c r="F308" s="11" t="s">
        <v>930</v>
      </c>
      <c r="G308" s="11"/>
      <c r="H308" s="11"/>
      <c r="I308" s="11">
        <v>1978</v>
      </c>
      <c r="J308" s="11" t="s">
        <v>209</v>
      </c>
      <c r="K308" s="15" t="s">
        <v>210</v>
      </c>
      <c r="L308" s="15" t="s">
        <v>56</v>
      </c>
      <c r="M308" s="11" t="s">
        <v>22</v>
      </c>
      <c r="N308" s="10">
        <v>5894</v>
      </c>
      <c r="O308" s="10">
        <v>23663</v>
      </c>
      <c r="P308" s="10">
        <v>3</v>
      </c>
      <c r="Q308" s="10">
        <v>47</v>
      </c>
      <c r="R308" s="10" t="s">
        <v>66</v>
      </c>
      <c r="S308" s="10">
        <v>303</v>
      </c>
      <c r="T308" s="10">
        <v>59</v>
      </c>
      <c r="U308" s="29">
        <v>43671</v>
      </c>
      <c r="V308" s="29">
        <v>47323</v>
      </c>
      <c r="W308" s="10" t="s">
        <v>10</v>
      </c>
      <c r="X308" s="10" t="s">
        <v>17</v>
      </c>
    </row>
    <row r="309" spans="1:24" ht="46.5" customHeight="1" x14ac:dyDescent="0.25">
      <c r="A309" s="10">
        <f t="shared" si="0"/>
        <v>306</v>
      </c>
      <c r="B309" s="11" t="s">
        <v>898</v>
      </c>
      <c r="C309" s="10" t="s">
        <v>846</v>
      </c>
      <c r="D309" s="10" t="s">
        <v>79</v>
      </c>
      <c r="E309" s="10" t="s">
        <v>3</v>
      </c>
      <c r="F309" s="11" t="s">
        <v>931</v>
      </c>
      <c r="G309" s="11"/>
      <c r="H309" s="11"/>
      <c r="I309" s="11">
        <v>1810</v>
      </c>
      <c r="J309" s="11" t="s">
        <v>150</v>
      </c>
      <c r="K309" s="15" t="s">
        <v>151</v>
      </c>
      <c r="L309" s="15" t="s">
        <v>56</v>
      </c>
      <c r="M309" s="11" t="s">
        <v>26</v>
      </c>
      <c r="N309" s="10">
        <v>1414</v>
      </c>
      <c r="O309" s="10">
        <v>4926</v>
      </c>
      <c r="P309" s="10">
        <v>2</v>
      </c>
      <c r="Q309" s="10">
        <v>80</v>
      </c>
      <c r="R309" s="10" t="s">
        <v>66</v>
      </c>
      <c r="S309" s="10">
        <v>391</v>
      </c>
      <c r="T309" s="10">
        <v>104</v>
      </c>
      <c r="U309" s="29">
        <v>43615</v>
      </c>
      <c r="V309" s="29">
        <v>47267</v>
      </c>
      <c r="W309" s="10" t="s">
        <v>10</v>
      </c>
      <c r="X309" s="10" t="s">
        <v>17</v>
      </c>
    </row>
    <row r="310" spans="1:24" ht="46.5" customHeight="1" x14ac:dyDescent="0.25">
      <c r="A310" s="10">
        <f t="shared" si="0"/>
        <v>307</v>
      </c>
      <c r="B310" s="11" t="s">
        <v>932</v>
      </c>
      <c r="C310" s="10" t="s">
        <v>85</v>
      </c>
      <c r="D310" s="10" t="s">
        <v>86</v>
      </c>
      <c r="E310" s="10" t="s">
        <v>3</v>
      </c>
      <c r="F310" s="11" t="s">
        <v>933</v>
      </c>
      <c r="G310" s="11"/>
      <c r="H310" s="11"/>
      <c r="I310" s="11">
        <v>1876</v>
      </c>
      <c r="J310" s="11" t="s">
        <v>88</v>
      </c>
      <c r="K310" s="15" t="s">
        <v>89</v>
      </c>
      <c r="L310" s="15" t="s">
        <v>56</v>
      </c>
      <c r="M310" s="11" t="s">
        <v>26</v>
      </c>
      <c r="N310" s="10">
        <v>1294.8</v>
      </c>
      <c r="O310" s="10">
        <v>5194.1000000000004</v>
      </c>
      <c r="P310" s="10">
        <v>3</v>
      </c>
      <c r="Q310" s="10">
        <v>76</v>
      </c>
      <c r="R310" s="10" t="s">
        <v>66</v>
      </c>
      <c r="S310" s="10">
        <v>360.1</v>
      </c>
      <c r="T310" s="10">
        <v>84.8</v>
      </c>
      <c r="U310" s="29">
        <v>43668</v>
      </c>
      <c r="V310" s="29">
        <v>47327</v>
      </c>
      <c r="W310" s="10" t="s">
        <v>10</v>
      </c>
      <c r="X310" s="10" t="s">
        <v>17</v>
      </c>
    </row>
    <row r="311" spans="1:24" ht="46.5" customHeight="1" x14ac:dyDescent="0.25">
      <c r="A311" s="10">
        <f t="shared" si="0"/>
        <v>308</v>
      </c>
      <c r="B311" s="11" t="s">
        <v>903</v>
      </c>
      <c r="C311" s="10" t="s">
        <v>78</v>
      </c>
      <c r="D311" s="10" t="s">
        <v>79</v>
      </c>
      <c r="E311" s="10" t="s">
        <v>0</v>
      </c>
      <c r="F311" s="11" t="s">
        <v>934</v>
      </c>
      <c r="G311" s="11"/>
      <c r="H311" s="11"/>
      <c r="I311" s="11">
        <v>1962</v>
      </c>
      <c r="J311" s="11" t="s">
        <v>54</v>
      </c>
      <c r="K311" s="46" t="s">
        <v>55</v>
      </c>
      <c r="L311" s="15" t="s">
        <v>56</v>
      </c>
      <c r="M311" s="11" t="s">
        <v>26</v>
      </c>
      <c r="N311" s="10">
        <v>2464</v>
      </c>
      <c r="O311" s="10">
        <v>7392</v>
      </c>
      <c r="P311" s="10">
        <v>4</v>
      </c>
      <c r="Q311" s="10">
        <v>241</v>
      </c>
      <c r="R311" s="10" t="s">
        <v>57</v>
      </c>
      <c r="S311" s="10">
        <v>340</v>
      </c>
      <c r="T311" s="10">
        <v>94</v>
      </c>
      <c r="U311" s="29">
        <v>43615</v>
      </c>
      <c r="V311" s="29">
        <v>47267</v>
      </c>
      <c r="W311" s="10" t="s">
        <v>10</v>
      </c>
      <c r="X311" s="10" t="s">
        <v>17</v>
      </c>
    </row>
    <row r="312" spans="1:24" ht="46.5" customHeight="1" x14ac:dyDescent="0.25">
      <c r="A312" s="10">
        <f t="shared" si="0"/>
        <v>309</v>
      </c>
      <c r="B312" s="11" t="s">
        <v>935</v>
      </c>
      <c r="C312" s="10" t="s">
        <v>68</v>
      </c>
      <c r="D312" s="10" t="s">
        <v>69</v>
      </c>
      <c r="E312" s="10" t="s">
        <v>5</v>
      </c>
      <c r="F312" s="11" t="s">
        <v>936</v>
      </c>
      <c r="G312" s="11"/>
      <c r="H312" s="11"/>
      <c r="I312" s="11">
        <v>1964</v>
      </c>
      <c r="J312" s="11" t="s">
        <v>609</v>
      </c>
      <c r="K312" s="46" t="str">
        <f>HYPERLINK("https://drive.google.com/open?id=1MmGP6rtYcZwVyIqDA-ykUrezieQsOMPg","ОД 000024")</f>
        <v>ОД 000024</v>
      </c>
      <c r="L312" s="15" t="s">
        <v>56</v>
      </c>
      <c r="M312" s="11" t="s">
        <v>20</v>
      </c>
      <c r="N312" s="10">
        <v>13389</v>
      </c>
      <c r="O312" s="10">
        <v>49934</v>
      </c>
      <c r="P312" s="10">
        <v>5</v>
      </c>
      <c r="Q312" s="10">
        <v>67.599999999999994</v>
      </c>
      <c r="R312" s="10" t="s">
        <v>66</v>
      </c>
      <c r="S312" s="10">
        <v>441.2</v>
      </c>
      <c r="T312" s="10">
        <v>85</v>
      </c>
      <c r="U312" s="29">
        <v>43672</v>
      </c>
      <c r="V312" s="29">
        <v>47324</v>
      </c>
      <c r="W312" s="10" t="s">
        <v>10</v>
      </c>
      <c r="X312" s="10" t="s">
        <v>17</v>
      </c>
    </row>
    <row r="313" spans="1:24" ht="46.5" customHeight="1" x14ac:dyDescent="0.25">
      <c r="A313" s="10">
        <f t="shared" si="0"/>
        <v>310</v>
      </c>
      <c r="B313" s="11" t="s">
        <v>937</v>
      </c>
      <c r="C313" s="10" t="s">
        <v>825</v>
      </c>
      <c r="D313" s="10" t="s">
        <v>79</v>
      </c>
      <c r="E313" s="10" t="s">
        <v>3</v>
      </c>
      <c r="F313" s="11" t="s">
        <v>938</v>
      </c>
      <c r="G313" s="11"/>
      <c r="H313" s="11"/>
      <c r="I313" s="11">
        <v>1986</v>
      </c>
      <c r="J313" s="11" t="s">
        <v>150</v>
      </c>
      <c r="K313" s="46" t="s">
        <v>151</v>
      </c>
      <c r="L313" s="15" t="s">
        <v>56</v>
      </c>
      <c r="M313" s="11" t="s">
        <v>26</v>
      </c>
      <c r="N313" s="10">
        <v>954</v>
      </c>
      <c r="O313" s="10">
        <v>3819</v>
      </c>
      <c r="P313" s="10">
        <v>2</v>
      </c>
      <c r="Q313" s="10">
        <v>103</v>
      </c>
      <c r="R313" s="10" t="s">
        <v>66</v>
      </c>
      <c r="S313" s="10">
        <v>565</v>
      </c>
      <c r="T313" s="10">
        <v>152</v>
      </c>
      <c r="U313" s="29">
        <v>43615</v>
      </c>
      <c r="V313" s="29">
        <v>47267</v>
      </c>
      <c r="W313" s="10" t="s">
        <v>10</v>
      </c>
      <c r="X313" s="10" t="s">
        <v>17</v>
      </c>
    </row>
    <row r="314" spans="1:24" ht="46.5" customHeight="1" x14ac:dyDescent="0.25">
      <c r="A314" s="10">
        <f t="shared" si="0"/>
        <v>311</v>
      </c>
      <c r="B314" s="11" t="s">
        <v>939</v>
      </c>
      <c r="C314" s="10" t="s">
        <v>940</v>
      </c>
      <c r="D314" s="10" t="s">
        <v>442</v>
      </c>
      <c r="E314" s="10" t="s">
        <v>2</v>
      </c>
      <c r="F314" s="11" t="s">
        <v>941</v>
      </c>
      <c r="G314" s="11"/>
      <c r="H314" s="11"/>
      <c r="I314" s="11">
        <v>1974</v>
      </c>
      <c r="J314" s="20" t="s">
        <v>724</v>
      </c>
      <c r="K314" s="15" t="s">
        <v>725</v>
      </c>
      <c r="L314" s="15" t="str">
        <f>HYPERLINK("https://drive.google.com/open?id=1rV6M9GX4tAQgPxhilUPmLd9ocFGX6nL2","Сертифікат")</f>
        <v>Сертифікат</v>
      </c>
      <c r="M314" s="11" t="s">
        <v>24</v>
      </c>
      <c r="N314" s="10">
        <v>189.2</v>
      </c>
      <c r="O314" s="10">
        <v>473</v>
      </c>
      <c r="P314" s="10">
        <v>1</v>
      </c>
      <c r="Q314" s="10">
        <v>93.8</v>
      </c>
      <c r="R314" s="10" t="s">
        <v>66</v>
      </c>
      <c r="S314" s="10">
        <v>392.1</v>
      </c>
      <c r="T314" s="10">
        <v>130.6</v>
      </c>
      <c r="U314" s="29">
        <v>43663</v>
      </c>
      <c r="V314" s="29">
        <v>47315</v>
      </c>
      <c r="W314" s="10" t="s">
        <v>10</v>
      </c>
      <c r="X314" s="10" t="s">
        <v>17</v>
      </c>
    </row>
    <row r="315" spans="1:24" ht="46.5" customHeight="1" x14ac:dyDescent="0.25">
      <c r="A315" s="10">
        <f t="shared" si="0"/>
        <v>312</v>
      </c>
      <c r="B315" s="11" t="s">
        <v>942</v>
      </c>
      <c r="C315" s="10" t="s">
        <v>943</v>
      </c>
      <c r="D315" s="10" t="s">
        <v>442</v>
      </c>
      <c r="E315" s="10" t="s">
        <v>2</v>
      </c>
      <c r="F315" s="11" t="s">
        <v>944</v>
      </c>
      <c r="G315" s="11"/>
      <c r="H315" s="11"/>
      <c r="I315" s="11">
        <v>1995</v>
      </c>
      <c r="J315" s="20" t="s">
        <v>724</v>
      </c>
      <c r="K315" s="15" t="s">
        <v>725</v>
      </c>
      <c r="L315" s="15" t="str">
        <f>HYPERLINK("https://drive.google.com/open?id=1n39DGpemfm1DiUOid6_aWuem1qbqBK6Q","Сертифікат")</f>
        <v>Сертифікат</v>
      </c>
      <c r="M315" s="11" t="s">
        <v>26</v>
      </c>
      <c r="N315" s="10">
        <v>276.10000000000002</v>
      </c>
      <c r="O315" s="10">
        <v>863</v>
      </c>
      <c r="P315" s="10">
        <v>2</v>
      </c>
      <c r="Q315" s="10" t="s">
        <v>945</v>
      </c>
      <c r="R315" s="10" t="s">
        <v>66</v>
      </c>
      <c r="S315" s="10">
        <v>505.1</v>
      </c>
      <c r="T315" s="10">
        <v>152.69999999999999</v>
      </c>
      <c r="U315" s="29">
        <v>43663</v>
      </c>
      <c r="V315" s="29">
        <v>47315</v>
      </c>
      <c r="W315" s="10" t="s">
        <v>10</v>
      </c>
      <c r="X315" s="10" t="s">
        <v>17</v>
      </c>
    </row>
    <row r="316" spans="1:24" ht="46.5" customHeight="1" x14ac:dyDescent="0.25">
      <c r="A316" s="10">
        <f t="shared" si="0"/>
        <v>313</v>
      </c>
      <c r="B316" s="11" t="s">
        <v>946</v>
      </c>
      <c r="C316" s="10" t="s">
        <v>947</v>
      </c>
      <c r="D316" s="10" t="s">
        <v>79</v>
      </c>
      <c r="E316" s="10" t="s">
        <v>3</v>
      </c>
      <c r="F316" s="11" t="s">
        <v>948</v>
      </c>
      <c r="G316" s="11"/>
      <c r="H316" s="11"/>
      <c r="I316" s="11">
        <v>1988</v>
      </c>
      <c r="J316" s="11" t="s">
        <v>131</v>
      </c>
      <c r="K316" s="15" t="s">
        <v>132</v>
      </c>
      <c r="L316" s="15" t="s">
        <v>56</v>
      </c>
      <c r="M316" s="11" t="s">
        <v>26</v>
      </c>
      <c r="N316" s="10">
        <v>1644</v>
      </c>
      <c r="O316" s="10">
        <v>4934</v>
      </c>
      <c r="P316" s="10">
        <v>3</v>
      </c>
      <c r="Q316" s="10">
        <v>66</v>
      </c>
      <c r="R316" s="10" t="s">
        <v>66</v>
      </c>
      <c r="S316" s="10">
        <v>297</v>
      </c>
      <c r="T316" s="10">
        <v>85</v>
      </c>
      <c r="U316" s="29">
        <v>43615</v>
      </c>
      <c r="V316" s="29">
        <v>47267</v>
      </c>
      <c r="W316" s="10" t="s">
        <v>10</v>
      </c>
      <c r="X316" s="10" t="s">
        <v>17</v>
      </c>
    </row>
    <row r="317" spans="1:24" ht="46.5" customHeight="1" x14ac:dyDescent="0.25">
      <c r="A317" s="10">
        <f t="shared" si="0"/>
        <v>314</v>
      </c>
      <c r="B317" s="11" t="s">
        <v>949</v>
      </c>
      <c r="C317" s="10" t="s">
        <v>284</v>
      </c>
      <c r="D317" s="10" t="s">
        <v>285</v>
      </c>
      <c r="E317" s="10" t="s">
        <v>2</v>
      </c>
      <c r="F317" s="11" t="s">
        <v>950</v>
      </c>
      <c r="G317" s="11"/>
      <c r="H317" s="11"/>
      <c r="I317" s="11">
        <v>2002</v>
      </c>
      <c r="J317" s="11" t="s">
        <v>739</v>
      </c>
      <c r="K317" s="15" t="s">
        <v>951</v>
      </c>
      <c r="L317" s="15" t="s">
        <v>56</v>
      </c>
      <c r="M317" s="11" t="s">
        <v>26</v>
      </c>
      <c r="N317" s="10">
        <v>1984.77</v>
      </c>
      <c r="O317" s="10">
        <v>6103.17</v>
      </c>
      <c r="P317" s="10">
        <v>3</v>
      </c>
      <c r="Q317" s="10">
        <v>112.02</v>
      </c>
      <c r="R317" s="10" t="s">
        <v>66</v>
      </c>
      <c r="S317" s="10">
        <v>588.92999999999995</v>
      </c>
      <c r="T317" s="10">
        <v>114.96</v>
      </c>
      <c r="U317" s="29">
        <v>43672</v>
      </c>
      <c r="V317" s="29">
        <v>47324</v>
      </c>
      <c r="W317" s="10" t="s">
        <v>13</v>
      </c>
      <c r="X317" s="10" t="s">
        <v>17</v>
      </c>
    </row>
    <row r="318" spans="1:24" ht="46.5" customHeight="1" x14ac:dyDescent="0.25">
      <c r="A318" s="10">
        <f t="shared" si="0"/>
        <v>315</v>
      </c>
      <c r="B318" s="11" t="s">
        <v>952</v>
      </c>
      <c r="C318" s="10" t="s">
        <v>953</v>
      </c>
      <c r="D318" s="10" t="s">
        <v>148</v>
      </c>
      <c r="E318" s="10" t="s">
        <v>3</v>
      </c>
      <c r="F318" s="11" t="s">
        <v>954</v>
      </c>
      <c r="G318" s="11"/>
      <c r="H318" s="11"/>
      <c r="I318" s="11">
        <v>1973</v>
      </c>
      <c r="J318" s="11" t="s">
        <v>209</v>
      </c>
      <c r="K318" s="15" t="s">
        <v>210</v>
      </c>
      <c r="L318" s="15" t="s">
        <v>56</v>
      </c>
      <c r="M318" s="11" t="s">
        <v>22</v>
      </c>
      <c r="N318" s="10">
        <v>3595</v>
      </c>
      <c r="O318" s="10">
        <v>16201</v>
      </c>
      <c r="P318" s="10">
        <v>3</v>
      </c>
      <c r="Q318" s="10">
        <v>47</v>
      </c>
      <c r="R318" s="10" t="s">
        <v>66</v>
      </c>
      <c r="S318" s="10">
        <v>353</v>
      </c>
      <c r="T318" s="10">
        <v>50</v>
      </c>
      <c r="U318" s="29">
        <v>43671</v>
      </c>
      <c r="V318" s="29">
        <v>47323</v>
      </c>
      <c r="W318" s="10" t="s">
        <v>10</v>
      </c>
      <c r="X318" s="10" t="s">
        <v>17</v>
      </c>
    </row>
    <row r="319" spans="1:24" ht="46.5" customHeight="1" x14ac:dyDescent="0.25">
      <c r="A319" s="10">
        <f t="shared" si="0"/>
        <v>316</v>
      </c>
      <c r="B319" s="11" t="s">
        <v>955</v>
      </c>
      <c r="C319" s="10" t="s">
        <v>825</v>
      </c>
      <c r="D319" s="10" t="s">
        <v>79</v>
      </c>
      <c r="E319" s="10" t="s">
        <v>0</v>
      </c>
      <c r="F319" s="11" t="s">
        <v>956</v>
      </c>
      <c r="G319" s="11"/>
      <c r="H319" s="11"/>
      <c r="I319" s="11">
        <v>1988</v>
      </c>
      <c r="J319" s="10" t="s">
        <v>848</v>
      </c>
      <c r="K319" s="15" t="s">
        <v>849</v>
      </c>
      <c r="L319" s="15" t="s">
        <v>56</v>
      </c>
      <c r="M319" s="11" t="s">
        <v>22</v>
      </c>
      <c r="N319" s="10">
        <v>1928</v>
      </c>
      <c r="O319" s="10">
        <v>6299</v>
      </c>
      <c r="P319" s="10">
        <v>3</v>
      </c>
      <c r="Q319" s="10">
        <v>195</v>
      </c>
      <c r="R319" s="10" t="s">
        <v>57</v>
      </c>
      <c r="S319" s="10">
        <v>293</v>
      </c>
      <c r="T319" s="10">
        <v>83</v>
      </c>
      <c r="U319" s="29">
        <v>43615</v>
      </c>
      <c r="V319" s="29">
        <v>47267</v>
      </c>
      <c r="W319" s="10" t="s">
        <v>10</v>
      </c>
      <c r="X319" s="10" t="s">
        <v>17</v>
      </c>
    </row>
    <row r="320" spans="1:24" ht="46.5" customHeight="1" x14ac:dyDescent="0.25">
      <c r="A320" s="10">
        <f t="shared" si="0"/>
        <v>317</v>
      </c>
      <c r="B320" s="11" t="s">
        <v>957</v>
      </c>
      <c r="C320" s="10" t="s">
        <v>374</v>
      </c>
      <c r="D320" s="10" t="s">
        <v>79</v>
      </c>
      <c r="E320" s="10" t="s">
        <v>3</v>
      </c>
      <c r="F320" s="11" t="s">
        <v>958</v>
      </c>
      <c r="G320" s="11"/>
      <c r="H320" s="11"/>
      <c r="I320" s="11">
        <v>1966</v>
      </c>
      <c r="J320" s="11" t="s">
        <v>150</v>
      </c>
      <c r="K320" s="15" t="s">
        <v>151</v>
      </c>
      <c r="L320" s="15" t="s">
        <v>56</v>
      </c>
      <c r="M320" s="11" t="s">
        <v>26</v>
      </c>
      <c r="N320" s="10">
        <v>1995</v>
      </c>
      <c r="O320" s="10">
        <v>6982</v>
      </c>
      <c r="P320" s="10">
        <v>3</v>
      </c>
      <c r="Q320" s="10">
        <v>69</v>
      </c>
      <c r="R320" s="10" t="s">
        <v>66</v>
      </c>
      <c r="S320" s="10">
        <v>388</v>
      </c>
      <c r="T320" s="10">
        <v>113</v>
      </c>
      <c r="U320" s="29">
        <v>43615</v>
      </c>
      <c r="V320" s="29">
        <v>47267</v>
      </c>
      <c r="W320" s="10" t="s">
        <v>10</v>
      </c>
      <c r="X320" s="10" t="s">
        <v>17</v>
      </c>
    </row>
    <row r="321" spans="1:24" ht="46.5" customHeight="1" x14ac:dyDescent="0.25">
      <c r="A321" s="10">
        <f t="shared" si="0"/>
        <v>318</v>
      </c>
      <c r="B321" s="11" t="s">
        <v>959</v>
      </c>
      <c r="C321" s="10" t="s">
        <v>960</v>
      </c>
      <c r="D321" s="10" t="s">
        <v>442</v>
      </c>
      <c r="E321" s="10" t="s">
        <v>2</v>
      </c>
      <c r="F321" s="11" t="s">
        <v>961</v>
      </c>
      <c r="G321" s="11"/>
      <c r="H321" s="11"/>
      <c r="I321" s="11">
        <v>1968</v>
      </c>
      <c r="J321" s="20" t="s">
        <v>724</v>
      </c>
      <c r="K321" s="15" t="s">
        <v>725</v>
      </c>
      <c r="L321" s="15" t="s">
        <v>56</v>
      </c>
      <c r="M321" s="11" t="s">
        <v>20</v>
      </c>
      <c r="N321" s="10">
        <v>669.3</v>
      </c>
      <c r="O321" s="10">
        <v>2008</v>
      </c>
      <c r="P321" s="10">
        <v>1</v>
      </c>
      <c r="Q321" s="10">
        <v>61.5</v>
      </c>
      <c r="R321" s="10" t="s">
        <v>66</v>
      </c>
      <c r="S321" s="10">
        <v>479.9</v>
      </c>
      <c r="T321" s="10">
        <v>201.6</v>
      </c>
      <c r="U321" s="29">
        <v>43663</v>
      </c>
      <c r="V321" s="29">
        <v>47315</v>
      </c>
      <c r="W321" s="10" t="s">
        <v>10</v>
      </c>
      <c r="X321" s="10" t="s">
        <v>17</v>
      </c>
    </row>
    <row r="322" spans="1:24" ht="46.5" customHeight="1" x14ac:dyDescent="0.25">
      <c r="A322" s="10">
        <f t="shared" si="0"/>
        <v>319</v>
      </c>
      <c r="B322" s="11" t="s">
        <v>962</v>
      </c>
      <c r="C322" s="10" t="s">
        <v>166</v>
      </c>
      <c r="D322" s="10" t="s">
        <v>79</v>
      </c>
      <c r="E322" s="10" t="s">
        <v>3</v>
      </c>
      <c r="F322" s="11" t="s">
        <v>963</v>
      </c>
      <c r="G322" s="11"/>
      <c r="H322" s="11"/>
      <c r="I322" s="11">
        <v>1972</v>
      </c>
      <c r="J322" s="11" t="s">
        <v>131</v>
      </c>
      <c r="K322" s="15" t="s">
        <v>132</v>
      </c>
      <c r="L322" s="15" t="s">
        <v>56</v>
      </c>
      <c r="M322" s="11" t="s">
        <v>26</v>
      </c>
      <c r="N322" s="10">
        <v>1745</v>
      </c>
      <c r="O322" s="10">
        <v>6998</v>
      </c>
      <c r="P322" s="10">
        <v>2</v>
      </c>
      <c r="Q322" s="10">
        <v>67</v>
      </c>
      <c r="R322" s="10" t="s">
        <v>66</v>
      </c>
      <c r="S322" s="10">
        <v>378</v>
      </c>
      <c r="T322" s="10">
        <v>104</v>
      </c>
      <c r="U322" s="29">
        <v>43615</v>
      </c>
      <c r="V322" s="29">
        <v>47267</v>
      </c>
      <c r="W322" s="10" t="s">
        <v>10</v>
      </c>
      <c r="X322" s="10" t="s">
        <v>17</v>
      </c>
    </row>
    <row r="323" spans="1:24" ht="46.5" customHeight="1" x14ac:dyDescent="0.25">
      <c r="A323" s="10">
        <f t="shared" si="0"/>
        <v>320</v>
      </c>
      <c r="B323" s="11" t="s">
        <v>964</v>
      </c>
      <c r="C323" s="10" t="s">
        <v>284</v>
      </c>
      <c r="D323" s="10" t="s">
        <v>285</v>
      </c>
      <c r="E323" s="10" t="s">
        <v>0</v>
      </c>
      <c r="F323" s="11" t="s">
        <v>965</v>
      </c>
      <c r="G323" s="11"/>
      <c r="H323" s="11"/>
      <c r="I323" s="11">
        <v>1978</v>
      </c>
      <c r="J323" s="11" t="s">
        <v>287</v>
      </c>
      <c r="K323" s="15" t="s">
        <v>625</v>
      </c>
      <c r="L323" s="15" t="str">
        <f>HYPERLINK("https://drive.google.com/open?id=1icl8bnwizmHwmM8URBHMZunokBZ-b2Fp","Сертифікат")</f>
        <v>Сертифікат</v>
      </c>
      <c r="M323" s="11" t="s">
        <v>26</v>
      </c>
      <c r="N323" s="10">
        <v>2956.2</v>
      </c>
      <c r="O323" s="10">
        <v>8159.1</v>
      </c>
      <c r="P323" s="10">
        <v>5</v>
      </c>
      <c r="Q323" s="10">
        <v>308.10000000000002</v>
      </c>
      <c r="R323" s="10" t="s">
        <v>57</v>
      </c>
      <c r="S323" s="10">
        <v>468</v>
      </c>
      <c r="T323" s="10">
        <v>91.4</v>
      </c>
      <c r="U323" s="29">
        <v>43677</v>
      </c>
      <c r="V323" s="29">
        <v>47329</v>
      </c>
      <c r="W323" s="10" t="s">
        <v>13</v>
      </c>
      <c r="X323" s="10" t="s">
        <v>14</v>
      </c>
    </row>
    <row r="324" spans="1:24" ht="46.5" customHeight="1" x14ac:dyDescent="0.25">
      <c r="A324" s="10">
        <f t="shared" si="0"/>
        <v>321</v>
      </c>
      <c r="B324" s="11" t="s">
        <v>966</v>
      </c>
      <c r="C324" s="10" t="s">
        <v>78</v>
      </c>
      <c r="D324" s="10" t="s">
        <v>79</v>
      </c>
      <c r="E324" s="10" t="s">
        <v>5</v>
      </c>
      <c r="F324" s="11" t="s">
        <v>967</v>
      </c>
      <c r="G324" s="11"/>
      <c r="H324" s="11"/>
      <c r="I324" s="11">
        <v>1970</v>
      </c>
      <c r="J324" s="20" t="s">
        <v>54</v>
      </c>
      <c r="K324" s="15" t="str">
        <f>HYPERLINK("https://drive.google.com/open?id=12WC1Bu_lEABhJzMA7VMSl0Xd5ugZr4vK","АА000002")</f>
        <v>АА000002</v>
      </c>
      <c r="L324" s="15" t="str">
        <f>HYPERLINK("https://drive.google.com/open?id=1Z8mtg2xMoH17Y9cqGcgEfUFxbFeKDk4Y","Сертифікат")</f>
        <v>Сертифікат</v>
      </c>
      <c r="M324" s="11" t="s">
        <v>26</v>
      </c>
      <c r="N324" s="10">
        <v>3368</v>
      </c>
      <c r="O324" s="10">
        <v>10946</v>
      </c>
      <c r="P324" s="10">
        <v>4</v>
      </c>
      <c r="Q324" s="10">
        <v>110</v>
      </c>
      <c r="R324" s="10" t="s">
        <v>66</v>
      </c>
      <c r="S324" s="10">
        <v>433</v>
      </c>
      <c r="T324" s="10">
        <v>104</v>
      </c>
      <c r="U324" s="29">
        <v>43615</v>
      </c>
      <c r="V324" s="29">
        <v>47267</v>
      </c>
      <c r="W324" s="10" t="s">
        <v>10</v>
      </c>
      <c r="X324" s="10" t="s">
        <v>17</v>
      </c>
    </row>
    <row r="325" spans="1:24" ht="46.5" customHeight="1" x14ac:dyDescent="0.25">
      <c r="A325" s="10">
        <f t="shared" si="0"/>
        <v>322</v>
      </c>
      <c r="B325" s="11" t="s">
        <v>968</v>
      </c>
      <c r="C325" s="10" t="s">
        <v>371</v>
      </c>
      <c r="D325" s="10" t="s">
        <v>79</v>
      </c>
      <c r="E325" s="10" t="s">
        <v>0</v>
      </c>
      <c r="F325" s="11" t="s">
        <v>969</v>
      </c>
      <c r="G325" s="11"/>
      <c r="H325" s="11"/>
      <c r="I325" s="11">
        <v>1974</v>
      </c>
      <c r="J325" s="10" t="s">
        <v>848</v>
      </c>
      <c r="K325" s="15" t="s">
        <v>849</v>
      </c>
      <c r="L325" s="15" t="str">
        <f>HYPERLINK("https://drive.google.com/open?id=1veab5HV1iRmJHZ_kiHvfPfaugfdj0Huv","Сертифікат")</f>
        <v>Сертифікат</v>
      </c>
      <c r="M325" s="11" t="s">
        <v>26</v>
      </c>
      <c r="N325" s="10">
        <v>1196</v>
      </c>
      <c r="O325" s="10">
        <v>3165</v>
      </c>
      <c r="P325" s="10">
        <v>2</v>
      </c>
      <c r="Q325" s="10">
        <v>308</v>
      </c>
      <c r="R325" s="10" t="s">
        <v>57</v>
      </c>
      <c r="S325" s="10">
        <v>437</v>
      </c>
      <c r="T325" s="10">
        <v>129</v>
      </c>
      <c r="U325" s="29">
        <v>43615</v>
      </c>
      <c r="V325" s="29">
        <v>47267</v>
      </c>
      <c r="W325" s="10" t="s">
        <v>13</v>
      </c>
      <c r="X325" s="10" t="s">
        <v>17</v>
      </c>
    </row>
    <row r="326" spans="1:24" ht="46.5" customHeight="1" x14ac:dyDescent="0.25">
      <c r="A326" s="10">
        <f t="shared" si="0"/>
        <v>323</v>
      </c>
      <c r="B326" s="11" t="s">
        <v>970</v>
      </c>
      <c r="C326" s="10" t="s">
        <v>971</v>
      </c>
      <c r="D326" s="10" t="s">
        <v>174</v>
      </c>
      <c r="E326" s="10" t="s">
        <v>2</v>
      </c>
      <c r="F326" s="11" t="s">
        <v>972</v>
      </c>
      <c r="G326" s="11"/>
      <c r="H326" s="11"/>
      <c r="I326" s="11" t="s">
        <v>157</v>
      </c>
      <c r="J326" s="20" t="s">
        <v>724</v>
      </c>
      <c r="K326" s="15" t="s">
        <v>725</v>
      </c>
      <c r="L326" s="14" t="str">
        <f>HYPERLINK("https://drive.google.com/open?id=1CvWc-FEOkBwC4k5FFF5vU-oM7iqyq094","Сертифікат")</f>
        <v>Сертифікат</v>
      </c>
      <c r="M326" s="11" t="s">
        <v>24</v>
      </c>
      <c r="N326" s="10">
        <v>744.3</v>
      </c>
      <c r="O326" s="10">
        <v>2531</v>
      </c>
      <c r="P326" s="10">
        <v>2</v>
      </c>
      <c r="Q326" s="10">
        <v>90</v>
      </c>
      <c r="R326" s="10" t="s">
        <v>66</v>
      </c>
      <c r="S326" s="10">
        <v>466.7</v>
      </c>
      <c r="T326" s="10">
        <v>177.4</v>
      </c>
      <c r="U326" s="29">
        <v>43665</v>
      </c>
      <c r="V326" s="29">
        <v>47317</v>
      </c>
      <c r="W326" s="10" t="s">
        <v>10</v>
      </c>
      <c r="X326" s="10" t="s">
        <v>17</v>
      </c>
    </row>
    <row r="327" spans="1:24" ht="46.5" customHeight="1" x14ac:dyDescent="0.25">
      <c r="A327" s="10">
        <f t="shared" si="0"/>
        <v>324</v>
      </c>
      <c r="B327" s="11" t="s">
        <v>973</v>
      </c>
      <c r="C327" s="10" t="s">
        <v>974</v>
      </c>
      <c r="D327" s="10" t="s">
        <v>124</v>
      </c>
      <c r="E327" s="10" t="s">
        <v>5</v>
      </c>
      <c r="F327" s="11" t="s">
        <v>975</v>
      </c>
      <c r="G327" s="11"/>
      <c r="H327" s="11"/>
      <c r="I327" s="11">
        <v>1986</v>
      </c>
      <c r="J327" s="20" t="s">
        <v>642</v>
      </c>
      <c r="K327" s="15" t="s">
        <v>643</v>
      </c>
      <c r="L327" s="15" t="str">
        <f>HYPERLINK("https://drive.google.com/open?id=1Yia8TEgoiS8Pme0CJN8s5bMG7ozpnLdE","Сертифікат")</f>
        <v>Сертифікат</v>
      </c>
      <c r="M327" s="11" t="s">
        <v>26</v>
      </c>
      <c r="N327" s="10">
        <v>3238</v>
      </c>
      <c r="O327" s="10">
        <v>9715</v>
      </c>
      <c r="P327" s="10">
        <v>4</v>
      </c>
      <c r="Q327" s="10">
        <v>143.69999999999999</v>
      </c>
      <c r="R327" s="10" t="s">
        <v>66</v>
      </c>
      <c r="S327" s="10">
        <v>535</v>
      </c>
      <c r="T327" s="10">
        <v>135</v>
      </c>
      <c r="U327" s="29">
        <v>43672</v>
      </c>
      <c r="V327" s="29">
        <v>47324</v>
      </c>
      <c r="W327" s="10" t="s">
        <v>10</v>
      </c>
      <c r="X327" s="10" t="s">
        <v>17</v>
      </c>
    </row>
    <row r="328" spans="1:24" ht="46.5" customHeight="1" x14ac:dyDescent="0.25">
      <c r="A328" s="10">
        <f t="shared" si="0"/>
        <v>325</v>
      </c>
      <c r="B328" s="11" t="s">
        <v>977</v>
      </c>
      <c r="C328" s="10" t="s">
        <v>371</v>
      </c>
      <c r="D328" s="10" t="s">
        <v>79</v>
      </c>
      <c r="E328" s="10" t="s">
        <v>0</v>
      </c>
      <c r="F328" s="11" t="s">
        <v>978</v>
      </c>
      <c r="G328" s="11"/>
      <c r="H328" s="11"/>
      <c r="I328" s="11">
        <v>1977</v>
      </c>
      <c r="J328" s="10" t="s">
        <v>848</v>
      </c>
      <c r="K328" s="15" t="s">
        <v>849</v>
      </c>
      <c r="L328" s="15" t="str">
        <f>HYPERLINK("https://drive.google.com/open?id=1FFmJmo_tLkMe_Q4KG-x_coR2lQ2gKEN-","Сертифікат")</f>
        <v>Сертифікат</v>
      </c>
      <c r="M328" s="11" t="s">
        <v>26</v>
      </c>
      <c r="N328" s="10">
        <v>5280</v>
      </c>
      <c r="O328" s="10">
        <v>13200</v>
      </c>
      <c r="P328" s="10">
        <v>5</v>
      </c>
      <c r="Q328" s="10">
        <v>233</v>
      </c>
      <c r="R328" s="10" t="s">
        <v>57</v>
      </c>
      <c r="S328" s="10">
        <v>299</v>
      </c>
      <c r="T328" s="10">
        <v>77</v>
      </c>
      <c r="U328" s="29">
        <v>43615</v>
      </c>
      <c r="V328" s="29">
        <v>47267</v>
      </c>
      <c r="W328" s="10" t="s">
        <v>10</v>
      </c>
      <c r="X328" s="10" t="s">
        <v>17</v>
      </c>
    </row>
    <row r="329" spans="1:24" ht="46.5" customHeight="1" x14ac:dyDescent="0.25">
      <c r="A329" s="10">
        <f t="shared" si="0"/>
        <v>326</v>
      </c>
      <c r="B329" s="11" t="s">
        <v>979</v>
      </c>
      <c r="C329" s="10" t="s">
        <v>243</v>
      </c>
      <c r="D329" s="10" t="s">
        <v>238</v>
      </c>
      <c r="E329" s="10" t="s">
        <v>2</v>
      </c>
      <c r="F329" s="11" t="s">
        <v>980</v>
      </c>
      <c r="G329" s="11"/>
      <c r="H329" s="11"/>
      <c r="I329" s="11" t="s">
        <v>836</v>
      </c>
      <c r="J329" s="11" t="s">
        <v>981</v>
      </c>
      <c r="K329" s="15" t="str">
        <f>HYPERLINK("https://drive.google.com/open?id=1IDQuQux79NT0xtRrkfgG6JOgxOamY1Vd","АА000036")</f>
        <v>АА000036</v>
      </c>
      <c r="L329" s="15" t="str">
        <f>HYPERLINK("https://drive.google.com/open?id=1w7rNpa-VB3wU7l7bfXEMecxaFGGw9Yfi","Сертифікат")</f>
        <v>Сертифікат</v>
      </c>
      <c r="M329" s="11" t="s">
        <v>18</v>
      </c>
      <c r="N329" s="10">
        <v>2512</v>
      </c>
      <c r="O329" s="10">
        <v>8756</v>
      </c>
      <c r="P329" s="10">
        <v>6</v>
      </c>
      <c r="Q329" s="10">
        <v>40.9</v>
      </c>
      <c r="R329" s="10" t="s">
        <v>66</v>
      </c>
      <c r="S329" s="10">
        <v>384</v>
      </c>
      <c r="T329" s="10">
        <v>70</v>
      </c>
      <c r="U329" s="29">
        <v>43678</v>
      </c>
      <c r="V329" s="29">
        <v>47330</v>
      </c>
      <c r="W329" s="10" t="s">
        <v>13</v>
      </c>
      <c r="X329" s="10" t="s">
        <v>17</v>
      </c>
    </row>
    <row r="330" spans="1:24" ht="46.5" customHeight="1" x14ac:dyDescent="0.25">
      <c r="A330" s="10">
        <f t="shared" si="0"/>
        <v>327</v>
      </c>
      <c r="B330" s="11" t="s">
        <v>982</v>
      </c>
      <c r="C330" s="10" t="s">
        <v>983</v>
      </c>
      <c r="D330" s="10" t="s">
        <v>75</v>
      </c>
      <c r="E330" s="10" t="s">
        <v>3</v>
      </c>
      <c r="F330" s="11" t="s">
        <v>984</v>
      </c>
      <c r="G330" s="11"/>
      <c r="H330" s="11"/>
      <c r="I330" s="11">
        <v>1930</v>
      </c>
      <c r="J330" s="11" t="s">
        <v>642</v>
      </c>
      <c r="K330" s="15" t="str">
        <f t="shared" ref="K330:K331" si="3">HYPERLINK("https://drive.google.com/open?id=1cxGxrVWMvCNlS6TwjKIt2Jn85z6h57TB","ЕЕ-036-05-19")</f>
        <v>ЕЕ-036-05-19</v>
      </c>
      <c r="L330" s="15" t="str">
        <f>HYPERLINK("https://drive.google.com/open?id=15O-E3IM7i9zeHkDrAQDtK4KjqiM5b7gu","Сертифікат")</f>
        <v>Сертифікат</v>
      </c>
      <c r="M330" s="11" t="s">
        <v>26</v>
      </c>
      <c r="N330" s="10">
        <v>2076.1</v>
      </c>
      <c r="O330" s="10">
        <v>6691.3</v>
      </c>
      <c r="P330" s="10">
        <v>3</v>
      </c>
      <c r="Q330" s="10">
        <v>77.900000000000006</v>
      </c>
      <c r="R330" s="10" t="s">
        <v>66</v>
      </c>
      <c r="S330" s="10">
        <v>422</v>
      </c>
      <c r="T330" s="10">
        <v>82</v>
      </c>
      <c r="U330" s="29">
        <v>43665</v>
      </c>
      <c r="V330" s="29">
        <v>47317</v>
      </c>
      <c r="W330" s="10" t="s">
        <v>10</v>
      </c>
      <c r="X330" s="10" t="s">
        <v>17</v>
      </c>
    </row>
    <row r="331" spans="1:24" ht="46.5" customHeight="1" x14ac:dyDescent="0.25">
      <c r="A331" s="10">
        <f t="shared" si="0"/>
        <v>328</v>
      </c>
      <c r="B331" s="11" t="s">
        <v>985</v>
      </c>
      <c r="C331" s="10" t="s">
        <v>98</v>
      </c>
      <c r="D331" s="10" t="s">
        <v>75</v>
      </c>
      <c r="E331" s="10" t="s">
        <v>5</v>
      </c>
      <c r="F331" s="11" t="s">
        <v>986</v>
      </c>
      <c r="G331" s="11"/>
      <c r="H331" s="11"/>
      <c r="I331" s="11" t="s">
        <v>987</v>
      </c>
      <c r="J331" s="11" t="s">
        <v>642</v>
      </c>
      <c r="K331" s="15" t="str">
        <f t="shared" si="3"/>
        <v>ЕЕ-036-05-19</v>
      </c>
      <c r="L331" s="15" t="str">
        <f>HYPERLINK("https://drive.google.com/open?id=1a90rYaQwipKBShJ3LbCpuP64FqKa_NR8","Сертифікат")</f>
        <v>Сертифікат</v>
      </c>
      <c r="M331" s="11" t="s">
        <v>26</v>
      </c>
      <c r="N331" s="10">
        <v>1687.2</v>
      </c>
      <c r="O331" s="10">
        <v>6012.7</v>
      </c>
      <c r="P331" s="10">
        <v>2</v>
      </c>
      <c r="Q331" s="10">
        <v>93.8</v>
      </c>
      <c r="R331" s="10" t="s">
        <v>66</v>
      </c>
      <c r="S331" s="10">
        <v>434</v>
      </c>
      <c r="T331" s="10">
        <v>85</v>
      </c>
      <c r="U331" s="29">
        <v>43665</v>
      </c>
      <c r="V331" s="29">
        <v>47317</v>
      </c>
      <c r="W331" s="10" t="s">
        <v>10</v>
      </c>
      <c r="X331" s="10" t="s">
        <v>17</v>
      </c>
    </row>
    <row r="332" spans="1:24" ht="46.5" customHeight="1" x14ac:dyDescent="0.25">
      <c r="A332" s="10">
        <f t="shared" si="0"/>
        <v>329</v>
      </c>
      <c r="B332" s="11" t="s">
        <v>988</v>
      </c>
      <c r="C332" s="10" t="s">
        <v>166</v>
      </c>
      <c r="D332" s="10" t="s">
        <v>79</v>
      </c>
      <c r="E332" s="10" t="s">
        <v>3</v>
      </c>
      <c r="F332" s="11" t="s">
        <v>989</v>
      </c>
      <c r="G332" s="11"/>
      <c r="H332" s="11"/>
      <c r="I332" s="11">
        <v>1972</v>
      </c>
      <c r="J332" s="11" t="s">
        <v>131</v>
      </c>
      <c r="K332" s="15" t="str">
        <f>HYPERLINK("https://drive.google.com/open?id=1bdpHjTzNTfYTdNA3BLvkRIOAK0oqnywr","СБ-0028")</f>
        <v>СБ-0028</v>
      </c>
      <c r="L332" s="15" t="str">
        <f>HYPERLINK("https://drive.google.com/open?id=1X2NqS9hvroo6ss3FpxsSwBvo3CMem4-3","Сертифікат")</f>
        <v>Сертифікат</v>
      </c>
      <c r="M332" s="11" t="s">
        <v>26</v>
      </c>
      <c r="N332" s="10">
        <v>2471</v>
      </c>
      <c r="O332" s="10">
        <v>9624</v>
      </c>
      <c r="P332" s="10">
        <v>2</v>
      </c>
      <c r="Q332" s="10">
        <v>65</v>
      </c>
      <c r="R332" s="10" t="s">
        <v>66</v>
      </c>
      <c r="S332" s="10">
        <v>378</v>
      </c>
      <c r="T332" s="10">
        <v>107</v>
      </c>
      <c r="U332" s="29">
        <v>43615</v>
      </c>
      <c r="V332" s="29">
        <v>47267</v>
      </c>
      <c r="W332" s="10" t="s">
        <v>10</v>
      </c>
      <c r="X332" s="10" t="s">
        <v>17</v>
      </c>
    </row>
    <row r="333" spans="1:24" ht="46.5" customHeight="1" x14ac:dyDescent="0.25">
      <c r="A333" s="10">
        <f t="shared" si="0"/>
        <v>330</v>
      </c>
      <c r="B333" s="11" t="s">
        <v>990</v>
      </c>
      <c r="C333" s="10" t="s">
        <v>85</v>
      </c>
      <c r="D333" s="10" t="s">
        <v>86</v>
      </c>
      <c r="E333" s="10" t="s">
        <v>0</v>
      </c>
      <c r="F333" s="11" t="s">
        <v>991</v>
      </c>
      <c r="G333" s="11"/>
      <c r="H333" s="11"/>
      <c r="I333" s="11">
        <v>2019</v>
      </c>
      <c r="J333" s="11" t="s">
        <v>992</v>
      </c>
      <c r="K333" s="15" t="str">
        <f>HYPERLINK("https://drive.google.com/open?id=1YahV5U6nzJHToaX4SQsiE71O2xlIaiiy","ОД 02071010/0301-19")</f>
        <v>ОД 02071010/0301-19</v>
      </c>
      <c r="L333" s="15" t="str">
        <f>HYPERLINK("https://drive.google.com/open?id=1HU07BYVvfIdslMLab9OZ0r1mqAvOI4UK","Сертифікат")</f>
        <v>Сертифікат</v>
      </c>
      <c r="M333" s="11" t="s">
        <v>22</v>
      </c>
      <c r="N333" s="10">
        <v>10848.6</v>
      </c>
      <c r="O333" s="10">
        <v>32798.800000000003</v>
      </c>
      <c r="P333" s="10">
        <v>11</v>
      </c>
      <c r="Q333" s="10">
        <v>129.6</v>
      </c>
      <c r="R333" s="10" t="s">
        <v>57</v>
      </c>
      <c r="S333" s="10">
        <v>189.7</v>
      </c>
      <c r="T333" s="10">
        <v>36.299999999999997</v>
      </c>
      <c r="U333" s="29">
        <v>43671</v>
      </c>
      <c r="V333" s="29">
        <v>47323</v>
      </c>
      <c r="W333" s="10" t="s">
        <v>13</v>
      </c>
      <c r="X333" s="10" t="s">
        <v>17</v>
      </c>
    </row>
    <row r="334" spans="1:24" ht="46.5" customHeight="1" x14ac:dyDescent="0.25">
      <c r="A334" s="10">
        <f t="shared" si="0"/>
        <v>331</v>
      </c>
      <c r="B334" s="11" t="s">
        <v>988</v>
      </c>
      <c r="C334" s="10" t="s">
        <v>166</v>
      </c>
      <c r="D334" s="10" t="s">
        <v>79</v>
      </c>
      <c r="E334" s="10" t="s">
        <v>3</v>
      </c>
      <c r="F334" s="11" t="s">
        <v>993</v>
      </c>
      <c r="G334" s="11"/>
      <c r="H334" s="11"/>
      <c r="I334" s="11">
        <v>1972</v>
      </c>
      <c r="J334" s="11" t="s">
        <v>131</v>
      </c>
      <c r="K334" s="15" t="str">
        <f>HYPERLINK("https://drive.google.com/open?id=1bdpHjTzNTfYTdNA3BLvkRIOAK0oqnywr","СБ-0028")</f>
        <v>СБ-0028</v>
      </c>
      <c r="L334" s="15" t="str">
        <f>HYPERLINK("https://drive.google.com/open?id=1sfDrb1gXfc7vg7q7gD8SHX2J_aIwFiq6","Сертифікат")</f>
        <v>Сертифікат</v>
      </c>
      <c r="M334" s="11" t="s">
        <v>26</v>
      </c>
      <c r="N334" s="10">
        <v>2535</v>
      </c>
      <c r="O334" s="10">
        <v>7985</v>
      </c>
      <c r="P334" s="10">
        <v>4</v>
      </c>
      <c r="Q334" s="10">
        <v>74</v>
      </c>
      <c r="R334" s="10" t="s">
        <v>66</v>
      </c>
      <c r="S334" s="10">
        <v>350</v>
      </c>
      <c r="T334" s="10">
        <v>100</v>
      </c>
      <c r="U334" s="29">
        <v>43615</v>
      </c>
      <c r="V334" s="29">
        <v>47267</v>
      </c>
      <c r="W334" s="10" t="s">
        <v>10</v>
      </c>
      <c r="X334" s="10" t="s">
        <v>17</v>
      </c>
    </row>
    <row r="335" spans="1:24" ht="46.5" customHeight="1" x14ac:dyDescent="0.25">
      <c r="A335" s="10">
        <f t="shared" si="0"/>
        <v>332</v>
      </c>
      <c r="B335" s="11" t="s">
        <v>994</v>
      </c>
      <c r="C335" s="10" t="s">
        <v>74</v>
      </c>
      <c r="D335" s="10" t="s">
        <v>75</v>
      </c>
      <c r="E335" s="10" t="s">
        <v>2</v>
      </c>
      <c r="F335" s="11" t="s">
        <v>995</v>
      </c>
      <c r="G335" s="11"/>
      <c r="H335" s="11"/>
      <c r="I335" s="11">
        <v>2019</v>
      </c>
      <c r="J335" s="11" t="s">
        <v>996</v>
      </c>
      <c r="K335" s="15" t="str">
        <f>HYPERLINK("https://drive.google.com/open?id=1t1U1B-Dcl65fJeefDUPkygcXwkZ4v3nl","АА000018")</f>
        <v>АА000018</v>
      </c>
      <c r="L335" s="15" t="str">
        <f>HYPERLINK("https://drive.google.com/open?id=1mH-6iq7jRT67rCJyxsmKjZsMsUQu6LaA","Сертифікат")</f>
        <v>Сертифікат</v>
      </c>
      <c r="M335" s="11" t="s">
        <v>15</v>
      </c>
      <c r="N335" s="10">
        <v>2758.73</v>
      </c>
      <c r="O335" s="10">
        <v>8276.19</v>
      </c>
      <c r="P335" s="10">
        <v>6</v>
      </c>
      <c r="Q335" s="10">
        <v>34.1</v>
      </c>
      <c r="R335" s="10" t="s">
        <v>66</v>
      </c>
      <c r="S335" s="10">
        <v>45.4</v>
      </c>
      <c r="T335" s="10">
        <v>112</v>
      </c>
      <c r="U335" s="29">
        <v>43672</v>
      </c>
      <c r="V335" s="29">
        <v>47324</v>
      </c>
      <c r="W335" s="10" t="s">
        <v>13</v>
      </c>
      <c r="X335" s="10" t="s">
        <v>17</v>
      </c>
    </row>
    <row r="336" spans="1:24" ht="46.5" customHeight="1" x14ac:dyDescent="0.25">
      <c r="A336" s="10">
        <f t="shared" si="0"/>
        <v>333</v>
      </c>
      <c r="B336" s="11" t="s">
        <v>976</v>
      </c>
      <c r="C336" s="10" t="s">
        <v>359</v>
      </c>
      <c r="D336" s="10" t="s">
        <v>124</v>
      </c>
      <c r="E336" s="10" t="s">
        <v>5</v>
      </c>
      <c r="F336" s="11" t="s">
        <v>997</v>
      </c>
      <c r="G336" s="11"/>
      <c r="H336" s="11"/>
      <c r="I336" s="11">
        <v>1977</v>
      </c>
      <c r="J336" s="11" t="s">
        <v>642</v>
      </c>
      <c r="K336" s="15" t="str">
        <f t="shared" ref="K336:K339" si="4">HYPERLINK("https://drive.google.com/open?id=1cxGxrVWMvCNlS6TwjKIt2Jn85z6h57TB","ЕЕ-036-05-19")</f>
        <v>ЕЕ-036-05-19</v>
      </c>
      <c r="L336" s="15" t="str">
        <f>HYPERLINK("https://drive.google.com/open?id=1xrpxSRRVujRfKI2lmuPxz2uAz0fo7WjI","Сертифікат")</f>
        <v>Сертифікат</v>
      </c>
      <c r="M336" s="11" t="s">
        <v>26</v>
      </c>
      <c r="N336" s="10">
        <v>3150.6</v>
      </c>
      <c r="O336" s="10">
        <v>10228.4</v>
      </c>
      <c r="P336" s="10">
        <v>4</v>
      </c>
      <c r="Q336" s="10">
        <v>137.19999999999999</v>
      </c>
      <c r="R336" s="10" t="s">
        <v>66</v>
      </c>
      <c r="S336" s="10">
        <v>718</v>
      </c>
      <c r="T336" s="10">
        <v>140</v>
      </c>
      <c r="U336" s="29">
        <v>43671</v>
      </c>
      <c r="V336" s="29">
        <v>47323</v>
      </c>
      <c r="W336" s="10" t="s">
        <v>10</v>
      </c>
      <c r="X336" s="10" t="s">
        <v>17</v>
      </c>
    </row>
    <row r="337" spans="1:24" ht="46.5" customHeight="1" x14ac:dyDescent="0.25">
      <c r="A337" s="10">
        <f t="shared" si="0"/>
        <v>334</v>
      </c>
      <c r="B337" s="11" t="s">
        <v>998</v>
      </c>
      <c r="C337" s="10" t="s">
        <v>98</v>
      </c>
      <c r="D337" s="10" t="s">
        <v>75</v>
      </c>
      <c r="E337" s="10" t="s">
        <v>5</v>
      </c>
      <c r="F337" s="11" t="s">
        <v>999</v>
      </c>
      <c r="G337" s="11"/>
      <c r="H337" s="11"/>
      <c r="I337" s="11" t="s">
        <v>1000</v>
      </c>
      <c r="J337" s="11" t="s">
        <v>642</v>
      </c>
      <c r="K337" s="15" t="str">
        <f t="shared" si="4"/>
        <v>ЕЕ-036-05-19</v>
      </c>
      <c r="L337" s="15" t="str">
        <f>HYPERLINK("https://drive.google.com/open?id=1Bou23O6-KvT6bgGK3okzR0cdn39dah0U","Сертифікат")</f>
        <v>Сертифікат</v>
      </c>
      <c r="M337" s="11" t="s">
        <v>26</v>
      </c>
      <c r="N337" s="10">
        <v>914.2</v>
      </c>
      <c r="O337" s="10">
        <v>2879.7</v>
      </c>
      <c r="P337" s="10">
        <v>2</v>
      </c>
      <c r="Q337" s="10">
        <v>404.9</v>
      </c>
      <c r="R337" s="10" t="s">
        <v>57</v>
      </c>
      <c r="S337" s="10">
        <v>606</v>
      </c>
      <c r="T337" s="10">
        <v>116</v>
      </c>
      <c r="U337" s="29">
        <v>43669</v>
      </c>
      <c r="V337" s="29">
        <v>47321</v>
      </c>
      <c r="W337" s="10" t="s">
        <v>13</v>
      </c>
      <c r="X337" s="10" t="s">
        <v>17</v>
      </c>
    </row>
    <row r="338" spans="1:24" ht="46.5" customHeight="1" x14ac:dyDescent="0.25">
      <c r="A338" s="10">
        <f t="shared" si="0"/>
        <v>335</v>
      </c>
      <c r="B338" s="11" t="s">
        <v>998</v>
      </c>
      <c r="C338" s="10" t="s">
        <v>98</v>
      </c>
      <c r="D338" s="10" t="s">
        <v>75</v>
      </c>
      <c r="E338" s="10" t="s">
        <v>5</v>
      </c>
      <c r="F338" s="11" t="s">
        <v>1001</v>
      </c>
      <c r="G338" s="11"/>
      <c r="H338" s="11"/>
      <c r="I338" s="11" t="s">
        <v>1000</v>
      </c>
      <c r="J338" s="11" t="s">
        <v>642</v>
      </c>
      <c r="K338" s="15" t="str">
        <f t="shared" si="4"/>
        <v>ЕЕ-036-05-19</v>
      </c>
      <c r="L338" s="15" t="str">
        <f>HYPERLINK("https://drive.google.com/open?id=1Krp6uJFy3E7DSLYyiN-j7BTPRrlvkFsC","Сертифікат")</f>
        <v>Сертифікат</v>
      </c>
      <c r="M338" s="11" t="s">
        <v>26</v>
      </c>
      <c r="N338" s="10">
        <v>912.2</v>
      </c>
      <c r="O338" s="10">
        <v>2879.7</v>
      </c>
      <c r="P338" s="10">
        <v>2</v>
      </c>
      <c r="Q338" s="10">
        <v>401.2</v>
      </c>
      <c r="R338" s="10" t="s">
        <v>57</v>
      </c>
      <c r="S338" s="10">
        <v>593</v>
      </c>
      <c r="T338" s="10">
        <v>114</v>
      </c>
      <c r="U338" s="29">
        <v>43669</v>
      </c>
      <c r="V338" s="29">
        <v>47321</v>
      </c>
      <c r="W338" s="10" t="s">
        <v>13</v>
      </c>
      <c r="X338" s="10" t="s">
        <v>17</v>
      </c>
    </row>
    <row r="339" spans="1:24" ht="46.5" customHeight="1" x14ac:dyDescent="0.25">
      <c r="A339" s="10">
        <f t="shared" si="0"/>
        <v>336</v>
      </c>
      <c r="B339" s="11" t="s">
        <v>998</v>
      </c>
      <c r="C339" s="10" t="s">
        <v>98</v>
      </c>
      <c r="D339" s="10" t="s">
        <v>75</v>
      </c>
      <c r="E339" s="10" t="s">
        <v>5</v>
      </c>
      <c r="F339" s="11" t="s">
        <v>1002</v>
      </c>
      <c r="G339" s="11"/>
      <c r="H339" s="11"/>
      <c r="I339" s="11" t="s">
        <v>1000</v>
      </c>
      <c r="J339" s="11" t="s">
        <v>642</v>
      </c>
      <c r="K339" s="15" t="str">
        <f t="shared" si="4"/>
        <v>ЕЕ-036-05-19</v>
      </c>
      <c r="L339" s="15" t="str">
        <f>HYPERLINK("https://drive.google.com/open?id=1UzhYHbC0c8nVplxdgFjRUZx1_c8qXSUS","Сертифікат")</f>
        <v>Сертифікат</v>
      </c>
      <c r="M339" s="11" t="s">
        <v>26</v>
      </c>
      <c r="N339" s="10">
        <v>329.7</v>
      </c>
      <c r="O339" s="10">
        <v>956.1</v>
      </c>
      <c r="P339" s="10">
        <v>1</v>
      </c>
      <c r="Q339" s="10">
        <v>215.2</v>
      </c>
      <c r="R339" s="10" t="s">
        <v>66</v>
      </c>
      <c r="S339" s="10">
        <v>830</v>
      </c>
      <c r="T339" s="10">
        <v>163</v>
      </c>
      <c r="U339" s="29">
        <v>43671</v>
      </c>
      <c r="V339" s="29">
        <v>47323</v>
      </c>
      <c r="W339" s="10" t="s">
        <v>10</v>
      </c>
      <c r="X339" s="10" t="s">
        <v>17</v>
      </c>
    </row>
    <row r="340" spans="1:24" ht="46.5" customHeight="1" x14ac:dyDescent="0.25">
      <c r="A340" s="10">
        <f t="shared" si="0"/>
        <v>337</v>
      </c>
      <c r="B340" s="11" t="s">
        <v>1003</v>
      </c>
      <c r="C340" s="10" t="s">
        <v>359</v>
      </c>
      <c r="D340" s="10" t="s">
        <v>124</v>
      </c>
      <c r="E340" s="10" t="s">
        <v>3</v>
      </c>
      <c r="F340" s="11" t="s">
        <v>1004</v>
      </c>
      <c r="G340" s="11"/>
      <c r="H340" s="11"/>
      <c r="I340" s="11">
        <v>1972</v>
      </c>
      <c r="J340" s="11" t="s">
        <v>668</v>
      </c>
      <c r="K340" s="15" t="str">
        <f>HYPERLINK("https://drive.google.com/open?id=1NSlpy3KnsggBDFhLrg81QLR2deMl7d6Q","АА000077")</f>
        <v>АА000077</v>
      </c>
      <c r="L340" s="15" t="str">
        <f>HYPERLINK("https://drive.google.com/open?id=1ELWratAjaYvfXcWYupwiLqBzD2gLauwS","Сертифікат")</f>
        <v>Сертифікат</v>
      </c>
      <c r="M340" s="11" t="s">
        <v>26</v>
      </c>
      <c r="N340" s="10">
        <v>7649.2</v>
      </c>
      <c r="O340" s="10">
        <v>14158</v>
      </c>
      <c r="P340" s="10">
        <v>4</v>
      </c>
      <c r="Q340" s="10">
        <v>193.6</v>
      </c>
      <c r="R340" s="10" t="s">
        <v>66</v>
      </c>
      <c r="S340" s="10">
        <v>467.9</v>
      </c>
      <c r="T340" s="10">
        <v>118.4</v>
      </c>
      <c r="U340" s="29">
        <v>43679</v>
      </c>
      <c r="V340" s="29">
        <v>47331</v>
      </c>
      <c r="W340" s="10" t="s">
        <v>13</v>
      </c>
      <c r="X340" s="10" t="s">
        <v>17</v>
      </c>
    </row>
    <row r="341" spans="1:24" ht="46.5" customHeight="1" x14ac:dyDescent="0.25">
      <c r="A341" s="10">
        <f t="shared" si="0"/>
        <v>338</v>
      </c>
      <c r="B341" s="11" t="s">
        <v>1005</v>
      </c>
      <c r="C341" s="10" t="s">
        <v>68</v>
      </c>
      <c r="D341" s="10" t="s">
        <v>69</v>
      </c>
      <c r="E341" s="10" t="s">
        <v>2</v>
      </c>
      <c r="F341" s="11" t="s">
        <v>1006</v>
      </c>
      <c r="G341" s="11"/>
      <c r="H341" s="11"/>
      <c r="I341" s="11">
        <v>1985</v>
      </c>
      <c r="J341" s="11" t="s">
        <v>110</v>
      </c>
      <c r="K341" s="15" t="str">
        <f>HYPERLINK("https://drive.google.com/open?id=1hysLLNyTDspucV_3Tt8ScCWEgMedd8bv","1/010")</f>
        <v>1/010</v>
      </c>
      <c r="L341" s="15" t="str">
        <f>HYPERLINK("https://drive.google.com/open?id=17JeRfn-2VhWSD5k637OPLRpPn6-pNT-r","Сертифікат")</f>
        <v>Сертифікат</v>
      </c>
      <c r="M341" s="11" t="s">
        <v>26</v>
      </c>
      <c r="N341" s="10">
        <v>2751.4</v>
      </c>
      <c r="O341" s="10">
        <v>8804.5</v>
      </c>
      <c r="P341" s="10">
        <v>4</v>
      </c>
      <c r="Q341" s="10">
        <v>94.75</v>
      </c>
      <c r="R341" s="10" t="s">
        <v>66</v>
      </c>
      <c r="S341" s="10">
        <v>384.49</v>
      </c>
      <c r="T341" s="10">
        <v>75.87</v>
      </c>
      <c r="U341" s="29">
        <v>43679</v>
      </c>
      <c r="V341" s="29">
        <v>47331</v>
      </c>
      <c r="W341" s="10" t="s">
        <v>13</v>
      </c>
      <c r="X341" s="10" t="s">
        <v>17</v>
      </c>
    </row>
    <row r="342" spans="1:24" ht="46.5" customHeight="1" x14ac:dyDescent="0.25">
      <c r="A342" s="10">
        <f t="shared" si="0"/>
        <v>339</v>
      </c>
      <c r="B342" s="11" t="s">
        <v>1007</v>
      </c>
      <c r="C342" s="10" t="s">
        <v>345</v>
      </c>
      <c r="D342" s="10" t="s">
        <v>79</v>
      </c>
      <c r="E342" s="10" t="s">
        <v>0</v>
      </c>
      <c r="F342" s="11" t="s">
        <v>1008</v>
      </c>
      <c r="G342" s="11"/>
      <c r="H342" s="11"/>
      <c r="I342" s="11">
        <v>1992</v>
      </c>
      <c r="J342" s="11" t="s">
        <v>848</v>
      </c>
      <c r="K342" s="15" t="s">
        <v>849</v>
      </c>
      <c r="L342" s="15" t="str">
        <f>HYPERLINK("https://drive.google.com/open?id=1Swg8pPzqwFO5y6sgiftR_vJpENtJFmFq","Сертифікат")</f>
        <v>Сертифікат</v>
      </c>
      <c r="M342" s="11" t="s">
        <v>26</v>
      </c>
      <c r="N342" s="10">
        <v>6923</v>
      </c>
      <c r="O342" s="10">
        <v>20424</v>
      </c>
      <c r="P342" s="10">
        <v>5</v>
      </c>
      <c r="Q342" s="10">
        <v>202</v>
      </c>
      <c r="R342" s="10" t="s">
        <v>57</v>
      </c>
      <c r="S342" s="10">
        <v>380</v>
      </c>
      <c r="T342" s="10">
        <v>133</v>
      </c>
      <c r="U342" s="29">
        <v>43615</v>
      </c>
      <c r="V342" s="29">
        <v>47267</v>
      </c>
      <c r="W342" s="10" t="s">
        <v>10</v>
      </c>
      <c r="X342" s="10" t="s">
        <v>17</v>
      </c>
    </row>
    <row r="343" spans="1:24" ht="46.5" customHeight="1" x14ac:dyDescent="0.25">
      <c r="A343" s="10">
        <f t="shared" si="0"/>
        <v>340</v>
      </c>
      <c r="B343" s="11" t="s">
        <v>841</v>
      </c>
      <c r="C343" s="10" t="s">
        <v>243</v>
      </c>
      <c r="D343" s="10" t="s">
        <v>238</v>
      </c>
      <c r="E343" s="10" t="s">
        <v>0</v>
      </c>
      <c r="F343" s="11" t="s">
        <v>1009</v>
      </c>
      <c r="G343" s="11"/>
      <c r="H343" s="11"/>
      <c r="I343" s="11" t="s">
        <v>1010</v>
      </c>
      <c r="J343" s="11" t="s">
        <v>843</v>
      </c>
      <c r="K343" s="15" t="str">
        <f>HYPERLINK("https://drive.google.com/open?id=17KtRSyjmLaDiewjK-BWiyP5RCeXuyEaI","ХР 000013")</f>
        <v>ХР 000013</v>
      </c>
      <c r="L343" s="15" t="str">
        <f>HYPERLINK("https://drive.google.com/open?id=1FdHLMzTRLkiT_e5besg2qD0116DuLSiP","Сертифікат")</f>
        <v>Сертифікат</v>
      </c>
      <c r="M343" s="11" t="s">
        <v>18</v>
      </c>
      <c r="N343" s="10">
        <v>5624</v>
      </c>
      <c r="O343" s="10">
        <v>16872</v>
      </c>
      <c r="P343" s="10">
        <v>9</v>
      </c>
      <c r="Q343" s="10">
        <v>82.15</v>
      </c>
      <c r="R343" s="10" t="s">
        <v>57</v>
      </c>
      <c r="S343" s="10">
        <v>137.80000000000001</v>
      </c>
      <c r="T343" s="10">
        <v>27</v>
      </c>
      <c r="U343" s="29">
        <v>43679</v>
      </c>
      <c r="V343" s="29">
        <v>47331</v>
      </c>
      <c r="W343" s="10" t="s">
        <v>10</v>
      </c>
      <c r="X343" s="10" t="s">
        <v>17</v>
      </c>
    </row>
    <row r="344" spans="1:24" ht="46.5" customHeight="1" x14ac:dyDescent="0.25">
      <c r="A344" s="10">
        <f t="shared" si="0"/>
        <v>341</v>
      </c>
      <c r="B344" s="11" t="s">
        <v>1011</v>
      </c>
      <c r="C344" s="10" t="s">
        <v>374</v>
      </c>
      <c r="D344" s="10" t="s">
        <v>79</v>
      </c>
      <c r="E344" s="10" t="s">
        <v>3</v>
      </c>
      <c r="F344" s="11" t="s">
        <v>1012</v>
      </c>
      <c r="G344" s="11"/>
      <c r="H344" s="11"/>
      <c r="I344" s="11">
        <v>1977</v>
      </c>
      <c r="J344" s="11" t="s">
        <v>54</v>
      </c>
      <c r="K344" s="15" t="s">
        <v>55</v>
      </c>
      <c r="L344" s="15" t="str">
        <f>HYPERLINK("https://drive.google.com/open?id=1vbVhMYKSoeiqq8OUdqPcfyjncTEWuE-W","Сертифікат")</f>
        <v>Сертифікат</v>
      </c>
      <c r="M344" s="11" t="s">
        <v>26</v>
      </c>
      <c r="N344" s="10">
        <v>3616</v>
      </c>
      <c r="O344" s="10">
        <v>10739</v>
      </c>
      <c r="P344" s="10">
        <v>4</v>
      </c>
      <c r="Q344" s="10">
        <v>80</v>
      </c>
      <c r="R344" s="10" t="s">
        <v>66</v>
      </c>
      <c r="S344" s="10">
        <v>334</v>
      </c>
      <c r="T344" s="10">
        <v>91</v>
      </c>
      <c r="U344" s="29">
        <v>43615</v>
      </c>
      <c r="V344" s="29">
        <v>47267</v>
      </c>
      <c r="W344" s="10" t="s">
        <v>10</v>
      </c>
      <c r="X344" s="10" t="s">
        <v>17</v>
      </c>
    </row>
    <row r="345" spans="1:24" ht="46.5" customHeight="1" x14ac:dyDescent="0.25">
      <c r="A345" s="10">
        <f t="shared" si="0"/>
        <v>342</v>
      </c>
      <c r="B345" s="11" t="s">
        <v>1013</v>
      </c>
      <c r="C345" s="10" t="s">
        <v>374</v>
      </c>
      <c r="D345" s="10" t="s">
        <v>79</v>
      </c>
      <c r="E345" s="10" t="s">
        <v>3</v>
      </c>
      <c r="F345" s="11" t="s">
        <v>1014</v>
      </c>
      <c r="G345" s="11"/>
      <c r="H345" s="11"/>
      <c r="I345" s="11">
        <v>1966</v>
      </c>
      <c r="J345" s="11" t="s">
        <v>150</v>
      </c>
      <c r="K345" s="15" t="s">
        <v>151</v>
      </c>
      <c r="L345" s="15" t="str">
        <f>HYPERLINK("https://drive.google.com/open?id=1b3ygGcSWY5V2U38YeGR32twCr8pBrzLX","Сертифікат")</f>
        <v>Сертифікат</v>
      </c>
      <c r="M345" s="11" t="s">
        <v>26</v>
      </c>
      <c r="N345" s="10">
        <v>953</v>
      </c>
      <c r="O345" s="10">
        <v>3909</v>
      </c>
      <c r="P345" s="10">
        <v>1</v>
      </c>
      <c r="Q345" s="10">
        <v>73</v>
      </c>
      <c r="R345" s="10" t="s">
        <v>66</v>
      </c>
      <c r="S345" s="10">
        <v>451</v>
      </c>
      <c r="T345" s="10">
        <v>128</v>
      </c>
      <c r="U345" s="29">
        <v>43615</v>
      </c>
      <c r="V345" s="29">
        <v>47267</v>
      </c>
      <c r="W345" s="10" t="s">
        <v>10</v>
      </c>
      <c r="X345" s="10" t="s">
        <v>17</v>
      </c>
    </row>
    <row r="346" spans="1:24" ht="46.5" customHeight="1" x14ac:dyDescent="0.25">
      <c r="A346" s="10">
        <f t="shared" si="0"/>
        <v>343</v>
      </c>
      <c r="B346" s="11" t="s">
        <v>1015</v>
      </c>
      <c r="C346" s="10" t="s">
        <v>1016</v>
      </c>
      <c r="D346" s="10" t="s">
        <v>79</v>
      </c>
      <c r="E346" s="10" t="s">
        <v>3</v>
      </c>
      <c r="F346" s="11" t="s">
        <v>1017</v>
      </c>
      <c r="G346" s="11"/>
      <c r="H346" s="11"/>
      <c r="I346" s="11">
        <v>1967</v>
      </c>
      <c r="J346" s="11" t="s">
        <v>131</v>
      </c>
      <c r="K346" s="15" t="str">
        <f>HYPERLINK("https://drive.google.com/open?id=1bdpHjTzNTfYTdNA3BLvkRIOAK0oqnywr","СБ-0028")</f>
        <v>СБ-0028</v>
      </c>
      <c r="L346" s="15" t="str">
        <f>HYPERLINK("https://drive.google.com/open?id=1koLlm5iXonGPEYxhi-GRByk7oOU5OlJ9","Сертифікат")</f>
        <v>Сертифікат</v>
      </c>
      <c r="M346" s="11" t="s">
        <v>26</v>
      </c>
      <c r="N346" s="10">
        <v>1716</v>
      </c>
      <c r="O346" s="10">
        <v>5611</v>
      </c>
      <c r="P346" s="10">
        <v>2</v>
      </c>
      <c r="Q346" s="10">
        <v>81</v>
      </c>
      <c r="R346" s="10" t="s">
        <v>66</v>
      </c>
      <c r="S346" s="10">
        <v>382</v>
      </c>
      <c r="T346" s="10">
        <v>103</v>
      </c>
      <c r="U346" s="29">
        <v>43615</v>
      </c>
      <c r="V346" s="29">
        <v>47267</v>
      </c>
      <c r="W346" s="10" t="s">
        <v>10</v>
      </c>
      <c r="X346" s="10" t="s">
        <v>17</v>
      </c>
    </row>
    <row r="347" spans="1:24" ht="46.5" customHeight="1" x14ac:dyDescent="0.25">
      <c r="A347" s="10">
        <f t="shared" si="0"/>
        <v>344</v>
      </c>
      <c r="B347" s="11" t="s">
        <v>1013</v>
      </c>
      <c r="C347" s="10" t="s">
        <v>374</v>
      </c>
      <c r="D347" s="10" t="s">
        <v>79</v>
      </c>
      <c r="E347" s="10" t="s">
        <v>3</v>
      </c>
      <c r="F347" s="11" t="s">
        <v>1018</v>
      </c>
      <c r="G347" s="11"/>
      <c r="H347" s="11"/>
      <c r="I347" s="11">
        <v>1970</v>
      </c>
      <c r="J347" s="11" t="s">
        <v>150</v>
      </c>
      <c r="K347" s="15" t="s">
        <v>151</v>
      </c>
      <c r="L347" s="15" t="str">
        <f>HYPERLINK("https://drive.google.com/open?id=1MRMKcfWjDDKIrLfK-s01xK_4ViiMmFDU","Сертифікат")</f>
        <v>Сертифікат</v>
      </c>
      <c r="M347" s="11" t="s">
        <v>26</v>
      </c>
      <c r="N347" s="10">
        <v>3684</v>
      </c>
      <c r="O347" s="10">
        <v>12159</v>
      </c>
      <c r="P347" s="10">
        <v>3</v>
      </c>
      <c r="Q347" s="10">
        <v>63</v>
      </c>
      <c r="R347" s="10" t="s">
        <v>66</v>
      </c>
      <c r="S347" s="10">
        <v>371</v>
      </c>
      <c r="T347" s="10">
        <v>113</v>
      </c>
      <c r="U347" s="29">
        <v>43615</v>
      </c>
      <c r="V347" s="29">
        <v>47267</v>
      </c>
      <c r="W347" s="10" t="s">
        <v>10</v>
      </c>
      <c r="X347" s="10" t="s">
        <v>17</v>
      </c>
    </row>
    <row r="348" spans="1:24" ht="46.5" customHeight="1" x14ac:dyDescent="0.25">
      <c r="A348" s="10">
        <f t="shared" si="0"/>
        <v>345</v>
      </c>
      <c r="B348" s="11" t="s">
        <v>1019</v>
      </c>
      <c r="C348" s="10" t="s">
        <v>357</v>
      </c>
      <c r="D348" s="10" t="s">
        <v>142</v>
      </c>
      <c r="E348" s="10" t="s">
        <v>0</v>
      </c>
      <c r="F348" s="11" t="s">
        <v>1020</v>
      </c>
      <c r="G348" s="11"/>
      <c r="H348" s="11"/>
      <c r="I348" s="11">
        <v>1978</v>
      </c>
      <c r="J348" s="11" t="s">
        <v>209</v>
      </c>
      <c r="K348" s="15" t="s">
        <v>210</v>
      </c>
      <c r="L348" s="15" t="str">
        <f>HYPERLINK("https://drive.google.com/open?id=16kl9D_eYsxsuqLHyLuXEF7mil2Iai3nu","Сертифікат")</f>
        <v>Сертифікат</v>
      </c>
      <c r="M348" s="11" t="s">
        <v>24</v>
      </c>
      <c r="N348" s="10">
        <v>2026</v>
      </c>
      <c r="O348" s="10">
        <v>5672</v>
      </c>
      <c r="P348" s="10">
        <v>3</v>
      </c>
      <c r="Q348" s="10">
        <v>206</v>
      </c>
      <c r="R348" s="10" t="s">
        <v>57</v>
      </c>
      <c r="S348" s="10">
        <v>190</v>
      </c>
      <c r="T348" s="10">
        <v>35</v>
      </c>
      <c r="U348" s="29">
        <v>43675</v>
      </c>
      <c r="V348" s="29">
        <v>47327</v>
      </c>
      <c r="W348" s="10" t="s">
        <v>10</v>
      </c>
      <c r="X348" s="10" t="s">
        <v>17</v>
      </c>
    </row>
    <row r="349" spans="1:24" ht="46.5" customHeight="1" x14ac:dyDescent="0.25">
      <c r="A349" s="10">
        <f t="shared" si="0"/>
        <v>346</v>
      </c>
      <c r="B349" s="11" t="s">
        <v>1021</v>
      </c>
      <c r="C349" s="10" t="s">
        <v>52</v>
      </c>
      <c r="D349" s="10" t="s">
        <v>52</v>
      </c>
      <c r="E349" s="10" t="s">
        <v>0</v>
      </c>
      <c r="F349" s="11" t="s">
        <v>1022</v>
      </c>
      <c r="G349" s="11"/>
      <c r="H349" s="11"/>
      <c r="I349" s="11">
        <v>2000</v>
      </c>
      <c r="J349" s="11" t="s">
        <v>628</v>
      </c>
      <c r="K349" s="15" t="str">
        <f t="shared" ref="K349:K350" si="5">HYPERLINK("https://drive.google.com/open?id=1u3a1a2UlYpzKL7ogkp3iFpa7WLiuzwpy","АА000017")</f>
        <v>АА000017</v>
      </c>
      <c r="L349" s="15" t="str">
        <f>HYPERLINK("https://drive.google.com/open?id=1OTuTRsXZXfn5fLq9d-tBjfWPYOhxndhC","Сертифікат")</f>
        <v>Сертифікат</v>
      </c>
      <c r="M349" s="11" t="s">
        <v>26</v>
      </c>
      <c r="N349" s="10">
        <v>15197</v>
      </c>
      <c r="O349" s="10">
        <v>45590</v>
      </c>
      <c r="P349" s="10">
        <v>16</v>
      </c>
      <c r="Q349" s="10">
        <v>277.44</v>
      </c>
      <c r="R349" s="10" t="s">
        <v>57</v>
      </c>
      <c r="S349" s="10">
        <v>364.76</v>
      </c>
      <c r="T349" s="10">
        <v>72.88</v>
      </c>
      <c r="U349" s="29">
        <v>43682</v>
      </c>
      <c r="V349" s="29">
        <v>47334</v>
      </c>
      <c r="W349" s="10" t="s">
        <v>13</v>
      </c>
      <c r="X349" s="10" t="s">
        <v>17</v>
      </c>
    </row>
    <row r="350" spans="1:24" ht="46.5" customHeight="1" x14ac:dyDescent="0.25">
      <c r="A350" s="10">
        <f t="shared" si="0"/>
        <v>347</v>
      </c>
      <c r="B350" s="11" t="s">
        <v>1023</v>
      </c>
      <c r="C350" s="10" t="s">
        <v>52</v>
      </c>
      <c r="D350" s="10" t="s">
        <v>52</v>
      </c>
      <c r="E350" s="10" t="s">
        <v>0</v>
      </c>
      <c r="F350" s="11" t="s">
        <v>1024</v>
      </c>
      <c r="G350" s="11"/>
      <c r="H350" s="11"/>
      <c r="I350" s="11">
        <v>2000</v>
      </c>
      <c r="J350" s="11" t="s">
        <v>628</v>
      </c>
      <c r="K350" s="15" t="str">
        <f t="shared" si="5"/>
        <v>АА000017</v>
      </c>
      <c r="L350" s="15" t="str">
        <f>HYPERLINK("https://drive.google.com/open?id=1xbs_BPWR4HMchlccR-7lRMxEw0Y4lDvk","Сертифікат")</f>
        <v>Сертифікат</v>
      </c>
      <c r="M350" s="11" t="s">
        <v>26</v>
      </c>
      <c r="N350" s="10">
        <v>12531</v>
      </c>
      <c r="O350" s="10">
        <v>36340</v>
      </c>
      <c r="P350" s="10">
        <v>16</v>
      </c>
      <c r="Q350" s="10">
        <v>268.75</v>
      </c>
      <c r="R350" s="10" t="s">
        <v>57</v>
      </c>
      <c r="S350" s="10">
        <v>349.6</v>
      </c>
      <c r="T350" s="10">
        <v>69.91</v>
      </c>
      <c r="U350" s="29">
        <v>43682</v>
      </c>
      <c r="V350" s="29">
        <v>47334</v>
      </c>
      <c r="W350" s="10" t="s">
        <v>13</v>
      </c>
      <c r="X350" s="10" t="s">
        <v>17</v>
      </c>
    </row>
    <row r="351" spans="1:24" ht="46.5" customHeight="1" x14ac:dyDescent="0.25">
      <c r="A351" s="10">
        <f t="shared" si="0"/>
        <v>348</v>
      </c>
      <c r="B351" s="11" t="s">
        <v>1025</v>
      </c>
      <c r="C351" s="10" t="s">
        <v>391</v>
      </c>
      <c r="D351" s="10" t="s">
        <v>79</v>
      </c>
      <c r="E351" s="10" t="s">
        <v>0</v>
      </c>
      <c r="F351" s="11" t="s">
        <v>1026</v>
      </c>
      <c r="G351" s="11"/>
      <c r="H351" s="11"/>
      <c r="I351" s="11">
        <v>1970</v>
      </c>
      <c r="J351" s="11" t="s">
        <v>848</v>
      </c>
      <c r="K351" s="15" t="s">
        <v>849</v>
      </c>
      <c r="L351" s="15" t="str">
        <f>HYPERLINK("https://drive.google.com/open?id=1EDyaw6RRHVZWM9UqBqth1kt-Bzx8Zlr1","Сертифікат")</f>
        <v>Сертифікат</v>
      </c>
      <c r="M351" s="11" t="s">
        <v>26</v>
      </c>
      <c r="N351" s="10">
        <v>4197</v>
      </c>
      <c r="O351" s="10">
        <v>10667</v>
      </c>
      <c r="P351" s="10">
        <v>5</v>
      </c>
      <c r="Q351" s="10">
        <v>235</v>
      </c>
      <c r="R351" s="10" t="s">
        <v>57</v>
      </c>
      <c r="S351" s="10">
        <v>172</v>
      </c>
      <c r="T351" s="10">
        <v>58</v>
      </c>
      <c r="U351" s="29">
        <v>43615</v>
      </c>
      <c r="V351" s="29">
        <v>47267</v>
      </c>
      <c r="W351" s="10" t="s">
        <v>10</v>
      </c>
      <c r="X351" s="10" t="s">
        <v>17</v>
      </c>
    </row>
    <row r="352" spans="1:24" ht="46.5" customHeight="1" x14ac:dyDescent="0.25">
      <c r="A352" s="10">
        <f t="shared" si="0"/>
        <v>349</v>
      </c>
      <c r="B352" s="11" t="s">
        <v>1027</v>
      </c>
      <c r="C352" s="10" t="s">
        <v>243</v>
      </c>
      <c r="D352" s="10" t="s">
        <v>238</v>
      </c>
      <c r="E352" s="10" t="s">
        <v>7</v>
      </c>
      <c r="F352" s="11" t="s">
        <v>1028</v>
      </c>
      <c r="G352" s="11"/>
      <c r="H352" s="11"/>
      <c r="I352" s="11" t="s">
        <v>1010</v>
      </c>
      <c r="J352" s="11" t="s">
        <v>432</v>
      </c>
      <c r="K352" s="15" t="s">
        <v>433</v>
      </c>
      <c r="L352" s="15" t="str">
        <f>HYPERLINK("https://drive.google.com/open?id=1sm4Y5kBLz7ZeJu0whxqc5RSEocPeR3RT","Сертифікат")</f>
        <v>Сертифікат</v>
      </c>
      <c r="M352" s="11" t="s">
        <v>15</v>
      </c>
      <c r="N352" s="10">
        <v>2340.9</v>
      </c>
      <c r="O352" s="10">
        <v>7301.9</v>
      </c>
      <c r="P352" s="10">
        <v>1</v>
      </c>
      <c r="Q352" s="10">
        <v>30.13</v>
      </c>
      <c r="R352" s="10" t="s">
        <v>66</v>
      </c>
      <c r="S352" s="10">
        <v>216.15</v>
      </c>
      <c r="T352" s="10">
        <v>39.5</v>
      </c>
      <c r="U352" s="29">
        <v>43683</v>
      </c>
      <c r="V352" s="29">
        <v>47335</v>
      </c>
      <c r="W352" s="10" t="s">
        <v>13</v>
      </c>
      <c r="X352" s="10" t="s">
        <v>17</v>
      </c>
    </row>
    <row r="353" spans="1:24" ht="46.5" customHeight="1" x14ac:dyDescent="0.25">
      <c r="A353" s="10">
        <f t="shared" si="0"/>
        <v>350</v>
      </c>
      <c r="B353" s="11" t="s">
        <v>1029</v>
      </c>
      <c r="C353" s="10" t="s">
        <v>1030</v>
      </c>
      <c r="D353" s="10" t="s">
        <v>75</v>
      </c>
      <c r="E353" s="10" t="s">
        <v>2</v>
      </c>
      <c r="F353" s="11" t="s">
        <v>1031</v>
      </c>
      <c r="G353" s="11"/>
      <c r="H353" s="11"/>
      <c r="I353" s="11">
        <v>1983</v>
      </c>
      <c r="J353" s="11" t="s">
        <v>261</v>
      </c>
      <c r="K353" s="15" t="s">
        <v>262</v>
      </c>
      <c r="L353" s="15" t="str">
        <f>HYPERLINK("https://drive.google.com/open?id=15v5SNDgWPPxneds36S3OWaY2lM0B_tal","Сертифікат")</f>
        <v>Сертифікат</v>
      </c>
      <c r="M353" s="11" t="s">
        <v>22</v>
      </c>
      <c r="N353" s="10">
        <v>1811</v>
      </c>
      <c r="O353" s="10">
        <v>6297</v>
      </c>
      <c r="P353" s="10">
        <v>2</v>
      </c>
      <c r="Q353" s="10">
        <v>87</v>
      </c>
      <c r="R353" s="10" t="s">
        <v>66</v>
      </c>
      <c r="S353" s="10">
        <v>124</v>
      </c>
      <c r="T353" s="10">
        <v>23</v>
      </c>
      <c r="U353" s="29">
        <v>43679</v>
      </c>
      <c r="V353" s="29">
        <v>47331</v>
      </c>
      <c r="W353" s="10" t="s">
        <v>10</v>
      </c>
      <c r="X353" s="10" t="s">
        <v>17</v>
      </c>
    </row>
    <row r="354" spans="1:24" ht="46.5" customHeight="1" x14ac:dyDescent="0.25">
      <c r="A354" s="10">
        <f t="shared" si="0"/>
        <v>351</v>
      </c>
      <c r="B354" s="11" t="s">
        <v>1032</v>
      </c>
      <c r="C354" s="10" t="s">
        <v>1030</v>
      </c>
      <c r="D354" s="10" t="s">
        <v>75</v>
      </c>
      <c r="E354" s="10" t="s">
        <v>3</v>
      </c>
      <c r="F354" s="11" t="s">
        <v>1033</v>
      </c>
      <c r="G354" s="11"/>
      <c r="H354" s="11"/>
      <c r="I354" s="11">
        <v>1983</v>
      </c>
      <c r="J354" s="11" t="s">
        <v>261</v>
      </c>
      <c r="K354" s="15" t="s">
        <v>262</v>
      </c>
      <c r="L354" s="15" t="str">
        <f>HYPERLINK("https://drive.google.com/open?id=13gv24r0oI0D8LVozk1ixgCCLpmIXUUkU","Сертифікат")</f>
        <v>Сертифікат</v>
      </c>
      <c r="M354" s="11" t="s">
        <v>24</v>
      </c>
      <c r="N354" s="10">
        <v>2469</v>
      </c>
      <c r="O354" s="10">
        <v>7410</v>
      </c>
      <c r="P354" s="10">
        <v>3</v>
      </c>
      <c r="Q354" s="10">
        <v>51</v>
      </c>
      <c r="R354" s="10" t="s">
        <v>66</v>
      </c>
      <c r="S354" s="10">
        <v>43</v>
      </c>
      <c r="T354" s="10">
        <v>8</v>
      </c>
      <c r="U354" s="29">
        <v>43679</v>
      </c>
      <c r="V354" s="29">
        <v>47331</v>
      </c>
      <c r="W354" s="10" t="s">
        <v>10</v>
      </c>
      <c r="X354" s="10" t="s">
        <v>17</v>
      </c>
    </row>
    <row r="355" spans="1:24" ht="46.5" customHeight="1" x14ac:dyDescent="0.25">
      <c r="A355" s="10">
        <f t="shared" si="0"/>
        <v>352</v>
      </c>
      <c r="B355" s="11" t="s">
        <v>1034</v>
      </c>
      <c r="C355" s="10" t="s">
        <v>1030</v>
      </c>
      <c r="D355" s="10" t="s">
        <v>75</v>
      </c>
      <c r="E355" s="10" t="s">
        <v>0</v>
      </c>
      <c r="F355" s="11" t="s">
        <v>1035</v>
      </c>
      <c r="G355" s="11"/>
      <c r="H355" s="11"/>
      <c r="I355" s="11">
        <v>1982</v>
      </c>
      <c r="J355" s="11" t="s">
        <v>261</v>
      </c>
      <c r="K355" s="15" t="s">
        <v>262</v>
      </c>
      <c r="L355" s="15" t="str">
        <f>HYPERLINK("https://drive.google.com/open?id=1LO7fW9HUlc4nfRffHgNgQqP-NmWCcvaT","Сертифікат")</f>
        <v>Сертифікат</v>
      </c>
      <c r="M355" s="11" t="s">
        <v>24</v>
      </c>
      <c r="N355" s="10">
        <v>2960</v>
      </c>
      <c r="O355" s="10">
        <v>7176</v>
      </c>
      <c r="P355" s="10">
        <v>2</v>
      </c>
      <c r="Q355" s="10">
        <v>222</v>
      </c>
      <c r="R355" s="10" t="s">
        <v>57</v>
      </c>
      <c r="S355" s="10">
        <v>106</v>
      </c>
      <c r="T355" s="10">
        <v>20</v>
      </c>
      <c r="U355" s="29">
        <v>43679</v>
      </c>
      <c r="V355" s="29">
        <v>47331</v>
      </c>
      <c r="W355" s="10" t="s">
        <v>10</v>
      </c>
      <c r="X355" s="10" t="s">
        <v>17</v>
      </c>
    </row>
    <row r="356" spans="1:24" ht="46.5" customHeight="1" x14ac:dyDescent="0.25">
      <c r="A356" s="10">
        <f t="shared" si="0"/>
        <v>353</v>
      </c>
      <c r="B356" s="11" t="s">
        <v>1036</v>
      </c>
      <c r="C356" s="10" t="s">
        <v>1030</v>
      </c>
      <c r="D356" s="10" t="s">
        <v>75</v>
      </c>
      <c r="E356" s="10" t="s">
        <v>2</v>
      </c>
      <c r="F356" s="11" t="s">
        <v>1037</v>
      </c>
      <c r="G356" s="11"/>
      <c r="H356" s="11"/>
      <c r="I356" s="11">
        <v>1983</v>
      </c>
      <c r="J356" s="11" t="s">
        <v>261</v>
      </c>
      <c r="K356" s="15" t="s">
        <v>262</v>
      </c>
      <c r="L356" s="15" t="str">
        <f>HYPERLINK("https://drive.google.com/open?id=1pJua_ZN64n6ahVehE02tT4k7VHMpOdsZ","Сертифікат")</f>
        <v>Сертифікат</v>
      </c>
      <c r="M356" s="11" t="s">
        <v>20</v>
      </c>
      <c r="N356" s="10">
        <v>668</v>
      </c>
      <c r="O356" s="10">
        <v>1670</v>
      </c>
      <c r="P356" s="10">
        <v>2</v>
      </c>
      <c r="Q356" s="10">
        <v>65</v>
      </c>
      <c r="R356" s="10" t="s">
        <v>66</v>
      </c>
      <c r="S356" s="10">
        <v>84</v>
      </c>
      <c r="T356" s="10">
        <v>9</v>
      </c>
      <c r="U356" s="29">
        <v>43679</v>
      </c>
      <c r="V356" s="29">
        <v>47331</v>
      </c>
      <c r="W356" s="10" t="s">
        <v>10</v>
      </c>
      <c r="X356" s="10" t="s">
        <v>17</v>
      </c>
    </row>
    <row r="357" spans="1:24" ht="46.5" customHeight="1" x14ac:dyDescent="0.25">
      <c r="A357" s="10">
        <f t="shared" si="0"/>
        <v>354</v>
      </c>
      <c r="B357" s="11" t="s">
        <v>1038</v>
      </c>
      <c r="C357" s="10" t="s">
        <v>394</v>
      </c>
      <c r="D357" s="10" t="s">
        <v>79</v>
      </c>
      <c r="E357" s="10" t="s">
        <v>3</v>
      </c>
      <c r="F357" s="11" t="s">
        <v>1039</v>
      </c>
      <c r="G357" s="11"/>
      <c r="H357" s="11"/>
      <c r="I357" s="11">
        <v>1989</v>
      </c>
      <c r="J357" s="11" t="s">
        <v>150</v>
      </c>
      <c r="K357" s="15" t="str">
        <f>HYPERLINK("https://drive.google.com/open?id=1lPaVOdYRv96X1_3N5OYB5TnG02gUybVZ","СБ-0025")</f>
        <v>СБ-0025</v>
      </c>
      <c r="L357" s="15" t="str">
        <f>HYPERLINK("https://drive.google.com/open?id=1z5qe1DVlg3pdSfP0RF4ImNX8M95CImV3","Сертифікат")</f>
        <v>Сертифікат</v>
      </c>
      <c r="M357" s="11" t="s">
        <v>26</v>
      </c>
      <c r="N357" s="10">
        <v>1571</v>
      </c>
      <c r="O357" s="10">
        <v>8331</v>
      </c>
      <c r="P357" s="10">
        <v>2</v>
      </c>
      <c r="Q357" s="10">
        <v>87</v>
      </c>
      <c r="R357" s="10" t="s">
        <v>66</v>
      </c>
      <c r="S357" s="10">
        <v>587</v>
      </c>
      <c r="T357" s="10">
        <v>149</v>
      </c>
      <c r="U357" s="29">
        <v>43615</v>
      </c>
      <c r="V357" s="29">
        <v>47267</v>
      </c>
      <c r="W357" s="10" t="s">
        <v>10</v>
      </c>
      <c r="X357" s="10" t="s">
        <v>17</v>
      </c>
    </row>
    <row r="358" spans="1:24" ht="46.5" customHeight="1" x14ac:dyDescent="0.25">
      <c r="A358" s="10">
        <f t="shared" si="0"/>
        <v>355</v>
      </c>
      <c r="B358" s="11" t="s">
        <v>1040</v>
      </c>
      <c r="C358" s="10" t="s">
        <v>345</v>
      </c>
      <c r="D358" s="10" t="s">
        <v>79</v>
      </c>
      <c r="E358" s="10" t="s">
        <v>3</v>
      </c>
      <c r="F358" s="11" t="s">
        <v>1041</v>
      </c>
      <c r="G358" s="11"/>
      <c r="H358" s="11"/>
      <c r="I358" s="11" t="s">
        <v>1042</v>
      </c>
      <c r="J358" s="11" t="s">
        <v>981</v>
      </c>
      <c r="K358" s="15" t="str">
        <f>HYPERLINK("https://drive.google.com/open?id=1IDQuQux79NT0xtRrkfgG6JOgxOamY1Vd","АА000036")</f>
        <v>АА000036</v>
      </c>
      <c r="L358" s="15" t="str">
        <f>HYPERLINK("https://drive.google.com/open?id=1LDQyCFuHGICkn3I6N4W02Fnt1qOLkgZN","Сертифікат")</f>
        <v>Сертифікат</v>
      </c>
      <c r="M358" s="11" t="s">
        <v>26</v>
      </c>
      <c r="N358" s="10">
        <v>4294.5</v>
      </c>
      <c r="O358" s="10">
        <v>15331</v>
      </c>
      <c r="P358" s="10">
        <v>3</v>
      </c>
      <c r="Q358" s="10">
        <v>72.900000000000006</v>
      </c>
      <c r="R358" s="10" t="s">
        <v>66</v>
      </c>
      <c r="S358" s="10">
        <v>405</v>
      </c>
      <c r="T358" s="10">
        <v>80</v>
      </c>
      <c r="U358" s="29">
        <v>43684</v>
      </c>
      <c r="V358" s="29">
        <v>47336</v>
      </c>
      <c r="W358" s="10" t="s">
        <v>10</v>
      </c>
      <c r="X358" s="10" t="s">
        <v>17</v>
      </c>
    </row>
    <row r="359" spans="1:24" ht="90" customHeight="1" x14ac:dyDescent="0.25">
      <c r="A359" s="10">
        <f t="shared" si="0"/>
        <v>356</v>
      </c>
      <c r="B359" s="11" t="s">
        <v>1043</v>
      </c>
      <c r="C359" s="10" t="s">
        <v>1030</v>
      </c>
      <c r="D359" s="10" t="s">
        <v>75</v>
      </c>
      <c r="E359" s="10" t="s">
        <v>0</v>
      </c>
      <c r="F359" s="11" t="s">
        <v>1044</v>
      </c>
      <c r="G359" s="11"/>
      <c r="H359" s="11"/>
      <c r="I359" s="11">
        <v>1983</v>
      </c>
      <c r="J359" s="11" t="s">
        <v>261</v>
      </c>
      <c r="K359" s="15" t="s">
        <v>262</v>
      </c>
      <c r="L359" s="15" t="str">
        <f>HYPERLINK("https://drive.google.com/open?id=18XiI1yMwK_qq6ofnu8u1m-a8mo5ccXNr","Сертифікат")</f>
        <v>Сертифікат</v>
      </c>
      <c r="M359" s="11" t="s">
        <v>24</v>
      </c>
      <c r="N359" s="10">
        <v>812</v>
      </c>
      <c r="O359" s="10">
        <v>2030</v>
      </c>
      <c r="P359" s="10">
        <v>2</v>
      </c>
      <c r="Q359" s="10">
        <v>209</v>
      </c>
      <c r="R359" s="10" t="s">
        <v>57</v>
      </c>
      <c r="S359" s="10">
        <v>79</v>
      </c>
      <c r="T359" s="10">
        <v>15</v>
      </c>
      <c r="U359" s="29">
        <v>43679</v>
      </c>
      <c r="V359" s="29">
        <v>47331</v>
      </c>
      <c r="W359" s="10" t="s">
        <v>10</v>
      </c>
      <c r="X359" s="10" t="s">
        <v>17</v>
      </c>
    </row>
    <row r="360" spans="1:24" ht="90" customHeight="1" x14ac:dyDescent="0.25">
      <c r="A360" s="10">
        <f t="shared" si="0"/>
        <v>357</v>
      </c>
      <c r="B360" s="11" t="s">
        <v>1045</v>
      </c>
      <c r="C360" s="10" t="s">
        <v>1030</v>
      </c>
      <c r="D360" s="10" t="s">
        <v>75</v>
      </c>
      <c r="E360" s="10" t="s">
        <v>0</v>
      </c>
      <c r="F360" s="11" t="s">
        <v>1046</v>
      </c>
      <c r="G360" s="11"/>
      <c r="H360" s="11"/>
      <c r="I360" s="11">
        <v>1982</v>
      </c>
      <c r="J360" s="11" t="s">
        <v>261</v>
      </c>
      <c r="K360" s="15" t="s">
        <v>262</v>
      </c>
      <c r="L360" s="15" t="str">
        <f>HYPERLINK("https://drive.google.com/open?id=1MUUoQ_mDDWXcWGnCW_IxpJZqFmCAKE_o","Сертифікат")</f>
        <v>Сертифікат</v>
      </c>
      <c r="M360" s="11" t="s">
        <v>22</v>
      </c>
      <c r="N360" s="10">
        <v>812</v>
      </c>
      <c r="O360" s="10">
        <v>2030</v>
      </c>
      <c r="P360" s="10">
        <v>2</v>
      </c>
      <c r="Q360" s="10">
        <v>186</v>
      </c>
      <c r="R360" s="10" t="s">
        <v>57</v>
      </c>
      <c r="S360" s="10">
        <v>54</v>
      </c>
      <c r="T360" s="10">
        <v>10</v>
      </c>
      <c r="U360" s="29">
        <v>43679</v>
      </c>
      <c r="V360" s="29">
        <v>47331</v>
      </c>
      <c r="W360" s="10" t="s">
        <v>10</v>
      </c>
      <c r="X360" s="10" t="s">
        <v>14</v>
      </c>
    </row>
    <row r="361" spans="1:24" ht="90" customHeight="1" x14ac:dyDescent="0.25">
      <c r="A361" s="10">
        <f t="shared" si="0"/>
        <v>358</v>
      </c>
      <c r="B361" s="11" t="s">
        <v>1047</v>
      </c>
      <c r="C361" s="10" t="s">
        <v>1030</v>
      </c>
      <c r="D361" s="10" t="s">
        <v>75</v>
      </c>
      <c r="E361" s="10" t="s">
        <v>2</v>
      </c>
      <c r="F361" s="11" t="s">
        <v>1048</v>
      </c>
      <c r="G361" s="11"/>
      <c r="H361" s="11"/>
      <c r="I361" s="11">
        <v>1983</v>
      </c>
      <c r="J361" s="11" t="s">
        <v>261</v>
      </c>
      <c r="K361" s="15" t="s">
        <v>262</v>
      </c>
      <c r="L361" s="15" t="str">
        <f>HYPERLINK("https://drive.google.com/open?id=1oWF7S8tGC3jRGz9haWGK2ZCZdpYuhGH2","Сертифікат")</f>
        <v>Сертифікат</v>
      </c>
      <c r="M361" s="11" t="s">
        <v>22</v>
      </c>
      <c r="N361" s="10">
        <v>454</v>
      </c>
      <c r="O361" s="10">
        <v>2350</v>
      </c>
      <c r="P361" s="10">
        <v>2</v>
      </c>
      <c r="Q361" s="10">
        <v>87</v>
      </c>
      <c r="R361" s="10" t="s">
        <v>66</v>
      </c>
      <c r="S361" s="10">
        <v>88</v>
      </c>
      <c r="T361" s="10">
        <v>17</v>
      </c>
      <c r="U361" s="29">
        <v>43679</v>
      </c>
      <c r="V361" s="29">
        <v>47331</v>
      </c>
      <c r="W361" s="10" t="s">
        <v>10</v>
      </c>
      <c r="X361" s="10" t="s">
        <v>17</v>
      </c>
    </row>
    <row r="362" spans="1:24" ht="90" customHeight="1" x14ac:dyDescent="0.25">
      <c r="A362" s="10">
        <f t="shared" si="0"/>
        <v>359</v>
      </c>
      <c r="B362" s="11" t="s">
        <v>1049</v>
      </c>
      <c r="C362" s="10" t="s">
        <v>1030</v>
      </c>
      <c r="D362" s="10" t="s">
        <v>75</v>
      </c>
      <c r="E362" s="10" t="s">
        <v>5</v>
      </c>
      <c r="F362" s="11" t="s">
        <v>1050</v>
      </c>
      <c r="G362" s="11"/>
      <c r="H362" s="11"/>
      <c r="I362" s="11">
        <v>1983</v>
      </c>
      <c r="J362" s="11" t="s">
        <v>261</v>
      </c>
      <c r="K362" s="15" t="s">
        <v>262</v>
      </c>
      <c r="L362" s="15" t="str">
        <f>HYPERLINK("https://drive.google.com/open?id=1cyFdcOiSeRyafrtmALym2a4IRYn0mExy","Сертифікат")</f>
        <v>Сертифікат</v>
      </c>
      <c r="M362" s="11" t="s">
        <v>22</v>
      </c>
      <c r="N362" s="10">
        <v>374</v>
      </c>
      <c r="O362" s="10">
        <v>991</v>
      </c>
      <c r="P362" s="10">
        <v>1</v>
      </c>
      <c r="Q362" s="10">
        <v>84</v>
      </c>
      <c r="R362" s="10" t="s">
        <v>66</v>
      </c>
      <c r="S362" s="10">
        <v>90</v>
      </c>
      <c r="T362" s="10">
        <v>17</v>
      </c>
      <c r="U362" s="29">
        <v>43679</v>
      </c>
      <c r="V362" s="29">
        <v>47331</v>
      </c>
      <c r="W362" s="10" t="s">
        <v>10</v>
      </c>
      <c r="X362" s="10" t="s">
        <v>17</v>
      </c>
    </row>
    <row r="363" spans="1:24" ht="46.5" customHeight="1" x14ac:dyDescent="0.25">
      <c r="A363" s="10">
        <f t="shared" si="0"/>
        <v>360</v>
      </c>
      <c r="B363" s="11" t="s">
        <v>1051</v>
      </c>
      <c r="C363" s="10" t="s">
        <v>374</v>
      </c>
      <c r="D363" s="10" t="s">
        <v>79</v>
      </c>
      <c r="E363" s="10" t="s">
        <v>3</v>
      </c>
      <c r="F363" s="11" t="s">
        <v>1052</v>
      </c>
      <c r="G363" s="11"/>
      <c r="H363" s="11"/>
      <c r="I363" s="11">
        <v>1979</v>
      </c>
      <c r="J363" s="11" t="s">
        <v>54</v>
      </c>
      <c r="K363" s="15" t="str">
        <f>HYPERLINK("https://drive.google.com/open?id=12WC1Bu_lEABhJzMA7VMSl0Xd5ugZr4vK","АА000002")</f>
        <v>АА000002</v>
      </c>
      <c r="L363" s="15" t="str">
        <f>HYPERLINK("https://drive.google.com/open?id=1dls0AMvPWQity4zLDHKsz96DM5OzDp9B","Сертифікат")</f>
        <v>Сертифікат</v>
      </c>
      <c r="M363" s="11" t="s">
        <v>26</v>
      </c>
      <c r="N363" s="10">
        <v>4294.5</v>
      </c>
      <c r="O363" s="10">
        <v>7927</v>
      </c>
      <c r="P363" s="10">
        <v>2</v>
      </c>
      <c r="Q363" s="10">
        <v>69</v>
      </c>
      <c r="R363" s="10" t="s">
        <v>66</v>
      </c>
      <c r="S363" s="10">
        <v>366</v>
      </c>
      <c r="T363" s="10">
        <v>107</v>
      </c>
      <c r="U363" s="29">
        <v>43615</v>
      </c>
      <c r="V363" s="29">
        <v>47267</v>
      </c>
      <c r="W363" s="10" t="s">
        <v>10</v>
      </c>
      <c r="X363" s="10" t="s">
        <v>17</v>
      </c>
    </row>
    <row r="364" spans="1:24" ht="46.5" customHeight="1" x14ac:dyDescent="0.25">
      <c r="A364" s="10">
        <f t="shared" si="0"/>
        <v>361</v>
      </c>
      <c r="B364" s="11" t="s">
        <v>1053</v>
      </c>
      <c r="C364" s="10" t="s">
        <v>357</v>
      </c>
      <c r="D364" s="10" t="s">
        <v>142</v>
      </c>
      <c r="E364" s="10" t="s">
        <v>3</v>
      </c>
      <c r="F364" s="11" t="s">
        <v>1054</v>
      </c>
      <c r="G364" s="11"/>
      <c r="H364" s="11"/>
      <c r="I364" s="11">
        <v>1978</v>
      </c>
      <c r="J364" s="11" t="s">
        <v>209</v>
      </c>
      <c r="K364" s="15" t="str">
        <f>HYPERLINK("https://drive.google.com/open?id=1nFSy5k_5dEpHD1r7NrzhyR0bvCdUEIlN","СБ-0033")</f>
        <v>СБ-0033</v>
      </c>
      <c r="L364" s="15" t="str">
        <f>HYPERLINK("https://drive.google.com/open?id=1BAcLTa8tAPjoZrQmf-gfCeXifjuEWxYD","Сертифікат")</f>
        <v>Сертифікат</v>
      </c>
      <c r="M364" s="11" t="s">
        <v>24</v>
      </c>
      <c r="N364" s="10">
        <v>2524</v>
      </c>
      <c r="O364" s="10">
        <v>8077</v>
      </c>
      <c r="P364" s="10">
        <v>3</v>
      </c>
      <c r="Q364" s="10">
        <v>51</v>
      </c>
      <c r="R364" s="10" t="s">
        <v>66</v>
      </c>
      <c r="S364" s="10">
        <v>121</v>
      </c>
      <c r="T364" s="10">
        <v>23</v>
      </c>
      <c r="U364" s="29">
        <v>43676</v>
      </c>
      <c r="V364" s="29">
        <v>47328</v>
      </c>
      <c r="W364" s="10" t="s">
        <v>10</v>
      </c>
      <c r="X364" s="10" t="s">
        <v>17</v>
      </c>
    </row>
    <row r="365" spans="1:24" ht="46.5" customHeight="1" x14ac:dyDescent="0.25">
      <c r="A365" s="10">
        <f t="shared" si="0"/>
        <v>362</v>
      </c>
      <c r="B365" s="11" t="s">
        <v>1055</v>
      </c>
      <c r="C365" s="10" t="s">
        <v>68</v>
      </c>
      <c r="D365" s="10" t="s">
        <v>69</v>
      </c>
      <c r="E365" s="10" t="s">
        <v>0</v>
      </c>
      <c r="F365" s="11" t="s">
        <v>1056</v>
      </c>
      <c r="G365" s="11"/>
      <c r="H365" s="11"/>
      <c r="I365" s="11">
        <v>1978</v>
      </c>
      <c r="J365" s="11" t="s">
        <v>1057</v>
      </c>
      <c r="K365" s="15" t="str">
        <f>HYPERLINK("https://drive.google.com/open?id=1jOJ8C4qs2yVEI7j7G_2k_QwYSBK43oV5","ЕЕ-024-02-19")</f>
        <v>ЕЕ-024-02-19</v>
      </c>
      <c r="L365" s="15" t="str">
        <f>HYPERLINK("https://drive.google.com/open?id=1ctnLeEqKZ9WFae4RzlfTai4yoZ9BBJHu","Сертифікат")</f>
        <v>Сертифікат</v>
      </c>
      <c r="M365" s="11" t="s">
        <v>26</v>
      </c>
      <c r="N365" s="10">
        <v>3130.7</v>
      </c>
      <c r="O365" s="10">
        <v>8683.4</v>
      </c>
      <c r="P365" s="10">
        <v>5</v>
      </c>
      <c r="Q365" s="10">
        <v>221.1</v>
      </c>
      <c r="R365" s="10" t="s">
        <v>57</v>
      </c>
      <c r="S365" s="10">
        <v>327.8</v>
      </c>
      <c r="T365" s="10">
        <v>64.599999999999994</v>
      </c>
      <c r="U365" s="29">
        <v>43679</v>
      </c>
      <c r="V365" s="29">
        <v>43679</v>
      </c>
      <c r="W365" s="10" t="s">
        <v>10</v>
      </c>
      <c r="X365" s="10" t="s">
        <v>17</v>
      </c>
    </row>
    <row r="366" spans="1:24" ht="46.5" customHeight="1" x14ac:dyDescent="0.25">
      <c r="A366" s="10">
        <f t="shared" si="0"/>
        <v>363</v>
      </c>
      <c r="B366" s="11" t="s">
        <v>1058</v>
      </c>
      <c r="C366" s="10" t="s">
        <v>357</v>
      </c>
      <c r="D366" s="10" t="s">
        <v>142</v>
      </c>
      <c r="E366" s="10" t="s">
        <v>2</v>
      </c>
      <c r="F366" s="11" t="s">
        <v>1059</v>
      </c>
      <c r="G366" s="11"/>
      <c r="H366" s="11"/>
      <c r="I366" s="11">
        <v>1980</v>
      </c>
      <c r="J366" s="11" t="s">
        <v>209</v>
      </c>
      <c r="K366" s="15" t="str">
        <f>HYPERLINK("https://drive.google.com/open?id=1nFSy5k_5dEpHD1r7NrzhyR0bvCdUEIlN","СБ-0033")</f>
        <v>СБ-0033</v>
      </c>
      <c r="L366" s="15" t="str">
        <f>HYPERLINK("https://drive.google.com/open?id=1E8gKGD-9krJc90OKzxq7hNfTyOcyhepX","Сертифікат")</f>
        <v>Сертифікат</v>
      </c>
      <c r="M366" s="11" t="s">
        <v>22</v>
      </c>
      <c r="N366" s="10">
        <v>13294</v>
      </c>
      <c r="O366" s="10">
        <v>71766</v>
      </c>
      <c r="P366" s="10">
        <v>9</v>
      </c>
      <c r="Q366" s="10">
        <v>62</v>
      </c>
      <c r="R366" s="10" t="s">
        <v>66</v>
      </c>
      <c r="S366" s="10">
        <v>564</v>
      </c>
      <c r="T366" s="10">
        <v>108</v>
      </c>
      <c r="U366" s="29">
        <v>43679</v>
      </c>
      <c r="V366" s="29">
        <v>47331</v>
      </c>
      <c r="W366" s="10" t="s">
        <v>10</v>
      </c>
      <c r="X366" s="10" t="s">
        <v>17</v>
      </c>
    </row>
    <row r="367" spans="1:24" ht="46.5" customHeight="1" x14ac:dyDescent="0.25">
      <c r="A367" s="10">
        <f t="shared" si="0"/>
        <v>364</v>
      </c>
      <c r="B367" s="11" t="s">
        <v>1060</v>
      </c>
      <c r="C367" s="10" t="s">
        <v>1061</v>
      </c>
      <c r="D367" s="10" t="s">
        <v>783</v>
      </c>
      <c r="E367" s="10" t="s">
        <v>2</v>
      </c>
      <c r="F367" s="11" t="s">
        <v>1062</v>
      </c>
      <c r="G367" s="11"/>
      <c r="H367" s="11"/>
      <c r="I367" s="11">
        <v>1974</v>
      </c>
      <c r="J367" s="11" t="s">
        <v>724</v>
      </c>
      <c r="K367" s="15" t="str">
        <f t="shared" ref="K367:K368" si="6">HYPERLINK("https://drive.google.com/open?id=1oKOZor5DyF6OVwkcYZr0z1iqaNRs9ITY","АА000072")</f>
        <v>АА000072</v>
      </c>
      <c r="L367" s="15" t="str">
        <f>HYPERLINK("https://drive.google.com/open?id=1olfjs_VyiHXwXCmmcd9-4TSe2pAsgNCB","Сертифікат")</f>
        <v>Сертифікат</v>
      </c>
      <c r="M367" s="11" t="s">
        <v>22</v>
      </c>
      <c r="N367" s="10">
        <v>466.8</v>
      </c>
      <c r="O367" s="10">
        <v>1494</v>
      </c>
      <c r="P367" s="10">
        <v>2</v>
      </c>
      <c r="Q367" s="10">
        <v>74.599999999999994</v>
      </c>
      <c r="R367" s="10" t="s">
        <v>66</v>
      </c>
      <c r="S367" s="10">
        <v>606.20000000000005</v>
      </c>
      <c r="T367" s="10">
        <v>254.6</v>
      </c>
      <c r="U367" s="29">
        <v>43671</v>
      </c>
      <c r="V367" s="29">
        <v>47323</v>
      </c>
      <c r="W367" s="10" t="s">
        <v>13</v>
      </c>
      <c r="X367" s="10" t="s">
        <v>17</v>
      </c>
    </row>
    <row r="368" spans="1:24" ht="45" customHeight="1" x14ac:dyDescent="0.25">
      <c r="A368" s="10">
        <f t="shared" si="0"/>
        <v>365</v>
      </c>
      <c r="B368" s="11" t="s">
        <v>1064</v>
      </c>
      <c r="C368" s="10" t="s">
        <v>1065</v>
      </c>
      <c r="D368" s="10" t="s">
        <v>783</v>
      </c>
      <c r="E368" s="10" t="s">
        <v>2</v>
      </c>
      <c r="F368" s="11" t="s">
        <v>1066</v>
      </c>
      <c r="G368" s="11"/>
      <c r="H368" s="11"/>
      <c r="I368" s="11">
        <v>1984</v>
      </c>
      <c r="J368" s="11" t="s">
        <v>724</v>
      </c>
      <c r="K368" s="15" t="str">
        <f t="shared" si="6"/>
        <v>АА000072</v>
      </c>
      <c r="L368" s="15" t="str">
        <f>HYPERLINK("https://drive.google.com/open?id=1yn2Tv3md-rl-oc90dkpzFy9jD2310wKe","Сертифікат")</f>
        <v>Сертифікат</v>
      </c>
      <c r="M368" s="11" t="s">
        <v>20</v>
      </c>
      <c r="N368" s="10">
        <v>1149.5999999999999</v>
      </c>
      <c r="O368" s="10">
        <v>3512</v>
      </c>
      <c r="P368" s="10">
        <v>2</v>
      </c>
      <c r="Q368" s="10">
        <v>61.1</v>
      </c>
      <c r="R368" s="10" t="s">
        <v>66</v>
      </c>
      <c r="S368" s="10">
        <v>485.5</v>
      </c>
      <c r="T368" s="10">
        <v>203.9</v>
      </c>
      <c r="U368" s="29">
        <v>43676</v>
      </c>
      <c r="V368" s="29">
        <v>47328</v>
      </c>
      <c r="W368" s="10" t="s">
        <v>10</v>
      </c>
      <c r="X368" s="10" t="s">
        <v>17</v>
      </c>
    </row>
    <row r="369" spans="1:24" ht="45" customHeight="1" x14ac:dyDescent="0.25">
      <c r="A369" s="10">
        <f t="shared" si="0"/>
        <v>366</v>
      </c>
      <c r="B369" s="11" t="s">
        <v>1067</v>
      </c>
      <c r="C369" s="10" t="s">
        <v>374</v>
      </c>
      <c r="D369" s="10" t="s">
        <v>79</v>
      </c>
      <c r="E369" s="10" t="s">
        <v>3</v>
      </c>
      <c r="F369" s="11" t="s">
        <v>1068</v>
      </c>
      <c r="G369" s="11"/>
      <c r="H369" s="11"/>
      <c r="I369" s="11">
        <v>1932</v>
      </c>
      <c r="J369" s="11" t="s">
        <v>150</v>
      </c>
      <c r="K369" s="15" t="str">
        <f>HYPERLINK("https://drive.google.com/open?id=1lPaVOdYRv96X1_3N5OYB5TnG02gUybVZ","СБ-0025")</f>
        <v>СБ-0025</v>
      </c>
      <c r="L369" s="15" t="str">
        <f>HYPERLINK("https://drive.google.com/open?id=16rmXUXnV9lC5RHUqXZprzMjHIjN7JNsL","Сертифікат")</f>
        <v>Сертифікат</v>
      </c>
      <c r="M369" s="11" t="s">
        <v>22</v>
      </c>
      <c r="N369" s="10">
        <v>4020</v>
      </c>
      <c r="O369" s="10">
        <v>16964</v>
      </c>
      <c r="P369" s="10">
        <v>3</v>
      </c>
      <c r="Q369" s="10">
        <v>43</v>
      </c>
      <c r="R369" s="10" t="s">
        <v>66</v>
      </c>
      <c r="S369" s="10">
        <v>282.24</v>
      </c>
      <c r="T369" s="10">
        <v>81.290000000000006</v>
      </c>
      <c r="U369" s="29">
        <v>43615</v>
      </c>
      <c r="V369" s="29">
        <v>47267</v>
      </c>
      <c r="W369" s="10" t="s">
        <v>10</v>
      </c>
      <c r="X369" s="10" t="s">
        <v>17</v>
      </c>
    </row>
    <row r="370" spans="1:24" ht="45" customHeight="1" x14ac:dyDescent="0.25">
      <c r="A370" s="10">
        <f t="shared" si="0"/>
        <v>367</v>
      </c>
      <c r="B370" s="11" t="s">
        <v>1069</v>
      </c>
      <c r="C370" s="10" t="s">
        <v>1070</v>
      </c>
      <c r="D370" s="10" t="s">
        <v>79</v>
      </c>
      <c r="E370" s="10" t="s">
        <v>5</v>
      </c>
      <c r="F370" s="11" t="s">
        <v>1071</v>
      </c>
      <c r="G370" s="11"/>
      <c r="H370" s="11"/>
      <c r="I370" s="11">
        <v>1983</v>
      </c>
      <c r="J370" s="11" t="s">
        <v>848</v>
      </c>
      <c r="K370" s="15" t="str">
        <f t="shared" ref="K370:K371" si="7">HYPERLINK("https://drive.google.com/open?id=1iyyuXsFJgof-vuGhbT1Fobdkzo4OyADv","СБ-0030")</f>
        <v>СБ-0030</v>
      </c>
      <c r="L370" s="15" t="str">
        <f>HYPERLINK("https://drive.google.com/open?id=1CDnfsNbDiXx4lkyJOQYzGuP7iLe6xhxd","Сертифікат")</f>
        <v>Сертифікат</v>
      </c>
      <c r="M370" s="11" t="s">
        <v>26</v>
      </c>
      <c r="N370" s="10">
        <v>2679</v>
      </c>
      <c r="O370" s="10">
        <v>7903</v>
      </c>
      <c r="P370" s="10">
        <v>2</v>
      </c>
      <c r="Q370" s="10">
        <v>162</v>
      </c>
      <c r="R370" s="10" t="s">
        <v>66</v>
      </c>
      <c r="S370" s="10">
        <v>554</v>
      </c>
      <c r="T370" s="10">
        <v>128</v>
      </c>
      <c r="U370" s="29">
        <v>43615</v>
      </c>
      <c r="V370" s="29">
        <v>47267</v>
      </c>
      <c r="W370" s="10" t="s">
        <v>10</v>
      </c>
      <c r="X370" s="10" t="s">
        <v>17</v>
      </c>
    </row>
    <row r="371" spans="1:24" ht="45" customHeight="1" x14ac:dyDescent="0.25">
      <c r="A371" s="10">
        <f t="shared" si="0"/>
        <v>368</v>
      </c>
      <c r="B371" s="11" t="s">
        <v>1072</v>
      </c>
      <c r="C371" s="10" t="s">
        <v>329</v>
      </c>
      <c r="D371" s="10" t="s">
        <v>79</v>
      </c>
      <c r="E371" s="10" t="s">
        <v>0</v>
      </c>
      <c r="F371" s="11" t="s">
        <v>1073</v>
      </c>
      <c r="G371" s="11"/>
      <c r="H371" s="11"/>
      <c r="I371" s="11">
        <v>1985</v>
      </c>
      <c r="J371" s="11" t="s">
        <v>848</v>
      </c>
      <c r="K371" s="15" t="str">
        <f t="shared" si="7"/>
        <v>СБ-0030</v>
      </c>
      <c r="L371" s="15" t="str">
        <f>HYPERLINK("https://drive.google.com/open?id=1fDLZoYnR2FUkEdNefOFTzn8F-tWRsbVE","Сертифікат")</f>
        <v>Сертифікат</v>
      </c>
      <c r="M371" s="11" t="s">
        <v>26</v>
      </c>
      <c r="N371" s="10">
        <v>8092</v>
      </c>
      <c r="O371" s="10">
        <v>22940</v>
      </c>
      <c r="P371" s="10">
        <v>8</v>
      </c>
      <c r="Q371" s="10">
        <v>190</v>
      </c>
      <c r="R371" s="10" t="s">
        <v>57</v>
      </c>
      <c r="S371" s="10">
        <v>273</v>
      </c>
      <c r="T371" s="10">
        <v>75</v>
      </c>
      <c r="U371" s="29">
        <v>43615</v>
      </c>
      <c r="V371" s="29">
        <v>47267</v>
      </c>
      <c r="W371" s="10" t="s">
        <v>10</v>
      </c>
      <c r="X371" s="10" t="s">
        <v>17</v>
      </c>
    </row>
    <row r="372" spans="1:24" ht="45" customHeight="1" x14ac:dyDescent="0.25">
      <c r="A372" s="10">
        <f t="shared" si="0"/>
        <v>369</v>
      </c>
      <c r="B372" s="11" t="s">
        <v>1074</v>
      </c>
      <c r="C372" s="10" t="s">
        <v>1075</v>
      </c>
      <c r="D372" s="10" t="s">
        <v>86</v>
      </c>
      <c r="E372" s="10" t="s">
        <v>0</v>
      </c>
      <c r="F372" s="11" t="s">
        <v>0</v>
      </c>
      <c r="G372" s="11"/>
      <c r="H372" s="11"/>
      <c r="I372" s="11" t="s">
        <v>836</v>
      </c>
      <c r="J372" s="11" t="s">
        <v>642</v>
      </c>
      <c r="K372" s="15" t="str">
        <f>HYPERLINK("https://drive.google.com/open?id=1cxGxrVWMvCNlS6TwjKIt2Jn85z6h57TB","ЕЕ-036-05-19")</f>
        <v>ЕЕ-036-05-19</v>
      </c>
      <c r="L372" s="15" t="str">
        <f>HYPERLINK("https://drive.google.com/open?id=1BiRD5C2zmM5HnmSDWmK7lPA20eQg-b5_","Сертифікат")</f>
        <v>Сертифікат</v>
      </c>
      <c r="M372" s="11" t="s">
        <v>26</v>
      </c>
      <c r="N372" s="10">
        <v>2973</v>
      </c>
      <c r="O372" s="10">
        <v>8724</v>
      </c>
      <c r="P372" s="10">
        <v>5</v>
      </c>
      <c r="Q372" s="10">
        <v>163.5</v>
      </c>
      <c r="R372" s="10" t="s">
        <v>57</v>
      </c>
      <c r="S372" s="10">
        <v>235</v>
      </c>
      <c r="T372" s="10">
        <v>46</v>
      </c>
      <c r="U372" s="29">
        <v>43684</v>
      </c>
      <c r="V372" s="29">
        <v>47336</v>
      </c>
      <c r="W372" s="10" t="s">
        <v>13</v>
      </c>
      <c r="X372" s="10" t="s">
        <v>17</v>
      </c>
    </row>
    <row r="373" spans="1:24" ht="45" customHeight="1" x14ac:dyDescent="0.25">
      <c r="A373" s="10">
        <f t="shared" si="0"/>
        <v>370</v>
      </c>
      <c r="B373" s="11" t="s">
        <v>1076</v>
      </c>
      <c r="C373" s="10" t="s">
        <v>1077</v>
      </c>
      <c r="D373" s="10" t="s">
        <v>148</v>
      </c>
      <c r="E373" s="10" t="s">
        <v>4</v>
      </c>
      <c r="F373" s="11" t="s">
        <v>1078</v>
      </c>
      <c r="G373" s="11"/>
      <c r="H373" s="11"/>
      <c r="I373" s="11">
        <v>1967</v>
      </c>
      <c r="J373" s="11" t="s">
        <v>110</v>
      </c>
      <c r="K373" s="15" t="str">
        <f>HYPERLINK("https://drive.google.com/open?id=1hysLLNyTDspucV_3Tt8ScCWEgMedd8bv","1/010")</f>
        <v>1/010</v>
      </c>
      <c r="L373" s="15" t="str">
        <f>HYPERLINK("https://drive.google.com/open?id=1usSnh8eE-B_jaE1oy_3HooScvJu3fthC","Сертифікат")</f>
        <v>Сертифікат</v>
      </c>
      <c r="M373" s="11" t="s">
        <v>26</v>
      </c>
      <c r="N373" s="10">
        <v>1391.5</v>
      </c>
      <c r="O373" s="10">
        <v>4174.5</v>
      </c>
      <c r="P373" s="10">
        <v>2</v>
      </c>
      <c r="Q373" s="10">
        <v>113.12</v>
      </c>
      <c r="R373" s="10" t="s">
        <v>66</v>
      </c>
      <c r="S373" s="10">
        <v>397.44</v>
      </c>
      <c r="T373" s="10">
        <v>78.989999999999995</v>
      </c>
      <c r="U373" s="29">
        <v>43685</v>
      </c>
      <c r="V373" s="29">
        <v>47337</v>
      </c>
      <c r="W373" s="10" t="s">
        <v>10</v>
      </c>
      <c r="X373" s="10" t="s">
        <v>17</v>
      </c>
    </row>
    <row r="374" spans="1:24" ht="45" customHeight="1" x14ac:dyDescent="0.25">
      <c r="A374" s="10">
        <f t="shared" si="0"/>
        <v>371</v>
      </c>
      <c r="B374" s="11" t="s">
        <v>1079</v>
      </c>
      <c r="C374" s="10" t="s">
        <v>1080</v>
      </c>
      <c r="D374" s="10" t="s">
        <v>148</v>
      </c>
      <c r="E374" s="10" t="s">
        <v>5</v>
      </c>
      <c r="F374" s="11" t="s">
        <v>1081</v>
      </c>
      <c r="G374" s="11"/>
      <c r="H374" s="11"/>
      <c r="I374" s="11" t="s">
        <v>836</v>
      </c>
      <c r="J374" s="11" t="s">
        <v>732</v>
      </c>
      <c r="K374" s="15" t="str">
        <f t="shared" ref="K374:K375" si="8">HYPERLINK("https://drive.google.com/open?id=1YmIUNUHq4P-kOoyLjfDDMpvQv5hFDMTd","OPI-АВ00010")</f>
        <v>OPI-АВ00010</v>
      </c>
      <c r="L374" s="15" t="str">
        <f>HYPERLINK("https://drive.google.com/open?id=1HyIi-EPTwBWl-awalvHe0QoJYOdOevRc","Сертифікат")</f>
        <v>Сертифікат</v>
      </c>
      <c r="M374" s="11" t="s">
        <v>18</v>
      </c>
      <c r="N374" s="10">
        <v>2473.4899999999998</v>
      </c>
      <c r="O374" s="10">
        <v>8162.52</v>
      </c>
      <c r="P374" s="10">
        <v>4</v>
      </c>
      <c r="Q374" s="10">
        <v>51.7</v>
      </c>
      <c r="R374" s="10" t="s">
        <v>66</v>
      </c>
      <c r="S374" s="10">
        <v>311</v>
      </c>
      <c r="T374" s="10">
        <v>59</v>
      </c>
      <c r="U374" s="29">
        <v>43685</v>
      </c>
      <c r="V374" s="29">
        <v>47337</v>
      </c>
      <c r="W374" s="10" t="s">
        <v>13</v>
      </c>
      <c r="X374" s="10" t="s">
        <v>14</v>
      </c>
    </row>
    <row r="375" spans="1:24" ht="45" customHeight="1" x14ac:dyDescent="0.25">
      <c r="A375" s="10">
        <f t="shared" si="0"/>
        <v>372</v>
      </c>
      <c r="B375" s="11" t="s">
        <v>1082</v>
      </c>
      <c r="C375" s="10" t="s">
        <v>1083</v>
      </c>
      <c r="D375" s="10" t="s">
        <v>148</v>
      </c>
      <c r="E375" s="10" t="s">
        <v>0</v>
      </c>
      <c r="F375" s="11" t="s">
        <v>1084</v>
      </c>
      <c r="G375" s="11"/>
      <c r="H375" s="11"/>
      <c r="I375" s="11" t="s">
        <v>836</v>
      </c>
      <c r="J375" s="11" t="s">
        <v>732</v>
      </c>
      <c r="K375" s="15" t="str">
        <f t="shared" si="8"/>
        <v>OPI-АВ00010</v>
      </c>
      <c r="L375" s="15" t="str">
        <f>HYPERLINK("https://drive.google.com/open?id=15tdL_PXlUgQKtJNedzuQl5SpJ-DP9yBC","Сертифікат")</f>
        <v>Сертифікат</v>
      </c>
      <c r="M375" s="11" t="s">
        <v>18</v>
      </c>
      <c r="N375" s="10">
        <v>11208.96</v>
      </c>
      <c r="O375" s="10">
        <v>30824.639999999999</v>
      </c>
      <c r="P375" s="10">
        <v>7</v>
      </c>
      <c r="Q375" s="10">
        <v>84.7</v>
      </c>
      <c r="R375" s="10" t="s">
        <v>57</v>
      </c>
      <c r="S375" s="10">
        <v>124</v>
      </c>
      <c r="T375" s="10">
        <v>24</v>
      </c>
      <c r="U375" s="29">
        <v>43686</v>
      </c>
      <c r="V375" s="29">
        <v>47338</v>
      </c>
      <c r="W375" s="10" t="s">
        <v>13</v>
      </c>
      <c r="X375" s="10" t="s">
        <v>17</v>
      </c>
    </row>
    <row r="376" spans="1:24" ht="45" customHeight="1" x14ac:dyDescent="0.25">
      <c r="A376" s="10">
        <f t="shared" si="0"/>
        <v>373</v>
      </c>
      <c r="B376" s="11" t="s">
        <v>1085</v>
      </c>
      <c r="C376" s="10" t="s">
        <v>1086</v>
      </c>
      <c r="D376" s="10" t="s">
        <v>541</v>
      </c>
      <c r="E376" s="10" t="s">
        <v>4</v>
      </c>
      <c r="F376" s="11" t="s">
        <v>1087</v>
      </c>
      <c r="G376" s="11"/>
      <c r="H376" s="11"/>
      <c r="I376" s="11">
        <v>1990</v>
      </c>
      <c r="J376" s="11" t="s">
        <v>209</v>
      </c>
      <c r="K376" s="15" t="str">
        <f t="shared" ref="K376:K377" si="9">HYPERLINK("https://drive.google.com/open?id=1nFSy5k_5dEpHD1r7NrzhyR0bvCdUEIlN","СБ-0033")</f>
        <v>СБ-0033</v>
      </c>
      <c r="L376" s="15" t="str">
        <f>HYPERLINK("https://drive.google.com/open?id=1i84ok6BLPrdfqOwnoFhHRRbWoSi5c1yI","Сертифікат")</f>
        <v>Сертифікат</v>
      </c>
      <c r="M376" s="11" t="s">
        <v>26</v>
      </c>
      <c r="N376" s="10">
        <v>2135</v>
      </c>
      <c r="O376" s="10">
        <v>7045</v>
      </c>
      <c r="P376" s="10">
        <v>2</v>
      </c>
      <c r="Q376" s="10">
        <v>109</v>
      </c>
      <c r="R376" s="10" t="s">
        <v>66</v>
      </c>
      <c r="S376" s="10">
        <v>537</v>
      </c>
      <c r="T376" s="10">
        <v>94</v>
      </c>
      <c r="U376" s="29">
        <v>43682</v>
      </c>
      <c r="V376" s="29">
        <v>47334</v>
      </c>
      <c r="W376" s="10" t="s">
        <v>10</v>
      </c>
      <c r="X376" s="10" t="s">
        <v>17</v>
      </c>
    </row>
    <row r="377" spans="1:24" ht="45" customHeight="1" x14ac:dyDescent="0.25">
      <c r="A377" s="10">
        <f t="shared" si="0"/>
        <v>374</v>
      </c>
      <c r="B377" s="11" t="s">
        <v>1088</v>
      </c>
      <c r="C377" s="10" t="s">
        <v>1089</v>
      </c>
      <c r="D377" s="10" t="s">
        <v>148</v>
      </c>
      <c r="E377" s="10" t="s">
        <v>4</v>
      </c>
      <c r="F377" s="11" t="s">
        <v>1090</v>
      </c>
      <c r="G377" s="11"/>
      <c r="H377" s="11"/>
      <c r="I377" s="11">
        <v>1979</v>
      </c>
      <c r="J377" s="11" t="s">
        <v>209</v>
      </c>
      <c r="K377" s="15" t="str">
        <f t="shared" si="9"/>
        <v>СБ-0033</v>
      </c>
      <c r="L377" s="15" t="str">
        <f>HYPERLINK("https://drive.google.com/open?id=1R8sSH5WytTwI9o90D0q-KxxfR_sqa34n","Сертифікат")</f>
        <v>Сертифікат</v>
      </c>
      <c r="M377" s="11" t="s">
        <v>26</v>
      </c>
      <c r="N377" s="10">
        <v>1935</v>
      </c>
      <c r="O377" s="10">
        <v>4838</v>
      </c>
      <c r="P377" s="10">
        <v>2</v>
      </c>
      <c r="Q377" s="10">
        <v>95</v>
      </c>
      <c r="R377" s="10" t="s">
        <v>66</v>
      </c>
      <c r="S377" s="10">
        <v>352</v>
      </c>
      <c r="T377" s="10">
        <v>77</v>
      </c>
      <c r="U377" s="11" t="s">
        <v>1091</v>
      </c>
      <c r="V377" s="29">
        <v>47338</v>
      </c>
      <c r="W377" s="10" t="s">
        <v>13</v>
      </c>
      <c r="X377" s="10" t="s">
        <v>17</v>
      </c>
    </row>
    <row r="378" spans="1:24" ht="45" customHeight="1" x14ac:dyDescent="0.25">
      <c r="A378" s="10">
        <f t="shared" si="0"/>
        <v>375</v>
      </c>
      <c r="B378" s="11" t="s">
        <v>1092</v>
      </c>
      <c r="C378" s="10" t="s">
        <v>1093</v>
      </c>
      <c r="D378" s="10" t="s">
        <v>815</v>
      </c>
      <c r="E378" s="10" t="s">
        <v>2</v>
      </c>
      <c r="F378" s="11" t="s">
        <v>2</v>
      </c>
      <c r="G378" s="11"/>
      <c r="H378" s="11"/>
      <c r="I378" s="11" t="s">
        <v>836</v>
      </c>
      <c r="J378" s="11" t="s">
        <v>1094</v>
      </c>
      <c r="K378" s="15" t="str">
        <f>HYPERLINK("https://drive.google.com/open?id=1Qlik4TIJLPoTQ6woAYUYpDbbA-PfyWE1","АА000059")</f>
        <v>АА000059</v>
      </c>
      <c r="L378" s="15" t="str">
        <f>HYPERLINK("https://drive.google.com/open?id=1t0w0Z3FxOGGEr1XmaaslPQWRAsdDoek5","Сертифікат")</f>
        <v>Сертифікат</v>
      </c>
      <c r="M378" s="11" t="s">
        <v>26</v>
      </c>
      <c r="N378" s="10">
        <v>225.6</v>
      </c>
      <c r="O378" s="10">
        <v>676.5</v>
      </c>
      <c r="P378" s="10">
        <v>1</v>
      </c>
      <c r="Q378" s="10">
        <v>145.30000000000001</v>
      </c>
      <c r="R378" s="10" t="s">
        <v>66</v>
      </c>
      <c r="S378" s="10">
        <v>255</v>
      </c>
      <c r="T378" s="10">
        <v>48</v>
      </c>
      <c r="U378" s="29">
        <v>43686</v>
      </c>
      <c r="V378" s="29">
        <v>47338</v>
      </c>
      <c r="W378" s="10" t="s">
        <v>13</v>
      </c>
      <c r="X378" s="10" t="s">
        <v>17</v>
      </c>
    </row>
    <row r="379" spans="1:24" ht="45" customHeight="1" x14ac:dyDescent="0.25">
      <c r="A379" s="10">
        <f t="shared" si="0"/>
        <v>376</v>
      </c>
      <c r="B379" s="11" t="s">
        <v>1095</v>
      </c>
      <c r="C379" s="10" t="s">
        <v>1096</v>
      </c>
      <c r="D379" s="10" t="s">
        <v>247</v>
      </c>
      <c r="E379" s="10" t="s">
        <v>2</v>
      </c>
      <c r="F379" s="11" t="s">
        <v>1097</v>
      </c>
      <c r="G379" s="11"/>
      <c r="H379" s="11"/>
      <c r="I379" s="11">
        <v>1976</v>
      </c>
      <c r="J379" s="11" t="s">
        <v>642</v>
      </c>
      <c r="K379" s="15" t="s">
        <v>643</v>
      </c>
      <c r="L379" s="15" t="str">
        <f>HYPERLINK("https://drive.google.com/open?id=1XqdUodnPGrijbhGrE1ejPo7v5DGgElk7","Сертифікат")</f>
        <v>Сертифікат</v>
      </c>
      <c r="M379" s="11" t="s">
        <v>26</v>
      </c>
      <c r="N379" s="10">
        <v>510.4</v>
      </c>
      <c r="O379" s="10">
        <v>1531.2</v>
      </c>
      <c r="P379" s="10">
        <v>2</v>
      </c>
      <c r="Q379" s="10">
        <v>105.1</v>
      </c>
      <c r="R379" s="10" t="s">
        <v>66</v>
      </c>
      <c r="S379" s="10">
        <v>408</v>
      </c>
      <c r="T379" s="10">
        <v>80</v>
      </c>
      <c r="U379" s="29">
        <v>43685</v>
      </c>
      <c r="V379" s="29">
        <v>47337</v>
      </c>
      <c r="W379" s="10" t="s">
        <v>10</v>
      </c>
      <c r="X379" s="10" t="s">
        <v>17</v>
      </c>
    </row>
    <row r="380" spans="1:24" ht="45" customHeight="1" x14ac:dyDescent="0.25">
      <c r="A380" s="10">
        <f t="shared" si="0"/>
        <v>377</v>
      </c>
      <c r="B380" s="11" t="s">
        <v>1098</v>
      </c>
      <c r="C380" s="10" t="s">
        <v>383</v>
      </c>
      <c r="D380" s="47" t="s">
        <v>79</v>
      </c>
      <c r="E380" s="10" t="s">
        <v>0</v>
      </c>
      <c r="F380" s="27" t="s">
        <v>1099</v>
      </c>
      <c r="G380" s="11"/>
      <c r="H380" s="11"/>
      <c r="I380" s="11">
        <v>1978</v>
      </c>
      <c r="J380" s="11" t="s">
        <v>848</v>
      </c>
      <c r="K380" s="15" t="str">
        <f>HYPERLINK("https://drive.google.com/open?id=1iyyuXsFJgof-vuGhbT1Fobdkzo4OyADv","СБ-0030")</f>
        <v>СБ-0030</v>
      </c>
      <c r="L380" s="15" t="str">
        <f>HYPERLINK("https://drive.google.com/open?id=1kYDRVFkSwd7Hy_N_hw86Yc4igpDwDbnm","Сертифікат")</f>
        <v>Сертифікат</v>
      </c>
      <c r="M380" s="11" t="s">
        <v>26</v>
      </c>
      <c r="N380" s="10">
        <v>1164</v>
      </c>
      <c r="O380" s="10">
        <v>3494</v>
      </c>
      <c r="P380" s="10">
        <v>2</v>
      </c>
      <c r="Q380" s="10">
        <v>330</v>
      </c>
      <c r="R380" s="10" t="s">
        <v>57</v>
      </c>
      <c r="S380" s="10">
        <v>481</v>
      </c>
      <c r="T380" s="10">
        <v>141</v>
      </c>
      <c r="U380" s="29">
        <v>43615</v>
      </c>
      <c r="V380" s="29">
        <v>47267</v>
      </c>
      <c r="W380" s="10" t="s">
        <v>13</v>
      </c>
      <c r="X380" s="10" t="s">
        <v>17</v>
      </c>
    </row>
    <row r="381" spans="1:24" ht="45" customHeight="1" x14ac:dyDescent="0.25">
      <c r="A381" s="10">
        <f t="shared" si="0"/>
        <v>378</v>
      </c>
      <c r="B381" s="11" t="s">
        <v>1100</v>
      </c>
      <c r="C381" s="10" t="s">
        <v>85</v>
      </c>
      <c r="D381" s="10" t="s">
        <v>86</v>
      </c>
      <c r="E381" s="10" t="s">
        <v>5</v>
      </c>
      <c r="F381" s="11" t="s">
        <v>1101</v>
      </c>
      <c r="G381" s="11"/>
      <c r="H381" s="11"/>
      <c r="I381" s="11">
        <v>1891</v>
      </c>
      <c r="J381" s="11" t="s">
        <v>88</v>
      </c>
      <c r="K381" s="15" t="str">
        <f>HYPERLINK("https://drive.google.com/open?id=1XopdzYwEcMagOaa2WB28BzUzzCLgbDlr","АР 000037")</f>
        <v>АР 000037</v>
      </c>
      <c r="L381" s="15" t="str">
        <f>HYPERLINK("https://drive.google.com/open?id=1Fc-Tz5Bp9bDi03XCpPssu29okxGCRT3c","Сертифікат")</f>
        <v>Сертифікат</v>
      </c>
      <c r="M381" s="11" t="s">
        <v>18</v>
      </c>
      <c r="N381" s="10">
        <v>1870</v>
      </c>
      <c r="O381" s="10">
        <v>6895.6</v>
      </c>
      <c r="P381" s="10">
        <v>3</v>
      </c>
      <c r="Q381" s="10">
        <v>55</v>
      </c>
      <c r="R381" s="10" t="s">
        <v>66</v>
      </c>
      <c r="S381" s="10">
        <v>280.3</v>
      </c>
      <c r="T381" s="10">
        <v>78.099999999999994</v>
      </c>
      <c r="U381" s="29">
        <v>43686</v>
      </c>
      <c r="V381" s="29">
        <v>47338</v>
      </c>
      <c r="W381" s="10" t="s">
        <v>10</v>
      </c>
      <c r="X381" s="10" t="s">
        <v>17</v>
      </c>
    </row>
    <row r="382" spans="1:24" ht="45" customHeight="1" x14ac:dyDescent="0.25">
      <c r="A382" s="10">
        <f t="shared" si="0"/>
        <v>379</v>
      </c>
      <c r="B382" s="11" t="s">
        <v>1102</v>
      </c>
      <c r="C382" s="10" t="s">
        <v>489</v>
      </c>
      <c r="D382" s="10" t="s">
        <v>79</v>
      </c>
      <c r="E382" s="10" t="s">
        <v>0</v>
      </c>
      <c r="F382" s="11" t="s">
        <v>1103</v>
      </c>
      <c r="G382" s="11"/>
      <c r="H382" s="11"/>
      <c r="I382" s="11">
        <v>1978</v>
      </c>
      <c r="J382" s="11" t="s">
        <v>848</v>
      </c>
      <c r="K382" s="15" t="str">
        <f>HYPERLINK("https://drive.google.com/open?id=1iyyuXsFJgof-vuGhbT1Fobdkzo4OyADv","СБ-0030")</f>
        <v>СБ-0030</v>
      </c>
      <c r="L382" s="15" t="str">
        <f>HYPERLINK("https://drive.google.com/open?id=1cpKUqXI2u09Fn42vxWYrLWWYRzfBPEB3","Сертифікат")</f>
        <v>Сертифікат</v>
      </c>
      <c r="M382" s="11" t="s">
        <v>24</v>
      </c>
      <c r="N382" s="10">
        <v>4121</v>
      </c>
      <c r="O382" s="10">
        <v>12720</v>
      </c>
      <c r="P382" s="10">
        <v>3</v>
      </c>
      <c r="Q382" s="10">
        <v>209</v>
      </c>
      <c r="R382" s="10" t="s">
        <v>57</v>
      </c>
      <c r="S382" s="10">
        <v>279</v>
      </c>
      <c r="T382" s="10">
        <v>72</v>
      </c>
      <c r="U382" s="29">
        <v>43615</v>
      </c>
      <c r="V382" s="29">
        <v>47267</v>
      </c>
      <c r="W382" s="10" t="s">
        <v>10</v>
      </c>
      <c r="X382" s="10" t="s">
        <v>17</v>
      </c>
    </row>
    <row r="383" spans="1:24" ht="45" customHeight="1" x14ac:dyDescent="0.25">
      <c r="A383" s="10">
        <f t="shared" si="0"/>
        <v>380</v>
      </c>
      <c r="B383" s="11" t="s">
        <v>1104</v>
      </c>
      <c r="C383" s="10" t="s">
        <v>1083</v>
      </c>
      <c r="D383" s="10" t="s">
        <v>148</v>
      </c>
      <c r="E383" s="10" t="s">
        <v>0</v>
      </c>
      <c r="F383" s="11" t="s">
        <v>1105</v>
      </c>
      <c r="G383" s="11"/>
      <c r="H383" s="11"/>
      <c r="I383" s="11" t="s">
        <v>836</v>
      </c>
      <c r="J383" s="11" t="s">
        <v>732</v>
      </c>
      <c r="K383" s="15" t="str">
        <f t="shared" ref="K383:K385" si="10">HYPERLINK("https://drive.google.com/open?id=1YmIUNUHq4P-kOoyLjfDDMpvQv5hFDMTd","OPI-АВ00010")</f>
        <v>OPI-АВ00010</v>
      </c>
      <c r="L383" s="15" t="str">
        <f>HYPERLINK("https://drive.google.com/open?id=1fObPyqyjDfjLGeV856tv-6OsPG_c0B8b","Сертифікат")</f>
        <v>Сертифікат</v>
      </c>
      <c r="M383" s="11" t="s">
        <v>18</v>
      </c>
      <c r="N383" s="10">
        <v>8010.94</v>
      </c>
      <c r="O383" s="10">
        <v>22030.09</v>
      </c>
      <c r="P383" s="10">
        <v>7</v>
      </c>
      <c r="Q383" s="10">
        <v>82.6</v>
      </c>
      <c r="R383" s="10" t="s">
        <v>57</v>
      </c>
      <c r="S383" s="10">
        <v>122</v>
      </c>
      <c r="T383" s="10">
        <v>24</v>
      </c>
      <c r="U383" s="29">
        <v>43689</v>
      </c>
      <c r="V383" s="29">
        <v>47341</v>
      </c>
      <c r="W383" s="10" t="s">
        <v>13</v>
      </c>
      <c r="X383" s="10" t="s">
        <v>17</v>
      </c>
    </row>
    <row r="384" spans="1:24" ht="45" customHeight="1" x14ac:dyDescent="0.25">
      <c r="A384" s="10">
        <f t="shared" si="0"/>
        <v>381</v>
      </c>
      <c r="B384" s="11" t="s">
        <v>1106</v>
      </c>
      <c r="C384" s="10" t="s">
        <v>1083</v>
      </c>
      <c r="D384" s="10" t="s">
        <v>148</v>
      </c>
      <c r="E384" s="10" t="s">
        <v>0</v>
      </c>
      <c r="F384" s="11" t="s">
        <v>1107</v>
      </c>
      <c r="G384" s="11"/>
      <c r="H384" s="11"/>
      <c r="I384" s="11" t="s">
        <v>836</v>
      </c>
      <c r="J384" s="11" t="s">
        <v>732</v>
      </c>
      <c r="K384" s="15" t="str">
        <f t="shared" si="10"/>
        <v>OPI-АВ00010</v>
      </c>
      <c r="L384" s="15" t="str">
        <f>HYPERLINK("https://drive.google.com/open?id=1llRC-pUFZNjc4ttu4VfBHo6xIAo3uA4S","Сертифікат")</f>
        <v>Сертифікат</v>
      </c>
      <c r="M384" s="11" t="s">
        <v>18</v>
      </c>
      <c r="N384" s="10">
        <v>5995.13</v>
      </c>
      <c r="O384" s="10">
        <v>17161.919999999998</v>
      </c>
      <c r="P384" s="10">
        <v>7</v>
      </c>
      <c r="Q384" s="10">
        <v>85.6</v>
      </c>
      <c r="R384" s="10" t="s">
        <v>57</v>
      </c>
      <c r="S384" s="10">
        <v>125</v>
      </c>
      <c r="T384" s="10">
        <v>24</v>
      </c>
      <c r="U384" s="29">
        <v>43689</v>
      </c>
      <c r="V384" s="29">
        <v>47341</v>
      </c>
      <c r="W384" s="10" t="s">
        <v>13</v>
      </c>
      <c r="X384" s="10" t="s">
        <v>17</v>
      </c>
    </row>
    <row r="385" spans="1:24" ht="45" customHeight="1" x14ac:dyDescent="0.25">
      <c r="A385" s="10">
        <f t="shared" si="0"/>
        <v>382</v>
      </c>
      <c r="B385" s="11" t="s">
        <v>1108</v>
      </c>
      <c r="C385" s="10" t="s">
        <v>1083</v>
      </c>
      <c r="D385" s="10" t="s">
        <v>148</v>
      </c>
      <c r="E385" s="10" t="s">
        <v>0</v>
      </c>
      <c r="F385" s="11" t="s">
        <v>1109</v>
      </c>
      <c r="G385" s="11"/>
      <c r="H385" s="11"/>
      <c r="I385" s="11" t="s">
        <v>836</v>
      </c>
      <c r="J385" s="11" t="s">
        <v>732</v>
      </c>
      <c r="K385" s="15" t="str">
        <f t="shared" si="10"/>
        <v>OPI-АВ00010</v>
      </c>
      <c r="L385" s="15" t="str">
        <f>HYPERLINK("https://drive.google.com/open?id=1Gfxc867ejzKDnDHNXy0Q8k5VF3qJKYMe","Сертифікат")</f>
        <v>Сертифікат</v>
      </c>
      <c r="M385" s="11" t="s">
        <v>18</v>
      </c>
      <c r="N385" s="10">
        <v>3552.31</v>
      </c>
      <c r="O385" s="10">
        <v>10104.629999999999</v>
      </c>
      <c r="P385" s="10">
        <v>7</v>
      </c>
      <c r="Q385" s="10">
        <v>86.9</v>
      </c>
      <c r="R385" s="10" t="s">
        <v>57</v>
      </c>
      <c r="S385" s="10">
        <v>126</v>
      </c>
      <c r="T385" s="10">
        <v>25</v>
      </c>
      <c r="U385" s="29">
        <v>43689</v>
      </c>
      <c r="V385" s="29">
        <v>47341</v>
      </c>
      <c r="W385" s="10" t="s">
        <v>13</v>
      </c>
      <c r="X385" s="10" t="s">
        <v>17</v>
      </c>
    </row>
    <row r="386" spans="1:24" ht="45" customHeight="1" x14ac:dyDescent="0.25">
      <c r="A386" s="10">
        <f t="shared" si="0"/>
        <v>383</v>
      </c>
      <c r="B386" s="11" t="s">
        <v>1110</v>
      </c>
      <c r="C386" s="10" t="s">
        <v>345</v>
      </c>
      <c r="D386" s="10" t="s">
        <v>79</v>
      </c>
      <c r="E386" s="10" t="s">
        <v>3</v>
      </c>
      <c r="F386" s="11" t="s">
        <v>1111</v>
      </c>
      <c r="G386" s="11"/>
      <c r="H386" s="11"/>
      <c r="I386" s="11">
        <v>1950</v>
      </c>
      <c r="J386" s="11" t="s">
        <v>528</v>
      </c>
      <c r="K386" s="15" t="str">
        <f t="shared" ref="K386:K387" si="11">HYPERLINK("https://drive.google.com/open?id=1b93ySdw3huxxmrYQ1jK0iSB3PhUnUsyD","СБ-0019")</f>
        <v>СБ-0019</v>
      </c>
      <c r="L386" s="15" t="str">
        <f>HYPERLINK("https://drive.google.com/open?id=1oa4ZDbCb9A5anBso6qdrJ-9u17MEhqTB","Сертифікат")</f>
        <v>Сертифікат</v>
      </c>
      <c r="M386" s="11" t="s">
        <v>26</v>
      </c>
      <c r="N386" s="10">
        <v>458.2</v>
      </c>
      <c r="O386" s="10">
        <v>1374.46</v>
      </c>
      <c r="P386" s="10">
        <v>1</v>
      </c>
      <c r="Q386" s="10">
        <v>60</v>
      </c>
      <c r="R386" s="10" t="s">
        <v>66</v>
      </c>
      <c r="S386" s="10">
        <v>185</v>
      </c>
      <c r="T386" s="10">
        <v>39</v>
      </c>
      <c r="U386" s="29">
        <v>43686</v>
      </c>
      <c r="V386" s="29">
        <v>47338</v>
      </c>
      <c r="W386" s="10" t="s">
        <v>10</v>
      </c>
      <c r="X386" s="10" t="s">
        <v>17</v>
      </c>
    </row>
    <row r="387" spans="1:24" ht="45" customHeight="1" x14ac:dyDescent="0.25">
      <c r="A387" s="10">
        <f t="shared" si="0"/>
        <v>384</v>
      </c>
      <c r="B387" s="11" t="s">
        <v>1112</v>
      </c>
      <c r="C387" s="10" t="s">
        <v>552</v>
      </c>
      <c r="D387" s="10" t="s">
        <v>541</v>
      </c>
      <c r="E387" s="10" t="s">
        <v>5</v>
      </c>
      <c r="F387" s="11" t="s">
        <v>1113</v>
      </c>
      <c r="G387" s="11"/>
      <c r="H387" s="11"/>
      <c r="I387" s="11">
        <v>2005</v>
      </c>
      <c r="J387" s="11" t="s">
        <v>528</v>
      </c>
      <c r="K387" s="15" t="str">
        <f t="shared" si="11"/>
        <v>СБ-0019</v>
      </c>
      <c r="L387" s="15" t="str">
        <f>HYPERLINK("https://drive.google.com/open?id=1SU-T9oM4oTCtnKSTp6c9UUoLBNR-TyqR","Сертифікат")</f>
        <v>Сертифікат</v>
      </c>
      <c r="M387" s="11" t="s">
        <v>22</v>
      </c>
      <c r="N387" s="10">
        <v>2273</v>
      </c>
      <c r="O387" s="10">
        <v>7501</v>
      </c>
      <c r="P387" s="10">
        <v>4</v>
      </c>
      <c r="Q387" s="10">
        <v>82</v>
      </c>
      <c r="R387" s="10" t="s">
        <v>66</v>
      </c>
      <c r="S387" s="10">
        <v>610</v>
      </c>
      <c r="T387" s="10">
        <v>117</v>
      </c>
      <c r="U387" s="29">
        <v>43689</v>
      </c>
      <c r="V387" s="29">
        <v>47341</v>
      </c>
      <c r="W387" s="10" t="s">
        <v>10</v>
      </c>
      <c r="X387" s="10" t="s">
        <v>17</v>
      </c>
    </row>
    <row r="388" spans="1:24" ht="45" customHeight="1" x14ac:dyDescent="0.25">
      <c r="A388" s="10">
        <f t="shared" si="0"/>
        <v>385</v>
      </c>
      <c r="B388" s="11" t="s">
        <v>1114</v>
      </c>
      <c r="C388" s="10" t="s">
        <v>68</v>
      </c>
      <c r="D388" s="10" t="s">
        <v>69</v>
      </c>
      <c r="E388" s="10" t="s">
        <v>0</v>
      </c>
      <c r="F388" s="11" t="s">
        <v>1115</v>
      </c>
      <c r="G388" s="11"/>
      <c r="H388" s="11"/>
      <c r="I388" s="11">
        <v>1978</v>
      </c>
      <c r="J388" s="11" t="s">
        <v>1057</v>
      </c>
      <c r="K388" s="15" t="str">
        <f>HYPERLINK("https://drive.google.com/open?id=1jOJ8C4qs2yVEI7j7G_2k_QwYSBK43oV5","ЕЕ-024-02-19")</f>
        <v>ЕЕ-024-02-19</v>
      </c>
      <c r="L388" s="15" t="str">
        <f>HYPERLINK("https://drive.google.com/open?id=1YAntS7g6qE0pfc0QaXGZWuSA3u1cmb3n","Сертифікат")</f>
        <v>Сертифікат</v>
      </c>
      <c r="M388" s="11" t="s">
        <v>26</v>
      </c>
      <c r="N388" s="10">
        <v>3130.7</v>
      </c>
      <c r="O388" s="10">
        <v>8683.4</v>
      </c>
      <c r="P388" s="10">
        <v>5</v>
      </c>
      <c r="Q388" s="10">
        <v>221.1</v>
      </c>
      <c r="R388" s="10" t="s">
        <v>57</v>
      </c>
      <c r="S388" s="10">
        <v>327.8</v>
      </c>
      <c r="T388" s="10">
        <v>64.599999999999994</v>
      </c>
      <c r="U388" s="29">
        <v>43679</v>
      </c>
      <c r="V388" s="29">
        <v>47331</v>
      </c>
      <c r="W388" s="10" t="s">
        <v>13</v>
      </c>
      <c r="X388" s="10" t="s">
        <v>17</v>
      </c>
    </row>
    <row r="389" spans="1:24" ht="45" customHeight="1" x14ac:dyDescent="0.25">
      <c r="A389" s="10">
        <f t="shared" si="0"/>
        <v>386</v>
      </c>
      <c r="B389" s="11" t="s">
        <v>1116</v>
      </c>
      <c r="C389" s="10" t="s">
        <v>782</v>
      </c>
      <c r="D389" s="10" t="s">
        <v>783</v>
      </c>
      <c r="E389" s="10" t="s">
        <v>2</v>
      </c>
      <c r="F389" s="11" t="s">
        <v>1117</v>
      </c>
      <c r="G389" s="11"/>
      <c r="H389" s="11"/>
      <c r="I389" s="11">
        <v>1992</v>
      </c>
      <c r="J389" s="11" t="s">
        <v>724</v>
      </c>
      <c r="K389" s="15" t="str">
        <f>HYPERLINK("https://drive.google.com/open?id=1oKOZor5DyF6OVwkcYZr0z1iqaNRs9ITY","АА000072")</f>
        <v>АА000072</v>
      </c>
      <c r="L389" s="15" t="str">
        <f>HYPERLINK("https://drive.google.com/open?id=19Q0dxPz0JyseR9tX3IFVYMe0VixsLga0","Сертифікат")</f>
        <v>Сертифікат</v>
      </c>
      <c r="M389" s="11" t="s">
        <v>26</v>
      </c>
      <c r="N389" s="21" t="s">
        <v>1119</v>
      </c>
      <c r="O389" s="10">
        <v>2874</v>
      </c>
      <c r="P389" s="10">
        <v>1</v>
      </c>
      <c r="Q389" s="10" t="s">
        <v>1120</v>
      </c>
      <c r="R389" s="10" t="s">
        <v>66</v>
      </c>
      <c r="S389" s="10" t="s">
        <v>1121</v>
      </c>
      <c r="T389" s="10" t="s">
        <v>1122</v>
      </c>
      <c r="U389" s="29">
        <v>43671</v>
      </c>
      <c r="V389" s="29">
        <v>47323</v>
      </c>
      <c r="W389" s="10" t="s">
        <v>10</v>
      </c>
      <c r="X389" s="10" t="s">
        <v>17</v>
      </c>
    </row>
    <row r="390" spans="1:24" ht="45" customHeight="1" x14ac:dyDescent="0.25">
      <c r="A390" s="10">
        <f t="shared" si="0"/>
        <v>387</v>
      </c>
      <c r="B390" s="11" t="s">
        <v>1123</v>
      </c>
      <c r="C390" s="10" t="s">
        <v>1124</v>
      </c>
      <c r="D390" s="10" t="s">
        <v>541</v>
      </c>
      <c r="E390" s="10" t="s">
        <v>5</v>
      </c>
      <c r="F390" s="11" t="s">
        <v>1125</v>
      </c>
      <c r="G390" s="11"/>
      <c r="H390" s="11"/>
      <c r="I390" s="11">
        <v>1826.1976999999999</v>
      </c>
      <c r="J390" s="11" t="s">
        <v>438</v>
      </c>
      <c r="K390" s="15" t="s">
        <v>708</v>
      </c>
      <c r="L390" s="15" t="str">
        <f>HYPERLINK("https://drive.google.com/open?id=1lLEx1nA10UiDFdkHCKFi1wKu382-LAMG","Сертифікат")</f>
        <v>Сертифікат</v>
      </c>
      <c r="M390" s="11" t="s">
        <v>24</v>
      </c>
      <c r="N390" s="10">
        <v>3003.6</v>
      </c>
      <c r="O390" s="10">
        <v>13704.9</v>
      </c>
      <c r="P390" s="10">
        <v>2</v>
      </c>
      <c r="Q390" s="10">
        <v>91.7</v>
      </c>
      <c r="R390" s="10" t="s">
        <v>66</v>
      </c>
      <c r="S390" s="10">
        <v>693.5</v>
      </c>
      <c r="T390" s="10">
        <v>115.8</v>
      </c>
      <c r="U390" s="29">
        <v>43686</v>
      </c>
      <c r="V390" s="29">
        <v>47338</v>
      </c>
      <c r="W390" s="10" t="s">
        <v>10</v>
      </c>
      <c r="X390" s="10" t="s">
        <v>17</v>
      </c>
    </row>
    <row r="391" spans="1:24" ht="45" customHeight="1" x14ac:dyDescent="0.25">
      <c r="A391" s="10">
        <f t="shared" si="0"/>
        <v>388</v>
      </c>
      <c r="B391" s="11" t="s">
        <v>1126</v>
      </c>
      <c r="C391" s="10" t="s">
        <v>1127</v>
      </c>
      <c r="D391" s="10" t="s">
        <v>541</v>
      </c>
      <c r="E391" s="10" t="s">
        <v>5</v>
      </c>
      <c r="F391" s="11" t="s">
        <v>1128</v>
      </c>
      <c r="G391" s="11"/>
      <c r="H391" s="11"/>
      <c r="I391" s="11">
        <v>1972.1976999999999</v>
      </c>
      <c r="J391" s="11" t="s">
        <v>438</v>
      </c>
      <c r="K391" s="15" t="s">
        <v>708</v>
      </c>
      <c r="L391" s="15" t="str">
        <f>HYPERLINK("https://drive.google.com/open?id=1tpHeknEyrdEG3KO1fGA0GT3lbaaI21vi","Сертифікат")</f>
        <v>Сертифікат</v>
      </c>
      <c r="M391" s="11" t="s">
        <v>24</v>
      </c>
      <c r="N391" s="10">
        <v>2191.5</v>
      </c>
      <c r="O391" s="10">
        <v>7012.8</v>
      </c>
      <c r="P391" s="10">
        <v>2</v>
      </c>
      <c r="Q391" s="10">
        <v>97.9</v>
      </c>
      <c r="R391" s="10" t="s">
        <v>66</v>
      </c>
      <c r="S391" s="10">
        <v>162</v>
      </c>
      <c r="T391" s="10">
        <v>30.6</v>
      </c>
      <c r="U391" s="29">
        <v>43686</v>
      </c>
      <c r="V391" s="29">
        <v>47338</v>
      </c>
      <c r="W391" s="10" t="s">
        <v>10</v>
      </c>
      <c r="X391" s="10" t="s">
        <v>17</v>
      </c>
    </row>
    <row r="392" spans="1:24" ht="45" customHeight="1" x14ac:dyDescent="0.25">
      <c r="A392" s="10">
        <f t="shared" si="0"/>
        <v>389</v>
      </c>
      <c r="B392" s="11" t="s">
        <v>1129</v>
      </c>
      <c r="C392" s="10" t="s">
        <v>320</v>
      </c>
      <c r="D392" s="10" t="s">
        <v>79</v>
      </c>
      <c r="E392" s="10" t="s">
        <v>3</v>
      </c>
      <c r="F392" s="11" t="s">
        <v>1130</v>
      </c>
      <c r="G392" s="11"/>
      <c r="H392" s="11"/>
      <c r="I392" s="11">
        <v>1978</v>
      </c>
      <c r="J392" s="11" t="s">
        <v>150</v>
      </c>
      <c r="K392" s="15" t="str">
        <f>HYPERLINK("https://drive.google.com/open?id=1lPaVOdYRv96X1_3N5OYB5TnG02gUybVZ","СБ-0025")</f>
        <v>СБ-0025</v>
      </c>
      <c r="L392" s="15" t="str">
        <f>HYPERLINK("https://drive.google.com/open?id=1_THnL5O90rgvrRD7C7w6nImuoeOtclGR","Сертифікат")</f>
        <v>Сертифікат</v>
      </c>
      <c r="M392" s="11" t="s">
        <v>26</v>
      </c>
      <c r="N392" s="10">
        <v>2670</v>
      </c>
      <c r="O392" s="10">
        <v>12106</v>
      </c>
      <c r="P392" s="10">
        <v>3</v>
      </c>
      <c r="Q392" s="10">
        <v>76</v>
      </c>
      <c r="R392" s="10" t="s">
        <v>66</v>
      </c>
      <c r="S392" s="10">
        <v>535</v>
      </c>
      <c r="T392" s="10">
        <v>159</v>
      </c>
      <c r="U392" s="29">
        <v>43615</v>
      </c>
      <c r="V392" s="29">
        <v>47267</v>
      </c>
      <c r="W392" s="10" t="s">
        <v>10</v>
      </c>
      <c r="X392" s="10" t="s">
        <v>17</v>
      </c>
    </row>
    <row r="393" spans="1:24" ht="45" customHeight="1" x14ac:dyDescent="0.25">
      <c r="A393" s="10">
        <f t="shared" si="0"/>
        <v>390</v>
      </c>
      <c r="B393" s="11" t="s">
        <v>1131</v>
      </c>
      <c r="C393" s="10" t="s">
        <v>85</v>
      </c>
      <c r="D393" s="10" t="s">
        <v>86</v>
      </c>
      <c r="E393" s="10" t="s">
        <v>0</v>
      </c>
      <c r="F393" s="11" t="s">
        <v>1132</v>
      </c>
      <c r="G393" s="11"/>
      <c r="H393" s="11"/>
      <c r="I393" s="11">
        <v>2019</v>
      </c>
      <c r="J393" s="11" t="s">
        <v>1133</v>
      </c>
      <c r="K393" s="15" t="str">
        <f>HYPERLINK("https://drive.google.com/open?id=1Lw9IEMRTIbq5TCpqqYV3HKwXDhiIczXw","ЕЕ 00027")</f>
        <v>ЕЕ 00027</v>
      </c>
      <c r="L393" s="15" t="str">
        <f>HYPERLINK("https://drive.google.com/open?id=1Kzi1eKXoIRAImj5VTdpwXQGC_9wfLNAz","Сертифікат")</f>
        <v>Сертифікат</v>
      </c>
      <c r="M393" s="11" t="s">
        <v>22</v>
      </c>
      <c r="N393" s="10">
        <v>9455</v>
      </c>
      <c r="O393" s="10">
        <v>26663.1</v>
      </c>
      <c r="P393" s="10">
        <v>10</v>
      </c>
      <c r="Q393" s="10">
        <v>125.7</v>
      </c>
      <c r="R393" s="10" t="s">
        <v>57</v>
      </c>
      <c r="S393" s="10">
        <v>184.3</v>
      </c>
      <c r="T393" s="10">
        <v>35.4</v>
      </c>
      <c r="U393" s="29">
        <v>43683</v>
      </c>
      <c r="V393" s="29">
        <v>47335</v>
      </c>
      <c r="W393" s="10" t="s">
        <v>13</v>
      </c>
      <c r="X393" s="10" t="s">
        <v>17</v>
      </c>
    </row>
    <row r="394" spans="1:24" ht="45" customHeight="1" x14ac:dyDescent="0.25">
      <c r="A394" s="10">
        <f t="shared" si="0"/>
        <v>391</v>
      </c>
      <c r="B394" s="11" t="s">
        <v>1134</v>
      </c>
      <c r="C394" s="10" t="s">
        <v>1135</v>
      </c>
      <c r="D394" s="10" t="s">
        <v>783</v>
      </c>
      <c r="E394" s="10" t="s">
        <v>2</v>
      </c>
      <c r="F394" s="11" t="s">
        <v>1136</v>
      </c>
      <c r="G394" s="11"/>
      <c r="H394" s="11"/>
      <c r="I394" s="11">
        <v>1967</v>
      </c>
      <c r="J394" s="11" t="s">
        <v>724</v>
      </c>
      <c r="K394" s="15" t="str">
        <f t="shared" ref="K394:K395" si="12">HYPERLINK("https://drive.google.com/open?id=1oKOZor5DyF6OVwkcYZr0z1iqaNRs9ITY","АА000072")</f>
        <v>АА000072</v>
      </c>
      <c r="L394" s="15" t="str">
        <f>HYPERLINK("https://drive.google.com/open?id=1rMpizQsSfIZyLlpP11MUTqE01oiSvOxS","Сертифікат")</f>
        <v>Сертифікат</v>
      </c>
      <c r="M394" s="11" t="s">
        <v>22</v>
      </c>
      <c r="N394" s="10">
        <v>260.89999999999998</v>
      </c>
      <c r="O394" s="10">
        <v>881</v>
      </c>
      <c r="P394" s="10">
        <v>2</v>
      </c>
      <c r="Q394" s="10">
        <v>75.2</v>
      </c>
      <c r="R394" s="10" t="s">
        <v>66</v>
      </c>
      <c r="S394" s="10">
        <v>651</v>
      </c>
      <c r="T394" s="10">
        <v>273.39999999999998</v>
      </c>
      <c r="U394" s="29">
        <v>43671</v>
      </c>
      <c r="V394" s="29">
        <v>47323</v>
      </c>
      <c r="W394" s="10" t="s">
        <v>13</v>
      </c>
      <c r="X394" s="10" t="s">
        <v>17</v>
      </c>
    </row>
    <row r="395" spans="1:24" ht="45" customHeight="1" x14ac:dyDescent="0.25">
      <c r="A395" s="10">
        <f t="shared" si="0"/>
        <v>392</v>
      </c>
      <c r="B395" s="10" t="s">
        <v>1118</v>
      </c>
      <c r="C395" s="10" t="s">
        <v>782</v>
      </c>
      <c r="D395" s="10" t="s">
        <v>783</v>
      </c>
      <c r="E395" s="10" t="s">
        <v>2</v>
      </c>
      <c r="F395" s="11" t="s">
        <v>1063</v>
      </c>
      <c r="G395" s="11"/>
      <c r="H395" s="11"/>
      <c r="I395" s="11">
        <v>1985</v>
      </c>
      <c r="J395" s="11" t="s">
        <v>724</v>
      </c>
      <c r="K395" s="15" t="str">
        <f t="shared" si="12"/>
        <v>АА000072</v>
      </c>
      <c r="L395" s="15" t="str">
        <f>HYPERLINK("https://drive.google.com/open?id=1hpiEp7Xsk1ckwW6IrVXcAbxWbdPg1qHn","Сертифікат")</f>
        <v>Сертифікат</v>
      </c>
      <c r="M395" s="11" t="s">
        <v>24</v>
      </c>
      <c r="N395" s="10">
        <v>1492.7</v>
      </c>
      <c r="O395" s="10">
        <v>4703</v>
      </c>
      <c r="P395" s="10">
        <v>3</v>
      </c>
      <c r="Q395" s="10">
        <v>101.5</v>
      </c>
      <c r="R395" s="10" t="s">
        <v>66</v>
      </c>
      <c r="S395" s="10">
        <v>469.9</v>
      </c>
      <c r="T395" s="10">
        <v>131.19999999999999</v>
      </c>
      <c r="U395" s="29">
        <v>43675</v>
      </c>
      <c r="V395" s="29">
        <v>47327</v>
      </c>
      <c r="W395" s="10" t="s">
        <v>10</v>
      </c>
      <c r="X395" s="10" t="s">
        <v>17</v>
      </c>
    </row>
    <row r="396" spans="1:24" ht="45" customHeight="1" x14ac:dyDescent="0.25">
      <c r="A396" s="10">
        <f t="shared" si="0"/>
        <v>393</v>
      </c>
      <c r="B396" s="11" t="s">
        <v>1137</v>
      </c>
      <c r="C396" s="10" t="s">
        <v>68</v>
      </c>
      <c r="D396" s="10" t="s">
        <v>69</v>
      </c>
      <c r="E396" s="10" t="s">
        <v>0</v>
      </c>
      <c r="F396" s="11" t="s">
        <v>1138</v>
      </c>
      <c r="G396" s="11"/>
      <c r="H396" s="11"/>
      <c r="I396" s="11">
        <v>2019</v>
      </c>
      <c r="J396" s="11" t="s">
        <v>609</v>
      </c>
      <c r="K396" s="15" t="str">
        <f>HYPERLINK("https://drive.google.com/open?id=1MmGP6rtYcZwVyIqDA-ykUrezieQsOMPg","ОД 000024")</f>
        <v>ОД 000024</v>
      </c>
      <c r="L396" s="15" t="str">
        <f>HYPERLINK("https://drive.google.com/open?id=12KC8hBZ-upk4KSpNt2M8ZUpP-UKfKVIV","Сертифікат")</f>
        <v>Сертифікат</v>
      </c>
      <c r="M396" s="11" t="s">
        <v>18</v>
      </c>
      <c r="N396" s="10">
        <v>5897.3</v>
      </c>
      <c r="O396" s="10">
        <v>18290</v>
      </c>
      <c r="P396" s="10">
        <v>12</v>
      </c>
      <c r="Q396" s="10">
        <v>80.2</v>
      </c>
      <c r="R396" s="10" t="s">
        <v>57</v>
      </c>
      <c r="S396" s="10">
        <v>126.6</v>
      </c>
      <c r="T396" s="10">
        <v>24.5</v>
      </c>
      <c r="U396" s="29">
        <v>43685</v>
      </c>
      <c r="V396" s="29">
        <v>47337</v>
      </c>
      <c r="W396" s="10" t="s">
        <v>13</v>
      </c>
      <c r="X396" s="10" t="s">
        <v>17</v>
      </c>
    </row>
    <row r="397" spans="1:24" ht="45" customHeight="1" x14ac:dyDescent="0.25">
      <c r="A397" s="10">
        <f t="shared" si="0"/>
        <v>394</v>
      </c>
      <c r="B397" s="11" t="s">
        <v>1139</v>
      </c>
      <c r="C397" s="10" t="s">
        <v>68</v>
      </c>
      <c r="D397" s="10" t="s">
        <v>69</v>
      </c>
      <c r="E397" s="10" t="s">
        <v>5</v>
      </c>
      <c r="F397" s="11" t="s">
        <v>1140</v>
      </c>
      <c r="G397" s="11"/>
      <c r="H397" s="11"/>
      <c r="I397" s="11">
        <v>2002</v>
      </c>
      <c r="J397" s="11" t="s">
        <v>448</v>
      </c>
      <c r="K397" s="15" t="s">
        <v>449</v>
      </c>
      <c r="L397" s="15" t="str">
        <f>HYPERLINK("https://drive.google.com/open?id=11Stv27p_T16-Qtg_mjeO00Krmb7eb6H6","Сертифікат")</f>
        <v>Сертифікат</v>
      </c>
      <c r="M397" s="11" t="s">
        <v>26</v>
      </c>
      <c r="N397" s="10">
        <v>6275</v>
      </c>
      <c r="O397" s="10">
        <v>20709</v>
      </c>
      <c r="P397" s="10">
        <v>7</v>
      </c>
      <c r="Q397" s="10">
        <v>99.4</v>
      </c>
      <c r="R397" s="10" t="s">
        <v>66</v>
      </c>
      <c r="S397" s="10">
        <v>615</v>
      </c>
      <c r="T397" s="10">
        <v>118</v>
      </c>
      <c r="U397" s="45">
        <v>43689</v>
      </c>
      <c r="V397" s="29">
        <v>47341</v>
      </c>
      <c r="W397" s="10" t="s">
        <v>10</v>
      </c>
      <c r="X397" s="10" t="s">
        <v>17</v>
      </c>
    </row>
    <row r="398" spans="1:24" ht="45" customHeight="1" x14ac:dyDescent="0.25">
      <c r="A398" s="10">
        <f t="shared" si="0"/>
        <v>395</v>
      </c>
      <c r="B398" s="11" t="s">
        <v>1141</v>
      </c>
      <c r="C398" s="10" t="s">
        <v>1142</v>
      </c>
      <c r="D398" s="10" t="s">
        <v>815</v>
      </c>
      <c r="E398" s="10" t="s">
        <v>0</v>
      </c>
      <c r="F398" s="11" t="s">
        <v>0</v>
      </c>
      <c r="G398" s="11"/>
      <c r="H398" s="11"/>
      <c r="I398" s="11" t="s">
        <v>1143</v>
      </c>
      <c r="J398" s="11" t="s">
        <v>1094</v>
      </c>
      <c r="K398" s="15" t="str">
        <f>HYPERLINK("https://drive.google.com/open?id=1Qlik4TIJLPoTQ6woAYUYpDbbA-PfyWE1","АА000059")</f>
        <v>АА000059</v>
      </c>
      <c r="L398" s="15" t="str">
        <f>HYPERLINK("https://drive.google.com/open?id=1GhIzKdiD7BNmURWWl_tHm8gysWQV6FMX","Сертифікат")</f>
        <v>Сертифікат</v>
      </c>
      <c r="M398" s="11" t="s">
        <v>26</v>
      </c>
      <c r="N398" s="10">
        <v>3584.1</v>
      </c>
      <c r="O398" s="10">
        <v>10752</v>
      </c>
      <c r="P398" s="10">
        <v>5</v>
      </c>
      <c r="Q398" s="10">
        <v>218</v>
      </c>
      <c r="R398" s="10" t="s">
        <v>57</v>
      </c>
      <c r="S398" s="10">
        <v>552</v>
      </c>
      <c r="T398" s="10">
        <v>101</v>
      </c>
      <c r="U398" s="29">
        <v>43690</v>
      </c>
      <c r="V398" s="29">
        <v>47342</v>
      </c>
      <c r="W398" s="10" t="s">
        <v>10</v>
      </c>
      <c r="X398" s="10" t="s">
        <v>17</v>
      </c>
    </row>
    <row r="399" spans="1:24" ht="45" customHeight="1" x14ac:dyDescent="0.25">
      <c r="A399" s="10">
        <f t="shared" si="0"/>
        <v>396</v>
      </c>
      <c r="B399" s="11" t="s">
        <v>1144</v>
      </c>
      <c r="C399" s="10" t="s">
        <v>1145</v>
      </c>
      <c r="D399" s="10" t="s">
        <v>1146</v>
      </c>
      <c r="E399" s="10" t="s">
        <v>2</v>
      </c>
      <c r="F399" s="11" t="s">
        <v>1147</v>
      </c>
      <c r="G399" s="11"/>
      <c r="H399" s="11"/>
      <c r="I399" s="11">
        <v>1980</v>
      </c>
      <c r="J399" s="11" t="s">
        <v>1148</v>
      </c>
      <c r="K399" s="15" t="str">
        <f>HYPERLINK("https://drive.google.com/open?id=1cJ4cQsTmUMKBm2wMLEX2eYQCDt6Lpb63","ХМ02071234/002")</f>
        <v>ХМ02071234/002</v>
      </c>
      <c r="L399" s="15" t="str">
        <f>HYPERLINK("https://drive.google.com/open?id=1RdRkKPHg-rfvJCEtv0MEt_NGpart10t2","Сертифікат")</f>
        <v>Сертифікат</v>
      </c>
      <c r="M399" s="11" t="s">
        <v>26</v>
      </c>
      <c r="N399" s="10">
        <v>1404</v>
      </c>
      <c r="O399" s="10">
        <v>4492.8</v>
      </c>
      <c r="P399" s="10">
        <v>4</v>
      </c>
      <c r="Q399" s="10">
        <v>81.650000000000006</v>
      </c>
      <c r="R399" s="10" t="s">
        <v>66</v>
      </c>
      <c r="S399" s="10" t="s">
        <v>1149</v>
      </c>
      <c r="T399" s="10">
        <v>63.93</v>
      </c>
      <c r="U399" s="29">
        <v>43675</v>
      </c>
      <c r="V399" s="29">
        <v>47327</v>
      </c>
      <c r="W399" s="10" t="s">
        <v>13</v>
      </c>
      <c r="X399" s="10" t="s">
        <v>17</v>
      </c>
    </row>
    <row r="400" spans="1:24" ht="45" customHeight="1" x14ac:dyDescent="0.25">
      <c r="A400" s="10">
        <f t="shared" si="0"/>
        <v>397</v>
      </c>
      <c r="B400" s="11" t="s">
        <v>1150</v>
      </c>
      <c r="C400" s="10" t="s">
        <v>166</v>
      </c>
      <c r="D400" s="10" t="s">
        <v>79</v>
      </c>
      <c r="E400" s="10" t="s">
        <v>0</v>
      </c>
      <c r="F400" s="11" t="s">
        <v>1151</v>
      </c>
      <c r="G400" s="11"/>
      <c r="H400" s="11"/>
      <c r="I400" s="11">
        <v>1972</v>
      </c>
      <c r="J400" s="11" t="s">
        <v>848</v>
      </c>
      <c r="K400" s="15" t="str">
        <f>HYPERLINK("https://drive.google.com/open?id=1iyyuXsFJgof-vuGhbT1Fobdkzo4OyADv","№СБ-0030")</f>
        <v>№СБ-0030</v>
      </c>
      <c r="L400" s="15" t="str">
        <f>HYPERLINK("https://drive.google.com/open?id=1db7JrMeSUC-E24XQFqi18IxKhjugM3Bi","Сертифікат")</f>
        <v>Сертифікат</v>
      </c>
      <c r="M400" s="11" t="s">
        <v>26</v>
      </c>
      <c r="N400" s="10">
        <v>3853</v>
      </c>
      <c r="O400" s="10">
        <v>9633</v>
      </c>
      <c r="P400" s="10">
        <v>5</v>
      </c>
      <c r="Q400" s="10">
        <v>170</v>
      </c>
      <c r="R400" s="10" t="s">
        <v>57</v>
      </c>
      <c r="S400" s="10">
        <v>274</v>
      </c>
      <c r="T400" s="10">
        <v>80</v>
      </c>
      <c r="U400" s="29">
        <v>43615</v>
      </c>
      <c r="V400" s="29">
        <v>43614</v>
      </c>
      <c r="W400" s="10" t="s">
        <v>10</v>
      </c>
      <c r="X400" s="10" t="s">
        <v>17</v>
      </c>
    </row>
    <row r="401" spans="1:24" ht="45" customHeight="1" x14ac:dyDescent="0.25">
      <c r="A401" s="10">
        <f t="shared" si="0"/>
        <v>398</v>
      </c>
      <c r="B401" s="11" t="s">
        <v>1152</v>
      </c>
      <c r="C401" s="10" t="s">
        <v>1124</v>
      </c>
      <c r="D401" s="10" t="s">
        <v>541</v>
      </c>
      <c r="E401" s="10" t="s">
        <v>2</v>
      </c>
      <c r="F401" s="11" t="s">
        <v>1153</v>
      </c>
      <c r="G401" s="11"/>
      <c r="H401" s="11"/>
      <c r="I401" s="11">
        <v>1983</v>
      </c>
      <c r="J401" s="11" t="s">
        <v>438</v>
      </c>
      <c r="K401" s="15" t="s">
        <v>708</v>
      </c>
      <c r="L401" s="15" t="str">
        <f>HYPERLINK("https://drive.google.com/open?id=1Avyjtb9onwOTfXEVQAFDgaZnAp6jjZVJ","Сертифікат")</f>
        <v>Сертифікат</v>
      </c>
      <c r="M401" s="11" t="s">
        <v>26</v>
      </c>
      <c r="N401" s="10">
        <v>1697</v>
      </c>
      <c r="O401" s="10">
        <v>5091</v>
      </c>
      <c r="P401" s="10">
        <v>1</v>
      </c>
      <c r="Q401" s="10">
        <v>147.6</v>
      </c>
      <c r="R401" s="10" t="s">
        <v>66</v>
      </c>
      <c r="S401" s="10">
        <v>636</v>
      </c>
      <c r="T401" s="10">
        <v>111.6</v>
      </c>
      <c r="U401" s="11" t="s">
        <v>1154</v>
      </c>
      <c r="V401" s="29">
        <v>47342</v>
      </c>
      <c r="W401" s="10" t="s">
        <v>13</v>
      </c>
      <c r="X401" s="10" t="s">
        <v>17</v>
      </c>
    </row>
    <row r="402" spans="1:24" ht="45" customHeight="1" x14ac:dyDescent="0.25">
      <c r="A402" s="10">
        <f t="shared" si="0"/>
        <v>399</v>
      </c>
      <c r="B402" s="11" t="s">
        <v>1155</v>
      </c>
      <c r="C402" s="10" t="s">
        <v>85</v>
      </c>
      <c r="D402" s="10" t="s">
        <v>86</v>
      </c>
      <c r="E402" s="10" t="s">
        <v>0</v>
      </c>
      <c r="F402" s="11" t="s">
        <v>1156</v>
      </c>
      <c r="G402" s="11"/>
      <c r="H402" s="11"/>
      <c r="I402" s="11" t="s">
        <v>1010</v>
      </c>
      <c r="J402" s="11" t="s">
        <v>992</v>
      </c>
      <c r="K402" s="15" t="str">
        <f>HYPERLINK("https://drive.google.com/open?id=1YahV5U6nzJHToaX4SQsiE71O2xlIaiiy","ОД 02071010/0301-19")</f>
        <v>ОД 02071010/0301-19</v>
      </c>
      <c r="L402" s="15" t="str">
        <f>HYPERLINK("https://drive.google.com/open?id=1_Aacy9v1NqbIGNmiVtz65QWhfaMYZ3kV","Сертифікат")</f>
        <v>Сертифікат</v>
      </c>
      <c r="M402" s="11" t="s">
        <v>18</v>
      </c>
      <c r="N402" s="10">
        <v>10531.1</v>
      </c>
      <c r="O402" s="10">
        <v>32083.7</v>
      </c>
      <c r="P402" s="10">
        <v>9</v>
      </c>
      <c r="Q402" s="10">
        <v>85.1</v>
      </c>
      <c r="R402" s="10" t="s">
        <v>57</v>
      </c>
      <c r="S402" s="10">
        <v>173.9</v>
      </c>
      <c r="T402" s="10">
        <v>33</v>
      </c>
      <c r="U402" s="29">
        <v>43684</v>
      </c>
      <c r="V402" s="29">
        <v>47336</v>
      </c>
      <c r="W402" s="10" t="s">
        <v>10</v>
      </c>
      <c r="X402" s="10" t="s">
        <v>17</v>
      </c>
    </row>
    <row r="403" spans="1:24" ht="45" customHeight="1" x14ac:dyDescent="0.25">
      <c r="A403" s="10">
        <f t="shared" si="0"/>
        <v>400</v>
      </c>
      <c r="B403" s="11" t="s">
        <v>1157</v>
      </c>
      <c r="C403" s="10" t="s">
        <v>1158</v>
      </c>
      <c r="D403" s="10" t="s">
        <v>86</v>
      </c>
      <c r="E403" s="10" t="s">
        <v>3</v>
      </c>
      <c r="F403" s="11" t="s">
        <v>1159</v>
      </c>
      <c r="G403" s="11"/>
      <c r="H403" s="11"/>
      <c r="I403" s="11">
        <v>1979</v>
      </c>
      <c r="J403" s="11" t="s">
        <v>1160</v>
      </c>
      <c r="K403" s="15" t="str">
        <f>HYPERLINK("https://drive.google.com/open?id=1Xvt1WHN4a3lh1GkA7Hg2sSdXHdM5XEXy","АР 000072")</f>
        <v>АР 000072</v>
      </c>
      <c r="L403" s="15" t="str">
        <f>HYPERLINK("https://drive.google.com/open?id=15WVVLN01VuJEFB9o6wmfA-AdhJarwdhO","Сертифікат")</f>
        <v>Сертифікат</v>
      </c>
      <c r="M403" s="11" t="s">
        <v>26</v>
      </c>
      <c r="N403" s="10">
        <v>3131.2</v>
      </c>
      <c r="O403" s="10">
        <v>11843.58</v>
      </c>
      <c r="P403" s="10">
        <v>3</v>
      </c>
      <c r="Q403" s="10">
        <v>129.9</v>
      </c>
      <c r="R403" s="10" t="s">
        <v>66</v>
      </c>
      <c r="S403" s="10">
        <v>193.09</v>
      </c>
      <c r="T403" s="10">
        <v>38.31</v>
      </c>
      <c r="U403" s="29">
        <v>43689</v>
      </c>
      <c r="V403" s="29">
        <v>47341</v>
      </c>
      <c r="W403" s="10" t="s">
        <v>13</v>
      </c>
      <c r="X403" s="10" t="s">
        <v>11</v>
      </c>
    </row>
    <row r="404" spans="1:24" ht="45" customHeight="1" x14ac:dyDescent="0.25">
      <c r="A404" s="10">
        <f t="shared" si="0"/>
        <v>401</v>
      </c>
      <c r="B404" s="11" t="s">
        <v>1152</v>
      </c>
      <c r="C404" s="10" t="s">
        <v>1124</v>
      </c>
      <c r="D404" s="10" t="s">
        <v>541</v>
      </c>
      <c r="E404" s="10" t="s">
        <v>2</v>
      </c>
      <c r="F404" s="11" t="s">
        <v>1161</v>
      </c>
      <c r="G404" s="11"/>
      <c r="H404" s="11"/>
      <c r="I404" s="11">
        <v>1972</v>
      </c>
      <c r="J404" s="11" t="s">
        <v>438</v>
      </c>
      <c r="K404" s="15" t="s">
        <v>708</v>
      </c>
      <c r="L404" s="15" t="str">
        <f>HYPERLINK("https://drive.google.com/open?id=1XwAMlK0JgzHIFWD3nkFDCyFuCr3n2H50","Сертифікат")</f>
        <v>Сертифікат</v>
      </c>
      <c r="M404" s="11" t="s">
        <v>26</v>
      </c>
      <c r="N404" s="10">
        <v>521</v>
      </c>
      <c r="O404" s="10">
        <v>1563</v>
      </c>
      <c r="P404" s="10">
        <v>2</v>
      </c>
      <c r="Q404" s="10">
        <v>151.6</v>
      </c>
      <c r="R404" s="10" t="s">
        <v>66</v>
      </c>
      <c r="S404" s="10">
        <v>650</v>
      </c>
      <c r="T404" s="10">
        <v>129</v>
      </c>
      <c r="U404" s="29">
        <v>43686</v>
      </c>
      <c r="V404" s="29">
        <v>47338</v>
      </c>
      <c r="W404" s="10" t="s">
        <v>10</v>
      </c>
      <c r="X404" s="10" t="s">
        <v>17</v>
      </c>
    </row>
    <row r="405" spans="1:24" ht="45" customHeight="1" x14ac:dyDescent="0.25">
      <c r="A405" s="10">
        <f t="shared" si="0"/>
        <v>402</v>
      </c>
      <c r="B405" s="11" t="s">
        <v>1162</v>
      </c>
      <c r="C405" s="10" t="s">
        <v>52</v>
      </c>
      <c r="D405" s="10" t="s">
        <v>52</v>
      </c>
      <c r="E405" s="10" t="s">
        <v>2</v>
      </c>
      <c r="F405" s="11" t="s">
        <v>1163</v>
      </c>
      <c r="G405" s="11"/>
      <c r="H405" s="11"/>
      <c r="I405" s="11">
        <v>1960</v>
      </c>
      <c r="J405" s="11" t="s">
        <v>60</v>
      </c>
      <c r="K405" s="15" t="str">
        <f t="shared" ref="K405:K406" si="13">HYPERLINK("https://drive.google.com/open?id=1RuTeqM7bHCWpY8BudVHpbo1nVUrho9z9","АА000003")</f>
        <v>АА000003</v>
      </c>
      <c r="L405" s="15" t="str">
        <f>HYPERLINK("https://drive.google.com/open?id=17aeokhqAjtjkW0u44Q2C0jhrhSengqKW","Сертифікат")</f>
        <v>Сертифікат</v>
      </c>
      <c r="M405" s="11" t="s">
        <v>20</v>
      </c>
      <c r="N405" s="10">
        <v>4286</v>
      </c>
      <c r="O405" s="10">
        <v>15001</v>
      </c>
      <c r="P405" s="10">
        <v>6</v>
      </c>
      <c r="Q405" s="10">
        <v>47</v>
      </c>
      <c r="R405" s="10" t="s">
        <v>66</v>
      </c>
      <c r="S405" s="10">
        <v>308</v>
      </c>
      <c r="T405" s="10">
        <v>96</v>
      </c>
      <c r="U405" s="29">
        <v>43680</v>
      </c>
      <c r="V405" s="29">
        <v>47332</v>
      </c>
      <c r="W405" s="10" t="s">
        <v>10</v>
      </c>
      <c r="X405" s="10" t="s">
        <v>17</v>
      </c>
    </row>
    <row r="406" spans="1:24" ht="45" customHeight="1" x14ac:dyDescent="0.25">
      <c r="A406" s="10">
        <f t="shared" si="0"/>
        <v>403</v>
      </c>
      <c r="B406" s="11" t="s">
        <v>1164</v>
      </c>
      <c r="C406" s="10" t="s">
        <v>52</v>
      </c>
      <c r="D406" s="10" t="s">
        <v>52</v>
      </c>
      <c r="E406" s="10" t="s">
        <v>2</v>
      </c>
      <c r="F406" s="11" t="s">
        <v>1163</v>
      </c>
      <c r="G406" s="11"/>
      <c r="H406" s="11"/>
      <c r="I406" s="11">
        <v>1960</v>
      </c>
      <c r="J406" s="11" t="s">
        <v>60</v>
      </c>
      <c r="K406" s="15" t="str">
        <f t="shared" si="13"/>
        <v>АА000003</v>
      </c>
      <c r="L406" s="15" t="str">
        <f>HYPERLINK("https://drive.google.com/open?id=1Qb7xunPsgIGrXaouQEdNjSFEUX34fLDj","Сертифікат")</f>
        <v>Сертифікат</v>
      </c>
      <c r="M406" s="11" t="s">
        <v>26</v>
      </c>
      <c r="N406" s="10">
        <v>254</v>
      </c>
      <c r="O406" s="10">
        <v>711</v>
      </c>
      <c r="P406" s="10">
        <v>2</v>
      </c>
      <c r="Q406" s="10">
        <v>127</v>
      </c>
      <c r="R406" s="10" t="s">
        <v>66</v>
      </c>
      <c r="S406" s="10">
        <v>488</v>
      </c>
      <c r="T406" s="10">
        <v>80</v>
      </c>
      <c r="U406" s="29">
        <v>43680</v>
      </c>
      <c r="V406" s="29">
        <v>47332</v>
      </c>
      <c r="W406" s="10" t="s">
        <v>10</v>
      </c>
      <c r="X406" s="10" t="s">
        <v>17</v>
      </c>
    </row>
    <row r="407" spans="1:24" ht="45" customHeight="1" x14ac:dyDescent="0.25">
      <c r="A407" s="10">
        <f t="shared" si="0"/>
        <v>404</v>
      </c>
      <c r="B407" s="11" t="s">
        <v>1165</v>
      </c>
      <c r="C407" s="10" t="s">
        <v>1166</v>
      </c>
      <c r="D407" s="10" t="s">
        <v>142</v>
      </c>
      <c r="E407" s="10" t="s">
        <v>2</v>
      </c>
      <c r="F407" s="11" t="s">
        <v>1167</v>
      </c>
      <c r="G407" s="11"/>
      <c r="H407" s="11"/>
      <c r="I407" s="11" t="s">
        <v>1010</v>
      </c>
      <c r="J407" s="11" t="s">
        <v>1168</v>
      </c>
      <c r="K407" s="15" t="str">
        <f>HYPERLINK("https://drive.google.com/open?id=1IAlNZe4csuyp8RH-DTYn3L4-p1-qcHtF","ЕЕ-001-10-18")</f>
        <v>ЕЕ-001-10-18</v>
      </c>
      <c r="L407" s="15" t="str">
        <f>HYPERLINK("https://drive.google.com/open?id=1ygMDEjCAEkZeaMpAciJDtsFU_Aoqatt8","Сертифікат")</f>
        <v>Сертифікат</v>
      </c>
      <c r="M407" s="11" t="s">
        <v>15</v>
      </c>
      <c r="N407" s="10">
        <v>2098.8000000000002</v>
      </c>
      <c r="O407" s="10">
        <v>15826</v>
      </c>
      <c r="P407" s="10">
        <v>2</v>
      </c>
      <c r="Q407" s="10">
        <v>32.299999999999997</v>
      </c>
      <c r="R407" s="10" t="s">
        <v>66</v>
      </c>
      <c r="S407" s="10">
        <v>500</v>
      </c>
      <c r="T407" s="10">
        <v>95</v>
      </c>
      <c r="U407" s="29">
        <v>43687</v>
      </c>
      <c r="V407" s="29">
        <v>47339</v>
      </c>
      <c r="W407" s="10" t="s">
        <v>13</v>
      </c>
      <c r="X407" s="10" t="s">
        <v>17</v>
      </c>
    </row>
    <row r="408" spans="1:24" ht="45" customHeight="1" x14ac:dyDescent="0.25">
      <c r="A408" s="10">
        <f t="shared" si="0"/>
        <v>405</v>
      </c>
      <c r="B408" s="11" t="s">
        <v>1169</v>
      </c>
      <c r="C408" s="10" t="s">
        <v>52</v>
      </c>
      <c r="D408" s="10" t="s">
        <v>52</v>
      </c>
      <c r="E408" s="10" t="s">
        <v>0</v>
      </c>
      <c r="F408" s="11" t="s">
        <v>1170</v>
      </c>
      <c r="G408" s="11"/>
      <c r="H408" s="11"/>
      <c r="I408" s="11">
        <v>2000</v>
      </c>
      <c r="J408" s="11" t="s">
        <v>628</v>
      </c>
      <c r="K408" s="15" t="str">
        <f>HYPERLINK("https://drive.google.com/open?id=1u3a1a2UlYpzKL7ogkp3iFpa7WLiuzwpy","АА000017")</f>
        <v>АА000017</v>
      </c>
      <c r="L408" s="15" t="str">
        <f>HYPERLINK("https://drive.google.com/open?id=1JDItnfsSOgky922JTrbfSXkdomq8ct7B","Сертифікат")</f>
        <v>Сертифікат</v>
      </c>
      <c r="M408" s="11" t="s">
        <v>26</v>
      </c>
      <c r="N408" s="10">
        <v>15197</v>
      </c>
      <c r="O408" s="10">
        <v>45590</v>
      </c>
      <c r="P408" s="10">
        <v>16</v>
      </c>
      <c r="Q408" s="10">
        <v>227.98</v>
      </c>
      <c r="R408" s="10" t="s">
        <v>57</v>
      </c>
      <c r="S408" s="10">
        <v>306.11</v>
      </c>
      <c r="T408" s="10">
        <v>61.05</v>
      </c>
      <c r="U408" s="29">
        <v>43691</v>
      </c>
      <c r="V408" s="29">
        <v>47343</v>
      </c>
      <c r="W408" s="10" t="s">
        <v>13</v>
      </c>
      <c r="X408" s="10" t="s">
        <v>17</v>
      </c>
    </row>
    <row r="409" spans="1:24" ht="45" customHeight="1" x14ac:dyDescent="0.25">
      <c r="A409" s="10">
        <f t="shared" si="0"/>
        <v>406</v>
      </c>
      <c r="B409" s="11" t="s">
        <v>1171</v>
      </c>
      <c r="C409" s="10" t="s">
        <v>85</v>
      </c>
      <c r="D409" s="10" t="s">
        <v>86</v>
      </c>
      <c r="E409" s="10" t="s">
        <v>2</v>
      </c>
      <c r="F409" s="11" t="s">
        <v>1172</v>
      </c>
      <c r="G409" s="11"/>
      <c r="H409" s="11"/>
      <c r="I409" s="11" t="s">
        <v>1010</v>
      </c>
      <c r="J409" s="11" t="s">
        <v>992</v>
      </c>
      <c r="K409" s="15" t="str">
        <f t="shared" ref="K409:K410" si="14">HYPERLINK("https://drive.google.com/open?id=1YahV5U6nzJHToaX4SQsiE71O2xlIaiiy","ОД 02071010/0301-19")</f>
        <v>ОД 02071010/0301-19</v>
      </c>
      <c r="L409" s="15" t="str">
        <f>HYPERLINK("https://drive.google.com/open?id=1NcXt6xQ3hcdAL-4thjM-p-U2KNEKvjrX","Сертифікат")</f>
        <v>Сертифікат</v>
      </c>
      <c r="M409" s="11" t="s">
        <v>15</v>
      </c>
      <c r="N409" s="10">
        <v>2281.8000000000002</v>
      </c>
      <c r="O409" s="10">
        <v>7154.5</v>
      </c>
      <c r="P409" s="10">
        <v>6</v>
      </c>
      <c r="Q409" s="10">
        <v>26.4</v>
      </c>
      <c r="R409" s="10" t="s">
        <v>66</v>
      </c>
      <c r="S409" s="10">
        <v>228.3</v>
      </c>
      <c r="T409" s="10">
        <v>43.4</v>
      </c>
      <c r="U409" s="29">
        <v>43686</v>
      </c>
      <c r="V409" s="29">
        <v>47338</v>
      </c>
      <c r="W409" s="10" t="s">
        <v>13</v>
      </c>
      <c r="X409" s="10" t="s">
        <v>17</v>
      </c>
    </row>
    <row r="410" spans="1:24" ht="45" customHeight="1" x14ac:dyDescent="0.25">
      <c r="A410" s="10">
        <f t="shared" si="0"/>
        <v>407</v>
      </c>
      <c r="B410" s="11" t="s">
        <v>1173</v>
      </c>
      <c r="C410" s="10" t="s">
        <v>85</v>
      </c>
      <c r="D410" s="10" t="s">
        <v>86</v>
      </c>
      <c r="E410" s="10" t="s">
        <v>0</v>
      </c>
      <c r="F410" s="11" t="s">
        <v>1174</v>
      </c>
      <c r="G410" s="11"/>
      <c r="H410" s="11"/>
      <c r="I410" s="11">
        <v>2019</v>
      </c>
      <c r="J410" s="11" t="s">
        <v>992</v>
      </c>
      <c r="K410" s="15" t="str">
        <f t="shared" si="14"/>
        <v>ОД 02071010/0301-19</v>
      </c>
      <c r="L410" s="15" t="str">
        <f>HYPERLINK("https://drive.google.com/open?id=1xUF6mCc7iCO_E2TpGIKIUwhrPIj2LfWu","Сертифікат")</f>
        <v>Сертифікат</v>
      </c>
      <c r="M410" s="11" t="s">
        <v>24</v>
      </c>
      <c r="N410" s="10">
        <v>6085.2</v>
      </c>
      <c r="O410" s="10">
        <v>18053</v>
      </c>
      <c r="P410" s="10">
        <v>9</v>
      </c>
      <c r="Q410" s="10">
        <v>136.80000000000001</v>
      </c>
      <c r="R410" s="10" t="s">
        <v>57</v>
      </c>
      <c r="S410" s="10">
        <v>201</v>
      </c>
      <c r="T410" s="10">
        <v>39.200000000000003</v>
      </c>
      <c r="U410" s="29">
        <v>43689</v>
      </c>
      <c r="V410" s="29">
        <v>47341</v>
      </c>
      <c r="W410" s="10" t="s">
        <v>10</v>
      </c>
      <c r="X410" s="10" t="s">
        <v>17</v>
      </c>
    </row>
    <row r="411" spans="1:24" ht="45" customHeight="1" x14ac:dyDescent="0.25">
      <c r="A411" s="10">
        <f t="shared" si="0"/>
        <v>408</v>
      </c>
      <c r="B411" s="11" t="s">
        <v>1175</v>
      </c>
      <c r="C411" s="10" t="s">
        <v>1124</v>
      </c>
      <c r="D411" s="10" t="s">
        <v>541</v>
      </c>
      <c r="E411" s="10" t="s">
        <v>5</v>
      </c>
      <c r="F411" s="11" t="s">
        <v>1176</v>
      </c>
      <c r="G411" s="11"/>
      <c r="H411" s="11"/>
      <c r="I411" s="11">
        <v>1965</v>
      </c>
      <c r="J411" s="11" t="s">
        <v>438</v>
      </c>
      <c r="K411" s="15" t="s">
        <v>708</v>
      </c>
      <c r="L411" s="15" t="str">
        <f>HYPERLINK("https://drive.google.com/open?id=1_Q4hSxH5ctAEyKU9J549TLd-dqkEFDpN","Сертифікат")</f>
        <v>Сертифікат</v>
      </c>
      <c r="M411" s="11" t="s">
        <v>26</v>
      </c>
      <c r="N411" s="10">
        <v>1353.7</v>
      </c>
      <c r="O411" s="10">
        <v>4331.8</v>
      </c>
      <c r="P411" s="10">
        <v>1</v>
      </c>
      <c r="Q411" s="10">
        <v>135.4</v>
      </c>
      <c r="R411" s="10" t="s">
        <v>66</v>
      </c>
      <c r="S411" s="10">
        <v>699.4</v>
      </c>
      <c r="T411" s="10">
        <v>121.6</v>
      </c>
      <c r="U411" s="29">
        <v>43686</v>
      </c>
      <c r="V411" s="29">
        <v>47338</v>
      </c>
      <c r="W411" s="10" t="s">
        <v>10</v>
      </c>
      <c r="X411" s="10" t="s">
        <v>17</v>
      </c>
    </row>
    <row r="412" spans="1:24" ht="45" customHeight="1" x14ac:dyDescent="0.25">
      <c r="A412" s="10">
        <f t="shared" si="0"/>
        <v>409</v>
      </c>
      <c r="B412" s="11" t="s">
        <v>1177</v>
      </c>
      <c r="C412" s="10" t="s">
        <v>1124</v>
      </c>
      <c r="D412" s="10" t="s">
        <v>541</v>
      </c>
      <c r="E412" s="10" t="s">
        <v>5</v>
      </c>
      <c r="F412" s="11" t="s">
        <v>1178</v>
      </c>
      <c r="G412" s="11"/>
      <c r="H412" s="11"/>
      <c r="I412" s="11" t="s">
        <v>1179</v>
      </c>
      <c r="J412" s="11" t="s">
        <v>438</v>
      </c>
      <c r="K412" s="15" t="s">
        <v>708</v>
      </c>
      <c r="L412" s="15" t="str">
        <f>HYPERLINK("https://drive.google.com/open?id=13THId7BYTUBfAYMD06A4t25znMAxUU-Y","Сертифікат")</f>
        <v>Сертифікат</v>
      </c>
      <c r="M412" s="11" t="s">
        <v>22</v>
      </c>
      <c r="N412" s="10">
        <v>2779.4</v>
      </c>
      <c r="O412" s="10">
        <v>9047.9</v>
      </c>
      <c r="P412" s="10">
        <v>3</v>
      </c>
      <c r="Q412" s="10">
        <v>81.599999999999994</v>
      </c>
      <c r="R412" s="10" t="s">
        <v>66</v>
      </c>
      <c r="S412" s="10">
        <v>394.6</v>
      </c>
      <c r="T412" s="10">
        <v>78</v>
      </c>
      <c r="U412" s="29">
        <v>43686</v>
      </c>
      <c r="V412" s="29">
        <v>47338</v>
      </c>
      <c r="W412" s="10" t="s">
        <v>10</v>
      </c>
      <c r="X412" s="10" t="s">
        <v>17</v>
      </c>
    </row>
    <row r="413" spans="1:24" ht="45" customHeight="1" x14ac:dyDescent="0.25">
      <c r="A413" s="10">
        <f t="shared" si="0"/>
        <v>410</v>
      </c>
      <c r="B413" s="11" t="s">
        <v>1180</v>
      </c>
      <c r="C413" s="10" t="s">
        <v>68</v>
      </c>
      <c r="D413" s="10" t="s">
        <v>69</v>
      </c>
      <c r="E413" s="10" t="s">
        <v>0</v>
      </c>
      <c r="F413" s="11" t="s">
        <v>1181</v>
      </c>
      <c r="G413" s="11"/>
      <c r="H413" s="11"/>
      <c r="I413" s="11">
        <v>1990</v>
      </c>
      <c r="J413" s="11" t="s">
        <v>1057</v>
      </c>
      <c r="K413" s="15" t="str">
        <f>HYPERLINK("https://drive.google.com/open?id=1jOJ8C4qs2yVEI7j7G_2k_QwYSBK43oV5","ЕЕ-024-02-19")</f>
        <v>ЕЕ-024-02-19</v>
      </c>
      <c r="L413" s="15" t="str">
        <f>HYPERLINK("https://drive.google.com/open?id=1eI6nizE1wkgPLUQxJh4g7Gd3X5ztTKuQ","Сертифікат")</f>
        <v>Сертифікат</v>
      </c>
      <c r="M413" s="11" t="s">
        <v>26</v>
      </c>
      <c r="N413" s="10">
        <v>1098.8</v>
      </c>
      <c r="O413" s="10">
        <v>3130.7</v>
      </c>
      <c r="P413" s="10">
        <v>5</v>
      </c>
      <c r="Q413" s="10">
        <v>293.7</v>
      </c>
      <c r="R413" s="10" t="s">
        <v>57</v>
      </c>
      <c r="S413" s="10">
        <v>420.2</v>
      </c>
      <c r="T413" s="10">
        <v>83.4</v>
      </c>
      <c r="U413" s="29">
        <v>43689</v>
      </c>
      <c r="V413" s="29">
        <v>47341</v>
      </c>
      <c r="W413" s="10" t="s">
        <v>13</v>
      </c>
      <c r="X413" s="10" t="s">
        <v>17</v>
      </c>
    </row>
    <row r="414" spans="1:24" ht="45" customHeight="1" x14ac:dyDescent="0.25">
      <c r="A414" s="10">
        <f t="shared" si="0"/>
        <v>411</v>
      </c>
      <c r="B414" s="11" t="s">
        <v>1152</v>
      </c>
      <c r="C414" s="10" t="s">
        <v>1124</v>
      </c>
      <c r="D414" s="10" t="s">
        <v>541</v>
      </c>
      <c r="E414" s="10" t="s">
        <v>5</v>
      </c>
      <c r="F414" s="11" t="s">
        <v>1182</v>
      </c>
      <c r="G414" s="11"/>
      <c r="H414" s="11"/>
      <c r="I414" s="11">
        <v>1990</v>
      </c>
      <c r="J414" s="11" t="s">
        <v>438</v>
      </c>
      <c r="K414" s="15" t="s">
        <v>708</v>
      </c>
      <c r="L414" s="15" t="str">
        <f>HYPERLINK("https://drive.google.com/open?id=1ZenIYap4Qi5XnFCPuwf_EZHILH2cGWwT","Сертифікат")</f>
        <v>Сертифікат</v>
      </c>
      <c r="M414" s="11" t="s">
        <v>26</v>
      </c>
      <c r="N414" s="10">
        <v>1166.2</v>
      </c>
      <c r="O414" s="10">
        <v>4081.7</v>
      </c>
      <c r="P414" s="10">
        <v>2</v>
      </c>
      <c r="Q414" s="10">
        <v>102.8</v>
      </c>
      <c r="R414" s="10" t="s">
        <v>66</v>
      </c>
      <c r="S414" s="10">
        <v>547.29999999999995</v>
      </c>
      <c r="T414" s="10">
        <v>108</v>
      </c>
      <c r="U414" s="29">
        <v>43686</v>
      </c>
      <c r="V414" s="29">
        <v>47338</v>
      </c>
      <c r="W414" s="10" t="s">
        <v>10</v>
      </c>
      <c r="X414" s="10" t="s">
        <v>17</v>
      </c>
    </row>
    <row r="415" spans="1:24" ht="45" customHeight="1" x14ac:dyDescent="0.25">
      <c r="A415" s="10">
        <f t="shared" si="0"/>
        <v>412</v>
      </c>
      <c r="B415" s="11" t="s">
        <v>1152</v>
      </c>
      <c r="C415" s="10" t="s">
        <v>1124</v>
      </c>
      <c r="D415" s="10" t="s">
        <v>541</v>
      </c>
      <c r="E415" s="10" t="s">
        <v>5</v>
      </c>
      <c r="F415" s="11" t="s">
        <v>1183</v>
      </c>
      <c r="G415" s="11"/>
      <c r="H415" s="11"/>
      <c r="I415" s="11">
        <v>1826</v>
      </c>
      <c r="J415" s="11" t="s">
        <v>438</v>
      </c>
      <c r="K415" s="15" t="s">
        <v>708</v>
      </c>
      <c r="L415" s="15" t="str">
        <f>HYPERLINK("https://drive.google.com/open?id=1GYxCRy29W-8rgVKhQlO665UNdkeMAZ5P","Сертифікат")</f>
        <v>Сертифікат</v>
      </c>
      <c r="M415" s="11" t="s">
        <v>26</v>
      </c>
      <c r="N415" s="10">
        <v>255.7</v>
      </c>
      <c r="O415" s="10">
        <v>895</v>
      </c>
      <c r="P415" s="10">
        <v>1</v>
      </c>
      <c r="Q415" s="10">
        <v>150.80000000000001</v>
      </c>
      <c r="R415" s="10" t="s">
        <v>66</v>
      </c>
      <c r="S415" s="10">
        <v>868.7</v>
      </c>
      <c r="T415" s="10">
        <v>170.5</v>
      </c>
      <c r="U415" s="29">
        <v>43686</v>
      </c>
      <c r="V415" s="29">
        <v>43685</v>
      </c>
      <c r="W415" s="10" t="s">
        <v>10</v>
      </c>
      <c r="X415" s="10" t="s">
        <v>17</v>
      </c>
    </row>
    <row r="416" spans="1:24" ht="45" customHeight="1" x14ac:dyDescent="0.25">
      <c r="A416" s="10">
        <f t="shared" si="0"/>
        <v>413</v>
      </c>
      <c r="B416" s="11" t="s">
        <v>1184</v>
      </c>
      <c r="C416" s="10" t="s">
        <v>1185</v>
      </c>
      <c r="D416" s="10" t="s">
        <v>142</v>
      </c>
      <c r="E416" s="10" t="s">
        <v>3</v>
      </c>
      <c r="F416" s="11" t="s">
        <v>1186</v>
      </c>
      <c r="G416" s="11"/>
      <c r="H416" s="11"/>
      <c r="I416" s="11" t="s">
        <v>1010</v>
      </c>
      <c r="J416" s="11" t="s">
        <v>642</v>
      </c>
      <c r="K416" s="15" t="str">
        <f>HYPERLINK("https://drive.google.com/open?id=1cxGxrVWMvCNlS6TwjKIt2Jn85z6h57TB","ЕЕ-036-05-19")</f>
        <v>ЕЕ-036-05-19</v>
      </c>
      <c r="L416" s="15" t="str">
        <f>HYPERLINK("https://drive.google.com/open?id=1wT2aKO1SRxjW4tNg5YtgirujLPGScc9n","Сертифікат")</f>
        <v>Сертифікат</v>
      </c>
      <c r="M416" s="11" t="s">
        <v>18</v>
      </c>
      <c r="N416" s="10">
        <v>824.8</v>
      </c>
      <c r="O416" s="10">
        <v>3550</v>
      </c>
      <c r="P416" s="10">
        <v>2</v>
      </c>
      <c r="Q416" s="10">
        <v>32.1</v>
      </c>
      <c r="R416" s="10" t="s">
        <v>66</v>
      </c>
      <c r="S416" s="10">
        <v>232</v>
      </c>
      <c r="T416" s="10">
        <v>45</v>
      </c>
      <c r="U416" s="29">
        <v>43692</v>
      </c>
      <c r="V416" s="29">
        <v>47344</v>
      </c>
      <c r="W416" s="10" t="s">
        <v>10</v>
      </c>
      <c r="X416" s="10" t="s">
        <v>17</v>
      </c>
    </row>
    <row r="417" spans="1:24" ht="45" customHeight="1" x14ac:dyDescent="0.25">
      <c r="A417" s="10">
        <f t="shared" si="0"/>
        <v>414</v>
      </c>
      <c r="B417" s="11" t="s">
        <v>1139</v>
      </c>
      <c r="C417" s="10" t="s">
        <v>68</v>
      </c>
      <c r="D417" s="10" t="s">
        <v>69</v>
      </c>
      <c r="E417" s="10" t="s">
        <v>5</v>
      </c>
      <c r="F417" s="11" t="s">
        <v>1187</v>
      </c>
      <c r="G417" s="11"/>
      <c r="H417" s="11"/>
      <c r="I417" s="11">
        <v>2010</v>
      </c>
      <c r="J417" s="11" t="s">
        <v>448</v>
      </c>
      <c r="K417" s="15" t="s">
        <v>449</v>
      </c>
      <c r="L417" s="15" t="str">
        <f>HYPERLINK("https://drive.google.com/open?id=1TW9N02HNpNdYTPG-UcNRGGxcwqV6Zx-O","Сертифікат")</f>
        <v>Сертифікат</v>
      </c>
      <c r="M417" s="11" t="s">
        <v>20</v>
      </c>
      <c r="N417" s="10">
        <v>1686</v>
      </c>
      <c r="O417" s="10">
        <v>5479.2</v>
      </c>
      <c r="P417" s="10">
        <v>3</v>
      </c>
      <c r="Q417" s="10">
        <v>66.400000000000006</v>
      </c>
      <c r="R417" s="10" t="s">
        <v>66</v>
      </c>
      <c r="S417" s="10">
        <v>430</v>
      </c>
      <c r="T417" s="10">
        <v>82.5</v>
      </c>
      <c r="U417" s="29">
        <v>43692</v>
      </c>
      <c r="V417" s="29">
        <v>47344</v>
      </c>
      <c r="W417" s="10" t="s">
        <v>10</v>
      </c>
      <c r="X417" s="10" t="s">
        <v>17</v>
      </c>
    </row>
    <row r="418" spans="1:24" ht="45" customHeight="1" x14ac:dyDescent="0.25">
      <c r="A418" s="10">
        <f t="shared" si="0"/>
        <v>415</v>
      </c>
      <c r="B418" s="11" t="s">
        <v>1188</v>
      </c>
      <c r="C418" s="10" t="s">
        <v>814</v>
      </c>
      <c r="D418" s="10" t="s">
        <v>815</v>
      </c>
      <c r="E418" s="10" t="s">
        <v>2</v>
      </c>
      <c r="F418" s="11" t="s">
        <v>1189</v>
      </c>
      <c r="G418" s="11"/>
      <c r="H418" s="11"/>
      <c r="I418" s="11">
        <v>1973</v>
      </c>
      <c r="J418" s="11" t="s">
        <v>817</v>
      </c>
      <c r="K418" s="15" t="str">
        <f>HYPERLINK("https://drive.google.com/open?id=195Nt2QyFm2vF_nQatQf2cvvhnudkfcTY","ЕЕ 00020")</f>
        <v>ЕЕ 00020</v>
      </c>
      <c r="L418" s="15" t="str">
        <f>HYPERLINK("https://drive.google.com/open?id=1q2GYbHSQvjH-TeAjfOd1F1hvHnN63YJ8","Сертифікат")</f>
        <v>Сертифікат</v>
      </c>
      <c r="M418" s="11" t="s">
        <v>26</v>
      </c>
      <c r="N418" s="10">
        <v>3601.5</v>
      </c>
      <c r="O418" s="10">
        <v>20870.5</v>
      </c>
      <c r="P418" s="10">
        <v>1</v>
      </c>
      <c r="Q418" s="10">
        <v>209</v>
      </c>
      <c r="R418" s="10" t="s">
        <v>66</v>
      </c>
      <c r="S418" s="10">
        <v>2190</v>
      </c>
      <c r="T418" s="10">
        <v>425</v>
      </c>
      <c r="U418" s="29">
        <v>43690</v>
      </c>
      <c r="V418" s="29">
        <v>47342</v>
      </c>
      <c r="W418" s="10" t="s">
        <v>13</v>
      </c>
      <c r="X418" s="10" t="s">
        <v>17</v>
      </c>
    </row>
    <row r="419" spans="1:24" ht="45" customHeight="1" x14ac:dyDescent="0.25">
      <c r="A419" s="10">
        <f t="shared" si="0"/>
        <v>416</v>
      </c>
      <c r="B419" s="11" t="s">
        <v>1190</v>
      </c>
      <c r="C419" s="10" t="s">
        <v>243</v>
      </c>
      <c r="D419" s="10" t="s">
        <v>238</v>
      </c>
      <c r="E419" s="10" t="s">
        <v>0</v>
      </c>
      <c r="F419" s="11" t="s">
        <v>1191</v>
      </c>
      <c r="G419" s="11"/>
      <c r="H419" s="11"/>
      <c r="I419" s="11">
        <v>2019</v>
      </c>
      <c r="J419" s="11" t="s">
        <v>432</v>
      </c>
      <c r="K419" s="15" t="str">
        <f t="shared" ref="K419:K420" si="15">HYPERLINK("https://drive.google.com/open?id=1euBM6QoP56NhYkl2g8T2IRU9qquzh3C9","АА000006")</f>
        <v>АА000006</v>
      </c>
      <c r="L419" s="15" t="str">
        <f>HYPERLINK("https://drive.google.com/open?id=1Vkaee_IMYJZjSycku7x1UWxACXaCbCPX","Сертифікат")</f>
        <v>Сертифікат</v>
      </c>
      <c r="M419" s="11" t="s">
        <v>18</v>
      </c>
      <c r="N419" s="10">
        <v>10278.1</v>
      </c>
      <c r="O419" s="10">
        <v>30491.22</v>
      </c>
      <c r="P419" s="10">
        <v>9</v>
      </c>
      <c r="Q419" s="10">
        <v>85.6</v>
      </c>
      <c r="R419" s="10" t="s">
        <v>57</v>
      </c>
      <c r="S419" s="10">
        <v>113.3</v>
      </c>
      <c r="T419" s="10">
        <v>22.6</v>
      </c>
      <c r="U419" s="29">
        <v>43691</v>
      </c>
      <c r="V419" s="29">
        <v>47343</v>
      </c>
      <c r="W419" s="10" t="s">
        <v>10</v>
      </c>
      <c r="X419" s="10" t="s">
        <v>17</v>
      </c>
    </row>
    <row r="420" spans="1:24" ht="45" customHeight="1" x14ac:dyDescent="0.25">
      <c r="A420" s="10">
        <f t="shared" si="0"/>
        <v>417</v>
      </c>
      <c r="B420" s="11" t="s">
        <v>1192</v>
      </c>
      <c r="C420" s="10" t="s">
        <v>243</v>
      </c>
      <c r="D420" s="10" t="s">
        <v>238</v>
      </c>
      <c r="E420" s="10" t="s">
        <v>0</v>
      </c>
      <c r="F420" s="11" t="s">
        <v>1009</v>
      </c>
      <c r="G420" s="11"/>
      <c r="H420" s="11"/>
      <c r="I420" s="11">
        <v>2019</v>
      </c>
      <c r="J420" s="11" t="s">
        <v>432</v>
      </c>
      <c r="K420" s="15" t="str">
        <f t="shared" si="15"/>
        <v>АА000006</v>
      </c>
      <c r="L420" s="15" t="str">
        <f>HYPERLINK("https://drive.google.com/open?id=1treBDrpYxBESGXJuXIX7_gT0UUAZGjP2","Сертифікат")</f>
        <v>Сертифікат</v>
      </c>
      <c r="M420" s="11" t="s">
        <v>18</v>
      </c>
      <c r="N420" s="10">
        <v>7182.8</v>
      </c>
      <c r="O420" s="10">
        <v>21548.3</v>
      </c>
      <c r="P420" s="10">
        <v>9</v>
      </c>
      <c r="Q420" s="10">
        <v>84.93</v>
      </c>
      <c r="R420" s="10" t="s">
        <v>57</v>
      </c>
      <c r="S420" s="10">
        <v>112.06</v>
      </c>
      <c r="T420" s="10">
        <v>22.35</v>
      </c>
      <c r="U420" s="29">
        <v>43691</v>
      </c>
      <c r="V420" s="29">
        <v>47343</v>
      </c>
      <c r="W420" s="10" t="s">
        <v>10</v>
      </c>
      <c r="X420" s="10" t="s">
        <v>17</v>
      </c>
    </row>
    <row r="421" spans="1:24" ht="45" customHeight="1" x14ac:dyDescent="0.25">
      <c r="A421" s="10">
        <f t="shared" si="0"/>
        <v>418</v>
      </c>
      <c r="B421" s="11" t="s">
        <v>1152</v>
      </c>
      <c r="C421" s="10" t="s">
        <v>1124</v>
      </c>
      <c r="D421" s="10" t="s">
        <v>541</v>
      </c>
      <c r="E421" s="10" t="s">
        <v>5</v>
      </c>
      <c r="F421" s="11" t="s">
        <v>1193</v>
      </c>
      <c r="G421" s="11"/>
      <c r="H421" s="11"/>
      <c r="I421" s="11">
        <v>1826</v>
      </c>
      <c r="J421" s="11" t="s">
        <v>438</v>
      </c>
      <c r="K421" s="15" t="s">
        <v>708</v>
      </c>
      <c r="L421" s="15" t="str">
        <f>HYPERLINK("https://drive.google.com/open?id=1N_NE3fKs-c_Q7_c6t2rwh-wTdVh1kQo9","Сертифікат")</f>
        <v>Сертифікат</v>
      </c>
      <c r="M421" s="11" t="s">
        <v>26</v>
      </c>
      <c r="N421" s="10">
        <v>295.39999999999998</v>
      </c>
      <c r="O421" s="10">
        <v>1004.4</v>
      </c>
      <c r="P421" s="10">
        <v>1</v>
      </c>
      <c r="Q421" s="10">
        <v>146.69999999999999</v>
      </c>
      <c r="R421" s="10" t="s">
        <v>66</v>
      </c>
      <c r="S421" s="10">
        <v>786.4</v>
      </c>
      <c r="T421" s="10">
        <v>154.9</v>
      </c>
      <c r="U421" s="29">
        <v>43686</v>
      </c>
      <c r="V421" s="29">
        <v>47338</v>
      </c>
      <c r="W421" s="10" t="s">
        <v>10</v>
      </c>
      <c r="X421" s="10" t="s">
        <v>17</v>
      </c>
    </row>
    <row r="422" spans="1:24" ht="45" customHeight="1" x14ac:dyDescent="0.25">
      <c r="A422" s="10">
        <f t="shared" si="0"/>
        <v>419</v>
      </c>
      <c r="B422" s="11" t="s">
        <v>1152</v>
      </c>
      <c r="C422" s="10" t="s">
        <v>1124</v>
      </c>
      <c r="D422" s="10" t="s">
        <v>541</v>
      </c>
      <c r="E422" s="10" t="s">
        <v>5</v>
      </c>
      <c r="F422" s="11" t="s">
        <v>1194</v>
      </c>
      <c r="G422" s="11"/>
      <c r="H422" s="11"/>
      <c r="I422" s="11">
        <v>1826</v>
      </c>
      <c r="J422" s="11" t="s">
        <v>438</v>
      </c>
      <c r="K422" s="15" t="s">
        <v>708</v>
      </c>
      <c r="L422" s="15" t="str">
        <f>HYPERLINK("https://drive.google.com/open?id=1nHIelAIx8Zq4w_Ssay02hsAv3DZ-IUTr","Сертифікат")</f>
        <v>Сертифікат</v>
      </c>
      <c r="M422" s="11" t="s">
        <v>26</v>
      </c>
      <c r="N422" s="10">
        <v>329</v>
      </c>
      <c r="O422" s="10">
        <v>1118.5999999999999</v>
      </c>
      <c r="P422" s="10">
        <v>1</v>
      </c>
      <c r="Q422" s="10">
        <v>150.69999999999999</v>
      </c>
      <c r="R422" s="10" t="s">
        <v>66</v>
      </c>
      <c r="S422" s="10">
        <v>805.2</v>
      </c>
      <c r="T422" s="10">
        <v>158.6</v>
      </c>
      <c r="U422" s="29">
        <v>43686</v>
      </c>
      <c r="V422" s="29">
        <v>47338</v>
      </c>
      <c r="W422" s="10" t="s">
        <v>10</v>
      </c>
      <c r="X422" s="10" t="s">
        <v>17</v>
      </c>
    </row>
    <row r="423" spans="1:24" ht="45" customHeight="1" x14ac:dyDescent="0.25">
      <c r="A423" s="10">
        <f t="shared" si="0"/>
        <v>420</v>
      </c>
      <c r="B423" s="11" t="s">
        <v>1195</v>
      </c>
      <c r="C423" s="10" t="s">
        <v>814</v>
      </c>
      <c r="D423" s="10" t="s">
        <v>815</v>
      </c>
      <c r="E423" s="10" t="s">
        <v>2</v>
      </c>
      <c r="F423" s="11" t="s">
        <v>1196</v>
      </c>
      <c r="G423" s="11"/>
      <c r="H423" s="11"/>
      <c r="I423" s="11" t="s">
        <v>1010</v>
      </c>
      <c r="J423" s="11" t="s">
        <v>817</v>
      </c>
      <c r="K423" s="15" t="str">
        <f>HYPERLINK("https://drive.google.com/open?id=195Nt2QyFm2vF_nQatQf2cvvhnudkfcTY","ЕЕ 00020")</f>
        <v>ЕЕ 00020</v>
      </c>
      <c r="L423" s="15" t="str">
        <f>HYPERLINK("https://drive.google.com/open?id=1KppFPBrDRVw-hJgExTmipEE84SJvGDoa","Сертифікат")</f>
        <v>Сертифікат</v>
      </c>
      <c r="M423" s="11" t="s">
        <v>15</v>
      </c>
      <c r="N423" s="10">
        <v>271.35000000000002</v>
      </c>
      <c r="O423" s="10">
        <v>786.2</v>
      </c>
      <c r="P423" s="10">
        <v>2</v>
      </c>
      <c r="Q423" s="10">
        <v>47.07</v>
      </c>
      <c r="R423" s="10" t="s">
        <v>66</v>
      </c>
      <c r="S423" s="10">
        <v>396.07</v>
      </c>
      <c r="T423" s="10">
        <v>74.55</v>
      </c>
      <c r="U423" s="29">
        <v>43686</v>
      </c>
      <c r="V423" s="29">
        <v>47338</v>
      </c>
      <c r="W423" s="10" t="s">
        <v>10</v>
      </c>
      <c r="X423" s="10" t="s">
        <v>17</v>
      </c>
    </row>
    <row r="424" spans="1:24" ht="45" customHeight="1" x14ac:dyDescent="0.25">
      <c r="A424" s="10">
        <f t="shared" si="0"/>
        <v>421</v>
      </c>
      <c r="B424" s="11" t="s">
        <v>1197</v>
      </c>
      <c r="C424" s="11" t="s">
        <v>1198</v>
      </c>
      <c r="D424" s="11" t="s">
        <v>75</v>
      </c>
      <c r="E424" s="11" t="s">
        <v>0</v>
      </c>
      <c r="F424" s="11" t="s">
        <v>1009</v>
      </c>
      <c r="G424" s="11"/>
      <c r="H424" s="11"/>
      <c r="I424" s="11">
        <v>2019</v>
      </c>
      <c r="J424" s="11" t="s">
        <v>996</v>
      </c>
      <c r="K424" s="15" t="str">
        <f>HYPERLINK("https://drive.google.com/open?id=1t1U1B-Dcl65fJeefDUPkygcXwkZ4v3nl","АА000018")</f>
        <v>АА000018</v>
      </c>
      <c r="L424" s="15" t="str">
        <f>HYPERLINK("https://drive.google.com/open?id=12nWZKuL6Hj9EuSqbO1YzSE6QFJE9umRE","Сертифікат")</f>
        <v>Сертифікат</v>
      </c>
      <c r="M424" s="11" t="s">
        <v>15</v>
      </c>
      <c r="N424" s="11">
        <v>2031</v>
      </c>
      <c r="O424" s="11">
        <v>11473.88</v>
      </c>
      <c r="P424" s="11">
        <v>8</v>
      </c>
      <c r="Q424" s="11">
        <v>68.42</v>
      </c>
      <c r="R424" s="11" t="s">
        <v>57</v>
      </c>
      <c r="S424" s="11">
        <v>68.430000000000007</v>
      </c>
      <c r="T424" s="11">
        <v>152.88999999999999</v>
      </c>
      <c r="U424" s="29">
        <v>43692</v>
      </c>
      <c r="V424" s="29">
        <v>47344</v>
      </c>
      <c r="W424" s="11" t="s">
        <v>16</v>
      </c>
      <c r="X424" s="11" t="s">
        <v>11</v>
      </c>
    </row>
    <row r="425" spans="1:24" ht="45" customHeight="1" x14ac:dyDescent="0.25">
      <c r="A425" s="10">
        <f t="shared" si="0"/>
        <v>422</v>
      </c>
      <c r="B425" s="11" t="s">
        <v>1199</v>
      </c>
      <c r="C425" s="11" t="s">
        <v>357</v>
      </c>
      <c r="D425" s="11" t="s">
        <v>142</v>
      </c>
      <c r="E425" s="11" t="s">
        <v>0</v>
      </c>
      <c r="F425" s="11" t="s">
        <v>1200</v>
      </c>
      <c r="G425" s="11"/>
      <c r="H425" s="11"/>
      <c r="I425" s="11" t="s">
        <v>1010</v>
      </c>
      <c r="J425" s="11" t="s">
        <v>93</v>
      </c>
      <c r="K425" s="15" t="str">
        <f>HYPERLINK("https://drive.google.com/open?id=16knL7rF64EXtCB0-Ch1v5DtfiE2GYjkB","ЕЕ-002-10-18")</f>
        <v>ЕЕ-002-10-18</v>
      </c>
      <c r="L425" s="48" t="str">
        <f>HYPERLINK("https://drive.google.com/open?id=14hHbPwFuqI7tR2JLkppAvqnHNZaG00GR","Сертифікат")</f>
        <v>Сертифікат</v>
      </c>
      <c r="M425" s="11" t="s">
        <v>22</v>
      </c>
      <c r="N425" s="10">
        <v>3203.1</v>
      </c>
      <c r="O425" s="10">
        <v>9551</v>
      </c>
      <c r="P425" s="10">
        <v>11</v>
      </c>
      <c r="Q425" s="10">
        <v>123.2</v>
      </c>
      <c r="R425" s="11" t="s">
        <v>57</v>
      </c>
      <c r="S425" s="10">
        <v>169</v>
      </c>
      <c r="T425" s="10">
        <v>33</v>
      </c>
      <c r="U425" s="29">
        <v>43691</v>
      </c>
      <c r="V425" s="29">
        <v>47343</v>
      </c>
      <c r="W425" s="10" t="s">
        <v>13</v>
      </c>
      <c r="X425" s="10" t="s">
        <v>17</v>
      </c>
    </row>
    <row r="426" spans="1:24" ht="45" customHeight="1" x14ac:dyDescent="0.25">
      <c r="A426" s="10">
        <f t="shared" si="0"/>
        <v>423</v>
      </c>
      <c r="B426" s="10" t="s">
        <v>1201</v>
      </c>
      <c r="C426" s="10" t="s">
        <v>1202</v>
      </c>
      <c r="D426" s="10" t="s">
        <v>86</v>
      </c>
      <c r="E426" s="10" t="s">
        <v>6</v>
      </c>
      <c r="F426" s="10" t="s">
        <v>1203</v>
      </c>
      <c r="G426" s="11"/>
      <c r="H426" s="11"/>
      <c r="I426" s="11" t="s">
        <v>1204</v>
      </c>
      <c r="J426" s="11" t="s">
        <v>1205</v>
      </c>
      <c r="K426" s="15" t="str">
        <f>HYPERLINK("https://drive.google.com/open?id=1AgHhVTxS6GZgfWxgXmp01ENmEAgVKsdV","ОД 02071010/1001-18")</f>
        <v>ОД 02071010/1001-18</v>
      </c>
      <c r="L426" s="15" t="str">
        <f>HYPERLINK("https://drive.google.com/open?id=1jCqSGqA0PP3dhya1HW0eusAz5oFqoWxx","Сертифікат")</f>
        <v>Сертифікат</v>
      </c>
      <c r="M426" s="11" t="s">
        <v>18</v>
      </c>
      <c r="N426" s="10">
        <v>10566.4</v>
      </c>
      <c r="O426" s="10">
        <v>23669</v>
      </c>
      <c r="P426" s="10">
        <v>8</v>
      </c>
      <c r="Q426" s="10">
        <v>76.75</v>
      </c>
      <c r="R426" s="11" t="s">
        <v>57</v>
      </c>
      <c r="S426" s="10">
        <v>92.37</v>
      </c>
      <c r="T426" s="10">
        <v>23.12</v>
      </c>
      <c r="U426" s="29">
        <v>43693</v>
      </c>
      <c r="V426" s="29">
        <v>47345</v>
      </c>
      <c r="W426" s="10" t="s">
        <v>10</v>
      </c>
      <c r="X426" s="10" t="s">
        <v>17</v>
      </c>
    </row>
    <row r="427" spans="1:24" ht="45" customHeight="1" x14ac:dyDescent="0.25">
      <c r="A427" s="10">
        <f t="shared" si="0"/>
        <v>424</v>
      </c>
      <c r="B427" s="11" t="s">
        <v>1206</v>
      </c>
      <c r="C427" s="10" t="s">
        <v>552</v>
      </c>
      <c r="D427" s="10" t="s">
        <v>541</v>
      </c>
      <c r="E427" s="10" t="s">
        <v>2</v>
      </c>
      <c r="F427" s="11" t="s">
        <v>1207</v>
      </c>
      <c r="G427" s="11"/>
      <c r="H427" s="11"/>
      <c r="I427" s="11">
        <v>1980</v>
      </c>
      <c r="J427" s="11" t="s">
        <v>1208</v>
      </c>
      <c r="K427" s="15" t="str">
        <f>HYPERLINK("https://drive.google.com/open?id=125lNMfPZICVarTnnfSEVeZKcg52xJ6qO","ЕА-05408289/008")</f>
        <v>ЕА-05408289/008</v>
      </c>
      <c r="L427" s="15" t="str">
        <f>HYPERLINK("https://drive.google.com/open?id=1nHYMfzSHBPomSATvPGJsUT7TOsH4EOdN","Сертифікат")</f>
        <v>Сертифікат</v>
      </c>
      <c r="M427" s="11" t="s">
        <v>22</v>
      </c>
      <c r="N427" s="11">
        <v>1754.54</v>
      </c>
      <c r="O427" s="11">
        <v>7018</v>
      </c>
      <c r="P427" s="11">
        <v>3</v>
      </c>
      <c r="Q427" s="10">
        <v>110</v>
      </c>
      <c r="R427" s="10" t="s">
        <v>66</v>
      </c>
      <c r="S427" s="10">
        <v>173</v>
      </c>
      <c r="T427" s="10">
        <v>33.5</v>
      </c>
      <c r="U427" s="29">
        <v>43459</v>
      </c>
      <c r="V427" s="29">
        <v>47111</v>
      </c>
      <c r="W427" s="10" t="s">
        <v>16</v>
      </c>
      <c r="X427" s="10" t="s">
        <v>11</v>
      </c>
    </row>
    <row r="428" spans="1:24" ht="45" customHeight="1" x14ac:dyDescent="0.25">
      <c r="A428" s="10">
        <f t="shared" si="0"/>
        <v>425</v>
      </c>
      <c r="B428" s="11" t="s">
        <v>1209</v>
      </c>
      <c r="C428" s="10" t="s">
        <v>357</v>
      </c>
      <c r="D428" s="10" t="s">
        <v>142</v>
      </c>
      <c r="E428" s="10" t="s">
        <v>0</v>
      </c>
      <c r="F428" s="11" t="s">
        <v>1009</v>
      </c>
      <c r="G428" s="11"/>
      <c r="H428" s="11"/>
      <c r="I428" s="11">
        <v>2019</v>
      </c>
      <c r="J428" s="11" t="s">
        <v>93</v>
      </c>
      <c r="K428" s="15" t="str">
        <f>HYPERLINK("https://drive.google.com/open?id=16knL7rF64EXtCB0-Ch1v5DtfiE2GYjkB","ЕЕ-002-10-18")</f>
        <v>ЕЕ-002-10-18</v>
      </c>
      <c r="L428" s="15" t="str">
        <f>HYPERLINK("https://drive.google.com/open?id=1W-Ug4aWCJh9cTU_JUyCZIblPWRjjevNO","Сертифікат")</f>
        <v>Сертифікат</v>
      </c>
      <c r="M428" s="11" t="s">
        <v>26</v>
      </c>
      <c r="N428" s="10">
        <v>12178.7</v>
      </c>
      <c r="O428" s="10">
        <v>36064</v>
      </c>
      <c r="P428" s="10">
        <v>11</v>
      </c>
      <c r="Q428" s="10">
        <v>153</v>
      </c>
      <c r="R428" s="11" t="s">
        <v>57</v>
      </c>
      <c r="S428" s="10">
        <v>197</v>
      </c>
      <c r="T428" s="10">
        <v>39</v>
      </c>
      <c r="U428" s="29">
        <v>43693</v>
      </c>
      <c r="V428" s="29">
        <v>47345</v>
      </c>
      <c r="W428" s="10" t="s">
        <v>10</v>
      </c>
      <c r="X428" s="10" t="s">
        <v>17</v>
      </c>
    </row>
    <row r="429" spans="1:24" ht="45" customHeight="1" x14ac:dyDescent="0.25">
      <c r="A429" s="10">
        <f t="shared" si="0"/>
        <v>426</v>
      </c>
      <c r="B429" s="11" t="s">
        <v>1210</v>
      </c>
      <c r="C429" s="10" t="s">
        <v>552</v>
      </c>
      <c r="D429" s="10" t="s">
        <v>541</v>
      </c>
      <c r="E429" s="10" t="s">
        <v>2</v>
      </c>
      <c r="F429" s="11" t="s">
        <v>1163</v>
      </c>
      <c r="G429" s="11"/>
      <c r="H429" s="11"/>
      <c r="I429" s="11">
        <v>1990</v>
      </c>
      <c r="J429" s="11" t="s">
        <v>240</v>
      </c>
      <c r="K429" s="15" t="str">
        <f>HYPERLINK("https://drive.google.com/open?id=1bdfPcoVY7gGnfSqAUR9FcOU1nrSE71tH","АА000020")</f>
        <v>АА000020</v>
      </c>
      <c r="L429" s="15" t="str">
        <f>HYPERLINK("https://drive.google.com/open?id=1Puf4lWFympvVwk6GozkIpJf9Y3wqVl17","Сертифікат")</f>
        <v>Сертифікат</v>
      </c>
      <c r="M429" s="11" t="s">
        <v>26</v>
      </c>
      <c r="N429" s="10">
        <v>2866.2</v>
      </c>
      <c r="O429" s="10">
        <v>9458.4599999999991</v>
      </c>
      <c r="P429" s="10">
        <v>4</v>
      </c>
      <c r="Q429" s="10">
        <v>76.41</v>
      </c>
      <c r="R429" s="10" t="s">
        <v>66</v>
      </c>
      <c r="S429" s="10">
        <v>302.3</v>
      </c>
      <c r="T429" s="10">
        <v>71.88</v>
      </c>
      <c r="U429" s="29">
        <v>43695</v>
      </c>
      <c r="V429" s="29">
        <v>47347</v>
      </c>
      <c r="W429" s="10" t="s">
        <v>13</v>
      </c>
      <c r="X429" s="10" t="s">
        <v>17</v>
      </c>
    </row>
    <row r="430" spans="1:24" ht="45" customHeight="1" x14ac:dyDescent="0.25">
      <c r="A430" s="10">
        <f t="shared" si="0"/>
        <v>427</v>
      </c>
      <c r="B430" s="11" t="s">
        <v>1211</v>
      </c>
      <c r="C430" s="10" t="s">
        <v>243</v>
      </c>
      <c r="D430" s="10" t="s">
        <v>238</v>
      </c>
      <c r="E430" s="10" t="s">
        <v>0</v>
      </c>
      <c r="F430" s="11" t="s">
        <v>1009</v>
      </c>
      <c r="G430" s="11"/>
      <c r="H430" s="11"/>
      <c r="I430" s="11" t="s">
        <v>1010</v>
      </c>
      <c r="J430" s="11" t="s">
        <v>1212</v>
      </c>
      <c r="K430" s="15" t="str">
        <f>HYPERLINK("https://drive.google.com/open?id=1XTelnBAirwIPoizCv9Tf_sX2tN4P-YTR","АА000015")</f>
        <v>АА000015</v>
      </c>
      <c r="L430" s="15" t="str">
        <f>HYPERLINK("https://drive.google.com/open?id=1vl8trd3UGn6rf81VqFE3RJQZuLHNnoed","Сертифікат")</f>
        <v>Сертифікат</v>
      </c>
      <c r="M430" s="11" t="s">
        <v>18</v>
      </c>
      <c r="N430" s="10">
        <v>12292.4</v>
      </c>
      <c r="O430" s="10">
        <v>36877.199999999997</v>
      </c>
      <c r="P430" s="10">
        <v>15</v>
      </c>
      <c r="Q430" s="10">
        <v>82.66</v>
      </c>
      <c r="R430" s="11" t="s">
        <v>57</v>
      </c>
      <c r="S430" s="10">
        <v>113.26</v>
      </c>
      <c r="T430" s="10">
        <v>35.729999999999997</v>
      </c>
      <c r="U430" s="29">
        <v>43692</v>
      </c>
      <c r="V430" s="29">
        <v>47344</v>
      </c>
      <c r="W430" s="10" t="s">
        <v>10</v>
      </c>
      <c r="X430" s="10" t="s">
        <v>17</v>
      </c>
    </row>
    <row r="431" spans="1:24" ht="45" customHeight="1" x14ac:dyDescent="0.25">
      <c r="A431" s="10">
        <f t="shared" si="0"/>
        <v>428</v>
      </c>
      <c r="B431" s="11" t="s">
        <v>1213</v>
      </c>
      <c r="C431" s="10" t="s">
        <v>243</v>
      </c>
      <c r="D431" s="10" t="s">
        <v>238</v>
      </c>
      <c r="E431" s="10" t="s">
        <v>2</v>
      </c>
      <c r="F431" s="11" t="s">
        <v>925</v>
      </c>
      <c r="G431" s="11"/>
      <c r="H431" s="11"/>
      <c r="I431" s="11">
        <v>1975</v>
      </c>
      <c r="J431" s="11" t="s">
        <v>432</v>
      </c>
      <c r="K431" s="15" t="str">
        <f>HYPERLINK("https://drive.google.com/open?id=1euBM6QoP56NhYkl2g8T2IRU9qquzh3C9","АА000006")</f>
        <v>АА000006</v>
      </c>
      <c r="L431" s="15" t="str">
        <f>HYPERLINK("https://drive.google.com/open?id=1FQ0G-HGuYpD-S0Ut8DmlQt1t6i2_iyKg","Сертифікат")</f>
        <v>Сертифікат</v>
      </c>
      <c r="M431" s="11" t="s">
        <v>18</v>
      </c>
      <c r="N431" s="10">
        <v>3525.2</v>
      </c>
      <c r="O431" s="10">
        <v>13181.25</v>
      </c>
      <c r="P431" s="31">
        <v>43558</v>
      </c>
      <c r="Q431" s="10">
        <v>42.59</v>
      </c>
      <c r="R431" s="10" t="s">
        <v>66</v>
      </c>
      <c r="S431" s="10">
        <v>349.42</v>
      </c>
      <c r="T431" s="10">
        <v>69.41</v>
      </c>
      <c r="U431" s="29">
        <v>43693</v>
      </c>
      <c r="V431" s="29">
        <v>43705</v>
      </c>
      <c r="W431" s="10" t="s">
        <v>10</v>
      </c>
      <c r="X431" s="10" t="s">
        <v>17</v>
      </c>
    </row>
    <row r="432" spans="1:24" ht="45" customHeight="1" x14ac:dyDescent="0.25">
      <c r="A432" s="10">
        <f t="shared" si="0"/>
        <v>429</v>
      </c>
      <c r="B432" s="11" t="s">
        <v>1214</v>
      </c>
      <c r="C432" s="10" t="s">
        <v>1215</v>
      </c>
      <c r="D432" s="10" t="s">
        <v>79</v>
      </c>
      <c r="E432" s="10" t="s">
        <v>3</v>
      </c>
      <c r="F432" s="11" t="s">
        <v>1216</v>
      </c>
      <c r="G432" s="11"/>
      <c r="H432" s="11"/>
      <c r="I432" s="11">
        <v>1987</v>
      </c>
      <c r="J432" s="11" t="s">
        <v>848</v>
      </c>
      <c r="K432" s="15" t="str">
        <f>HYPERLINK("https://drive.google.com/open?id=1iyyuXsFJgof-vuGhbT1Fobdkzo4OyADv","СБ-0030")</f>
        <v>СБ-0030</v>
      </c>
      <c r="L432" s="15" t="str">
        <f>HYPERLINK("https://drive.google.com/open?id=1zev0YqK8quRcmhVetEFTpRT4mZx7Swyz","Сертифікат")</f>
        <v>Сертифікат</v>
      </c>
      <c r="M432" s="11" t="s">
        <v>26</v>
      </c>
      <c r="N432" s="10">
        <v>1501</v>
      </c>
      <c r="O432" s="10">
        <v>4653</v>
      </c>
      <c r="P432" s="10">
        <v>2</v>
      </c>
      <c r="Q432" s="10">
        <v>81</v>
      </c>
      <c r="R432" s="10" t="s">
        <v>66</v>
      </c>
      <c r="S432" s="10">
        <v>339</v>
      </c>
      <c r="T432" s="10">
        <v>89</v>
      </c>
      <c r="U432" s="29">
        <v>43615</v>
      </c>
      <c r="V432" s="29">
        <v>47267</v>
      </c>
      <c r="W432" s="10" t="s">
        <v>10</v>
      </c>
      <c r="X432" s="10" t="s">
        <v>17</v>
      </c>
    </row>
    <row r="433" spans="1:24" ht="45" customHeight="1" x14ac:dyDescent="0.25">
      <c r="A433" s="10">
        <f t="shared" si="0"/>
        <v>430</v>
      </c>
      <c r="B433" s="11" t="s">
        <v>1217</v>
      </c>
      <c r="C433" s="10" t="s">
        <v>814</v>
      </c>
      <c r="D433" s="10" t="s">
        <v>815</v>
      </c>
      <c r="E433" s="10" t="s">
        <v>2</v>
      </c>
      <c r="F433" s="11" t="s">
        <v>1218</v>
      </c>
      <c r="G433" s="11"/>
      <c r="H433" s="11"/>
      <c r="I433" s="11">
        <v>1987</v>
      </c>
      <c r="J433" s="11" t="s">
        <v>668</v>
      </c>
      <c r="K433" s="15" t="str">
        <f>HYPERLINK("https://drive.google.com/open?id=1NSlpy3KnsggBDFhLrg81QLR2deMl7d6Q","АА000077")</f>
        <v>АА000077</v>
      </c>
      <c r="L433" s="15" t="str">
        <f>HYPERLINK("https://drive.google.com/open?id=1Q7FxgGg9iJbCItdRjsKP7RKjwLXS1iBM","Сертифікат")</f>
        <v>Сертифікат</v>
      </c>
      <c r="M433" s="11" t="s">
        <v>20</v>
      </c>
      <c r="N433" s="10">
        <v>1314.7</v>
      </c>
      <c r="O433" s="10">
        <v>4141</v>
      </c>
      <c r="P433" s="10">
        <v>2</v>
      </c>
      <c r="Q433" s="10">
        <v>73.599999999999994</v>
      </c>
      <c r="R433" s="10" t="s">
        <v>66</v>
      </c>
      <c r="S433" s="10">
        <v>373.6</v>
      </c>
      <c r="T433" s="10">
        <v>110.8</v>
      </c>
      <c r="U433" s="29">
        <v>43656</v>
      </c>
      <c r="V433" s="29">
        <v>47308</v>
      </c>
      <c r="W433" s="10" t="s">
        <v>10</v>
      </c>
      <c r="X433" s="10" t="s">
        <v>17</v>
      </c>
    </row>
    <row r="434" spans="1:24" ht="45" customHeight="1" x14ac:dyDescent="0.25">
      <c r="A434" s="10">
        <f t="shared" si="0"/>
        <v>431</v>
      </c>
      <c r="B434" s="11" t="s">
        <v>1219</v>
      </c>
      <c r="C434" s="10" t="s">
        <v>1083</v>
      </c>
      <c r="D434" s="10" t="s">
        <v>148</v>
      </c>
      <c r="E434" s="10" t="s">
        <v>0</v>
      </c>
      <c r="F434" s="11" t="s">
        <v>1220</v>
      </c>
      <c r="G434" s="11"/>
      <c r="H434" s="11"/>
      <c r="I434" s="11" t="s">
        <v>1010</v>
      </c>
      <c r="J434" s="11" t="s">
        <v>732</v>
      </c>
      <c r="K434" s="15" t="str">
        <f t="shared" ref="K434:K435" si="16">HYPERLINK("https://drive.google.com/open?id=1YmIUNUHq4P-kOoyLjfDDMpvQv5hFDMTd","OPI-АВ00010")</f>
        <v>OPI-АВ00010</v>
      </c>
      <c r="L434" s="15" t="str">
        <f>HYPERLINK("https://drive.google.com/open?id=1PVclfImgk3z1SurpVTFuauY7gYwvETwK","Сертифікат")</f>
        <v>Сертифікат</v>
      </c>
      <c r="M434" s="11" t="s">
        <v>18</v>
      </c>
      <c r="N434" s="10">
        <v>8334.6299999999992</v>
      </c>
      <c r="O434" s="10">
        <v>24467.91</v>
      </c>
      <c r="P434" s="10">
        <v>7</v>
      </c>
      <c r="Q434" s="10">
        <v>82.2</v>
      </c>
      <c r="R434" s="11" t="s">
        <v>57</v>
      </c>
      <c r="S434" s="10">
        <v>121</v>
      </c>
      <c r="T434" s="10">
        <v>24</v>
      </c>
      <c r="U434" s="29">
        <v>43696</v>
      </c>
      <c r="V434" s="29">
        <v>47348</v>
      </c>
      <c r="W434" s="10" t="s">
        <v>10</v>
      </c>
      <c r="X434" s="10" t="s">
        <v>17</v>
      </c>
    </row>
    <row r="435" spans="1:24" ht="45" customHeight="1" x14ac:dyDescent="0.25">
      <c r="A435" s="10">
        <f t="shared" si="0"/>
        <v>432</v>
      </c>
      <c r="B435" s="11" t="s">
        <v>1221</v>
      </c>
      <c r="C435" s="10" t="s">
        <v>1083</v>
      </c>
      <c r="D435" s="10" t="s">
        <v>148</v>
      </c>
      <c r="E435" s="10" t="s">
        <v>0</v>
      </c>
      <c r="F435" s="11" t="s">
        <v>1222</v>
      </c>
      <c r="G435" s="11"/>
      <c r="H435" s="11"/>
      <c r="I435" s="11" t="s">
        <v>1010</v>
      </c>
      <c r="J435" s="11" t="s">
        <v>732</v>
      </c>
      <c r="K435" s="15" t="str">
        <f t="shared" si="16"/>
        <v>OPI-АВ00010</v>
      </c>
      <c r="L435" s="15" t="str">
        <f>HYPERLINK("https://drive.google.com/open?id=1gWfddEhbF1VCdbOhrN49mBB4_0mq1s8j","Сертифікат")</f>
        <v>Сертифікат</v>
      </c>
      <c r="M435" s="11" t="s">
        <v>18</v>
      </c>
      <c r="N435" s="10">
        <v>4973.3500000000004</v>
      </c>
      <c r="O435" s="10">
        <v>13676.71</v>
      </c>
      <c r="P435" s="10">
        <v>7</v>
      </c>
      <c r="Q435" s="10">
        <v>86.8</v>
      </c>
      <c r="R435" s="11" t="s">
        <v>57</v>
      </c>
      <c r="S435" s="10">
        <v>126</v>
      </c>
      <c r="T435" s="10">
        <v>25</v>
      </c>
      <c r="U435" s="29">
        <v>43696</v>
      </c>
      <c r="V435" s="29">
        <v>47348</v>
      </c>
      <c r="W435" s="10" t="s">
        <v>10</v>
      </c>
      <c r="X435" s="10" t="s">
        <v>17</v>
      </c>
    </row>
    <row r="436" spans="1:24" ht="45" customHeight="1" x14ac:dyDescent="0.25">
      <c r="A436" s="10">
        <f t="shared" si="0"/>
        <v>433</v>
      </c>
      <c r="B436" s="11" t="s">
        <v>1223</v>
      </c>
      <c r="C436" s="10" t="s">
        <v>243</v>
      </c>
      <c r="D436" s="10" t="s">
        <v>238</v>
      </c>
      <c r="E436" s="10" t="s">
        <v>0</v>
      </c>
      <c r="F436" s="11" t="s">
        <v>1191</v>
      </c>
      <c r="G436" s="11"/>
      <c r="H436" s="11"/>
      <c r="I436" s="11" t="s">
        <v>1010</v>
      </c>
      <c r="J436" s="11" t="s">
        <v>432</v>
      </c>
      <c r="K436" s="15" t="str">
        <f>HYPERLINK("https://drive.google.com/open?id=1euBM6QoP56NhYkl2g8T2IRU9qquzh3C9","АА000006")</f>
        <v>АА000006</v>
      </c>
      <c r="L436" s="15" t="str">
        <f>HYPERLINK("https://drive.google.com/open?id=1kFroZf7J4fnm7IpRzaqNfzOZOojODMTI","Сертифікат")</f>
        <v>Сертифікат</v>
      </c>
      <c r="M436" s="11" t="s">
        <v>18</v>
      </c>
      <c r="N436" s="10">
        <v>24614</v>
      </c>
      <c r="O436" s="10">
        <v>76001.56</v>
      </c>
      <c r="P436" s="10">
        <v>18</v>
      </c>
      <c r="Q436" s="10">
        <v>85.8</v>
      </c>
      <c r="R436" s="11" t="s">
        <v>57</v>
      </c>
      <c r="S436" s="10">
        <v>113.6</v>
      </c>
      <c r="T436" s="10">
        <v>22.54</v>
      </c>
      <c r="U436" s="29">
        <v>43696</v>
      </c>
      <c r="V436" s="29">
        <v>47348</v>
      </c>
      <c r="W436" s="10" t="s">
        <v>13</v>
      </c>
      <c r="X436" s="10" t="s">
        <v>17</v>
      </c>
    </row>
    <row r="437" spans="1:24" ht="45" customHeight="1" x14ac:dyDescent="0.25">
      <c r="A437" s="10">
        <f t="shared" si="0"/>
        <v>434</v>
      </c>
      <c r="B437" s="49" t="s">
        <v>1224</v>
      </c>
      <c r="C437" s="50" t="s">
        <v>773</v>
      </c>
      <c r="D437" s="49" t="s">
        <v>247</v>
      </c>
      <c r="E437" s="10" t="s">
        <v>5</v>
      </c>
      <c r="F437" s="27" t="s">
        <v>1225</v>
      </c>
      <c r="G437" s="11"/>
      <c r="H437" s="11"/>
      <c r="I437" s="11">
        <v>1984</v>
      </c>
      <c r="J437" s="11" t="s">
        <v>209</v>
      </c>
      <c r="K437" s="15" t="str">
        <f>HYPERLINK("https://drive.google.com/open?id=1nFSy5k_5dEpHD1r7NrzhyR0bvCdUEIlN","СБ-0033")</f>
        <v>СБ-0033</v>
      </c>
      <c r="L437" s="15" t="str">
        <f>HYPERLINK("https://drive.google.com/open?id=1Nzn9CnUWMw7Dbem3Qx-2ooakA8jYkNKN","Сертифікат")</f>
        <v>Сертифікат</v>
      </c>
      <c r="M437" s="11" t="s">
        <v>24</v>
      </c>
      <c r="N437" s="10">
        <v>15224</v>
      </c>
      <c r="O437" s="10">
        <v>44758</v>
      </c>
      <c r="P437" s="10" t="s">
        <v>1226</v>
      </c>
      <c r="Q437" s="10">
        <v>88</v>
      </c>
      <c r="R437" s="10" t="s">
        <v>1227</v>
      </c>
      <c r="S437" s="10">
        <v>479</v>
      </c>
      <c r="T437" s="10">
        <v>93</v>
      </c>
      <c r="U437" s="29">
        <v>43693</v>
      </c>
      <c r="V437" s="29">
        <v>43720</v>
      </c>
      <c r="W437" s="10" t="s">
        <v>10</v>
      </c>
      <c r="X437" s="10" t="s">
        <v>17</v>
      </c>
    </row>
    <row r="438" spans="1:24" ht="45" customHeight="1" x14ac:dyDescent="0.25">
      <c r="A438" s="10">
        <f t="shared" si="0"/>
        <v>435</v>
      </c>
      <c r="B438" s="11" t="s">
        <v>1228</v>
      </c>
      <c r="C438" s="10" t="s">
        <v>552</v>
      </c>
      <c r="D438" s="10" t="s">
        <v>541</v>
      </c>
      <c r="E438" s="10" t="s">
        <v>5</v>
      </c>
      <c r="F438" s="11" t="s">
        <v>1229</v>
      </c>
      <c r="G438" s="11"/>
      <c r="H438" s="11"/>
      <c r="I438" s="11">
        <v>1965</v>
      </c>
      <c r="J438" s="11" t="s">
        <v>209</v>
      </c>
      <c r="K438" s="15" t="str">
        <f t="shared" ref="K438:K439" si="17">HYPERLINK("https://drive.google.com/open?id=16obRBdbfHwVVzrQeQwikMjZTVp_1S-u5","№ СБ-0033")</f>
        <v>№ СБ-0033</v>
      </c>
      <c r="L438" s="15" t="str">
        <f>HYPERLINK("https://drive.google.com/open?id=1eRRptqE8RwS1Cl-_Crr2cW2NCusX3Ceu","Сертифікат")</f>
        <v>Сертифікат</v>
      </c>
      <c r="M438" s="11" t="s">
        <v>26</v>
      </c>
      <c r="N438" s="10">
        <v>3323</v>
      </c>
      <c r="O438" s="10">
        <v>10964</v>
      </c>
      <c r="P438" s="10">
        <v>3</v>
      </c>
      <c r="Q438" s="10">
        <v>106</v>
      </c>
      <c r="R438" s="10" t="s">
        <v>66</v>
      </c>
      <c r="S438" s="10">
        <v>578</v>
      </c>
      <c r="T438" s="10">
        <v>113</v>
      </c>
      <c r="U438" s="29">
        <v>43692</v>
      </c>
      <c r="V438" s="29">
        <v>47344</v>
      </c>
      <c r="W438" s="10" t="s">
        <v>10</v>
      </c>
      <c r="X438" s="10" t="s">
        <v>17</v>
      </c>
    </row>
    <row r="439" spans="1:24" ht="45" customHeight="1" x14ac:dyDescent="0.25">
      <c r="A439" s="10">
        <f t="shared" si="0"/>
        <v>436</v>
      </c>
      <c r="B439" s="11" t="s">
        <v>1228</v>
      </c>
      <c r="C439" s="10" t="s">
        <v>552</v>
      </c>
      <c r="D439" s="10" t="s">
        <v>541</v>
      </c>
      <c r="E439" s="10" t="s">
        <v>5</v>
      </c>
      <c r="F439" s="11" t="s">
        <v>1230</v>
      </c>
      <c r="G439" s="11"/>
      <c r="H439" s="11"/>
      <c r="I439" s="11" t="s">
        <v>1231</v>
      </c>
      <c r="J439" s="11" t="s">
        <v>209</v>
      </c>
      <c r="K439" s="15" t="str">
        <f t="shared" si="17"/>
        <v>№ СБ-0033</v>
      </c>
      <c r="L439" s="15" t="str">
        <f>HYPERLINK("https://drive.google.com/open?id=1noHcwyRiYZcLlKFRKzHLGUHfFTmUF9rR","Сертифікат")</f>
        <v>Сертифікат</v>
      </c>
      <c r="M439" s="11" t="s">
        <v>18</v>
      </c>
      <c r="N439" s="10">
        <v>3323</v>
      </c>
      <c r="O439" s="10">
        <v>10964</v>
      </c>
      <c r="P439" s="10">
        <v>3</v>
      </c>
      <c r="Q439" s="10">
        <v>55</v>
      </c>
      <c r="R439" s="10" t="s">
        <v>66</v>
      </c>
      <c r="S439" s="10">
        <v>347</v>
      </c>
      <c r="T439" s="10">
        <v>67</v>
      </c>
      <c r="U439" s="29">
        <v>43692</v>
      </c>
      <c r="V439" s="29">
        <v>47344</v>
      </c>
      <c r="W439" s="10" t="s">
        <v>13</v>
      </c>
      <c r="X439" s="10" t="s">
        <v>17</v>
      </c>
    </row>
    <row r="440" spans="1:24" ht="45" customHeight="1" x14ac:dyDescent="0.25">
      <c r="A440" s="10">
        <f t="shared" si="0"/>
        <v>437</v>
      </c>
      <c r="B440" s="11" t="s">
        <v>1232</v>
      </c>
      <c r="C440" s="10" t="s">
        <v>1124</v>
      </c>
      <c r="D440" s="10" t="s">
        <v>541</v>
      </c>
      <c r="E440" s="10" t="s">
        <v>2</v>
      </c>
      <c r="F440" s="11" t="s">
        <v>1233</v>
      </c>
      <c r="G440" s="11"/>
      <c r="H440" s="11"/>
      <c r="I440" s="11">
        <v>1995</v>
      </c>
      <c r="J440" s="11" t="s">
        <v>240</v>
      </c>
      <c r="K440" s="15" t="str">
        <f>HYPERLINK("https://drive.google.com/open?id=1bdfPcoVY7gGnfSqAUR9FcOU1nrSE71tH","АА000020")</f>
        <v>АА000020</v>
      </c>
      <c r="L440" s="15" t="str">
        <f>HYPERLINK("https://drive.google.com/open?id=1yjQ4odqWziRutnQOYJY7KHrb3dsszVaw","Сертифікат")</f>
        <v>Сертифікат</v>
      </c>
      <c r="M440" s="11" t="s">
        <v>24</v>
      </c>
      <c r="N440" s="10">
        <v>810</v>
      </c>
      <c r="O440" s="10">
        <v>2673</v>
      </c>
      <c r="P440" s="10">
        <v>2</v>
      </c>
      <c r="Q440" s="10">
        <v>97.82</v>
      </c>
      <c r="R440" s="10" t="s">
        <v>66</v>
      </c>
      <c r="S440" s="10">
        <v>371.64</v>
      </c>
      <c r="T440" s="10">
        <v>88.1</v>
      </c>
      <c r="U440" s="29">
        <v>43697</v>
      </c>
      <c r="V440" s="29">
        <v>47349</v>
      </c>
      <c r="W440" s="10" t="s">
        <v>10</v>
      </c>
      <c r="X440" s="10" t="s">
        <v>17</v>
      </c>
    </row>
    <row r="441" spans="1:24" ht="45" customHeight="1" x14ac:dyDescent="0.25">
      <c r="A441" s="10">
        <f t="shared" si="0"/>
        <v>438</v>
      </c>
      <c r="B441" s="11" t="s">
        <v>1234</v>
      </c>
      <c r="C441" s="10" t="s">
        <v>825</v>
      </c>
      <c r="D441" s="10" t="s">
        <v>79</v>
      </c>
      <c r="E441" s="10" t="s">
        <v>0</v>
      </c>
      <c r="F441" s="11" t="s">
        <v>1235</v>
      </c>
      <c r="G441" s="11"/>
      <c r="H441" s="11"/>
      <c r="I441" s="11">
        <v>1988</v>
      </c>
      <c r="J441" s="11" t="s">
        <v>848</v>
      </c>
      <c r="K441" s="15" t="str">
        <f>HYPERLINK("https://drive.google.com/open?id=1iyyuXsFJgof-vuGhbT1Fobdkzo4OyADv","№СБ-0030")</f>
        <v>№СБ-0030</v>
      </c>
      <c r="L441" s="15" t="str">
        <f>HYPERLINK("https://drive.google.com/open?id=1gPU43GvWmvKbubmlt0Xg4PEeMXVx8dsS","Сертифікат")</f>
        <v>Сертифікат</v>
      </c>
      <c r="M441" s="11" t="s">
        <v>26</v>
      </c>
      <c r="N441" s="10">
        <v>1928</v>
      </c>
      <c r="O441" s="10">
        <v>6299</v>
      </c>
      <c r="P441" s="10">
        <v>3</v>
      </c>
      <c r="Q441" s="10">
        <v>384</v>
      </c>
      <c r="R441" s="11" t="s">
        <v>57</v>
      </c>
      <c r="S441" s="10">
        <v>575</v>
      </c>
      <c r="T441" s="10">
        <v>162</v>
      </c>
      <c r="U441" s="29">
        <v>43615</v>
      </c>
      <c r="V441" s="29">
        <v>47267</v>
      </c>
      <c r="W441" s="10" t="s">
        <v>13</v>
      </c>
      <c r="X441" s="10" t="s">
        <v>17</v>
      </c>
    </row>
    <row r="442" spans="1:24" ht="45" customHeight="1" x14ac:dyDescent="0.25">
      <c r="A442" s="10">
        <f t="shared" si="0"/>
        <v>439</v>
      </c>
      <c r="B442" s="11" t="s">
        <v>1236</v>
      </c>
      <c r="C442" s="10" t="s">
        <v>1237</v>
      </c>
      <c r="D442" s="10" t="s">
        <v>442</v>
      </c>
      <c r="E442" s="10" t="s">
        <v>3</v>
      </c>
      <c r="F442" s="11" t="s">
        <v>1238</v>
      </c>
      <c r="G442" s="11"/>
      <c r="H442" s="11"/>
      <c r="I442" s="11">
        <v>1959</v>
      </c>
      <c r="J442" s="11" t="s">
        <v>863</v>
      </c>
      <c r="K442" s="15" t="str">
        <f>HYPERLINK("https://drive.google.com/open?id=1zpGGjxW-5FjlhSc9vyLynI5MjUOBJLlg","ОД 000061")</f>
        <v>ОД 000061</v>
      </c>
      <c r="L442" s="15" t="str">
        <f>HYPERLINK("https://drive.google.com/open?id=1_1QkyFU6yNXZqYEIKqkEgNk9JXL7MQCp","Сертифікат")</f>
        <v>Сертифікат</v>
      </c>
      <c r="M442" s="11" t="s">
        <v>26</v>
      </c>
      <c r="N442" s="10">
        <v>1224.3</v>
      </c>
      <c r="O442" s="10">
        <v>5041</v>
      </c>
      <c r="P442" s="10">
        <v>1</v>
      </c>
      <c r="Q442" s="10">
        <v>79.209999999999994</v>
      </c>
      <c r="R442" s="10" t="s">
        <v>66</v>
      </c>
      <c r="S442" s="10">
        <v>170.8</v>
      </c>
      <c r="T442" s="10">
        <v>32</v>
      </c>
      <c r="U442" s="29">
        <v>43697</v>
      </c>
      <c r="V442" s="29">
        <v>47349</v>
      </c>
      <c r="W442" s="10" t="s">
        <v>13</v>
      </c>
      <c r="X442" s="10" t="s">
        <v>17</v>
      </c>
    </row>
    <row r="443" spans="1:24" ht="45" customHeight="1" x14ac:dyDescent="0.25">
      <c r="A443" s="10">
        <f t="shared" si="0"/>
        <v>440</v>
      </c>
      <c r="B443" s="11" t="s">
        <v>1239</v>
      </c>
      <c r="C443" s="10" t="s">
        <v>1240</v>
      </c>
      <c r="D443" s="10" t="s">
        <v>148</v>
      </c>
      <c r="E443" s="10" t="s">
        <v>4</v>
      </c>
      <c r="F443" s="11" t="s">
        <v>1241</v>
      </c>
      <c r="G443" s="11"/>
      <c r="H443" s="11"/>
      <c r="I443" s="11">
        <v>1986</v>
      </c>
      <c r="J443" s="11" t="s">
        <v>110</v>
      </c>
      <c r="K443" s="15" t="str">
        <f>HYPERLINK("https://drive.google.com/open?id=1hysLLNyTDspucV_3Tt8ScCWEgMedd8bv","1/010")</f>
        <v>1/010</v>
      </c>
      <c r="L443" s="15" t="str">
        <f>HYPERLINK("https://drive.google.com/open?id=1KdGhlji7I2nH6XnIbOl1NGjn28JzAdKH","Сертифікат")</f>
        <v>Сертифікат</v>
      </c>
      <c r="M443" s="11" t="s">
        <v>26</v>
      </c>
      <c r="N443" s="10">
        <v>667.3</v>
      </c>
      <c r="O443" s="10">
        <v>2035.1</v>
      </c>
      <c r="P443" s="10">
        <v>2</v>
      </c>
      <c r="Q443" s="10">
        <v>122.31</v>
      </c>
      <c r="R443" s="10" t="s">
        <v>66</v>
      </c>
      <c r="S443" s="10">
        <v>439.64</v>
      </c>
      <c r="T443" s="10">
        <v>87.36</v>
      </c>
      <c r="U443" s="29">
        <v>43696</v>
      </c>
      <c r="V443" s="29">
        <v>47348</v>
      </c>
      <c r="W443" s="10" t="s">
        <v>10</v>
      </c>
      <c r="X443" s="10" t="s">
        <v>17</v>
      </c>
    </row>
    <row r="444" spans="1:24" ht="45" customHeight="1" x14ac:dyDescent="0.25">
      <c r="A444" s="10">
        <f t="shared" si="0"/>
        <v>441</v>
      </c>
      <c r="B444" s="11" t="s">
        <v>1242</v>
      </c>
      <c r="C444" s="10" t="s">
        <v>1243</v>
      </c>
      <c r="D444" s="10" t="s">
        <v>571</v>
      </c>
      <c r="E444" s="10" t="s">
        <v>5</v>
      </c>
      <c r="F444" s="11" t="s">
        <v>1244</v>
      </c>
      <c r="G444" s="11"/>
      <c r="H444" s="11"/>
      <c r="I444" s="11">
        <v>1974</v>
      </c>
      <c r="J444" s="11" t="s">
        <v>573</v>
      </c>
      <c r="K444" s="15" t="str">
        <f t="shared" ref="K444:K445" si="18">HYPERLINK("https://drive.google.com/open?id=1MGjpA0_W5hp8iLQ2xHuo0u-i34OfLLAB","№ СБ-0036")</f>
        <v>№ СБ-0036</v>
      </c>
      <c r="L444" s="15" t="str">
        <f>HYPERLINK("https://drive.google.com/open?id=1X4PAnOuizfi1th80mowVOIEgXHf4lZas","Сертифікат")</f>
        <v>Сертифікат</v>
      </c>
      <c r="M444" s="11" t="s">
        <v>20</v>
      </c>
      <c r="N444" s="10">
        <v>575</v>
      </c>
      <c r="O444" s="10">
        <v>2064</v>
      </c>
      <c r="P444" s="10">
        <v>2</v>
      </c>
      <c r="Q444" s="10">
        <v>58.18</v>
      </c>
      <c r="R444" s="10" t="s">
        <v>66</v>
      </c>
      <c r="S444" s="10">
        <v>244.3</v>
      </c>
      <c r="T444" s="10">
        <v>22.96</v>
      </c>
      <c r="U444" s="29">
        <v>43647</v>
      </c>
      <c r="V444" s="29">
        <v>47299</v>
      </c>
      <c r="W444" s="10" t="s">
        <v>13</v>
      </c>
      <c r="X444" s="10" t="s">
        <v>17</v>
      </c>
    </row>
    <row r="445" spans="1:24" ht="45" customHeight="1" x14ac:dyDescent="0.25">
      <c r="A445" s="10">
        <f t="shared" si="0"/>
        <v>442</v>
      </c>
      <c r="B445" s="11" t="s">
        <v>1245</v>
      </c>
      <c r="C445" s="10" t="s">
        <v>748</v>
      </c>
      <c r="D445" s="10" t="s">
        <v>571</v>
      </c>
      <c r="E445" s="10" t="s">
        <v>5</v>
      </c>
      <c r="F445" s="11" t="s">
        <v>1246</v>
      </c>
      <c r="G445" s="11"/>
      <c r="H445" s="11"/>
      <c r="I445" s="11">
        <v>1970</v>
      </c>
      <c r="J445" s="11" t="s">
        <v>573</v>
      </c>
      <c r="K445" s="15" t="str">
        <f t="shared" si="18"/>
        <v>№ СБ-0036</v>
      </c>
      <c r="L445" s="15" t="str">
        <f>HYPERLINK("https://drive.google.com/open?id=1pynDiB4-0IL3NACVmASBZikjsC_JIbGX","Сертифікат")</f>
        <v>Сертифікат</v>
      </c>
      <c r="M445" s="11" t="s">
        <v>18</v>
      </c>
      <c r="N445" s="10">
        <v>1414</v>
      </c>
      <c r="O445" s="10">
        <v>3856</v>
      </c>
      <c r="P445" s="10">
        <v>2</v>
      </c>
      <c r="Q445" s="10">
        <v>54.85</v>
      </c>
      <c r="R445" s="10" t="s">
        <v>66</v>
      </c>
      <c r="S445" s="10">
        <v>257.7</v>
      </c>
      <c r="T445" s="10">
        <v>15.05</v>
      </c>
      <c r="U445" s="45">
        <v>43698</v>
      </c>
      <c r="V445" s="29">
        <v>47350</v>
      </c>
      <c r="W445" s="10" t="s">
        <v>13</v>
      </c>
      <c r="X445" s="10" t="s">
        <v>17</v>
      </c>
    </row>
    <row r="446" spans="1:24" ht="45" customHeight="1" x14ac:dyDescent="0.25">
      <c r="A446" s="10">
        <f t="shared" si="0"/>
        <v>443</v>
      </c>
      <c r="B446" s="11" t="s">
        <v>1247</v>
      </c>
      <c r="C446" s="10" t="s">
        <v>1248</v>
      </c>
      <c r="D446" s="10" t="s">
        <v>69</v>
      </c>
      <c r="E446" s="10" t="s">
        <v>2</v>
      </c>
      <c r="F446" s="11" t="s">
        <v>1249</v>
      </c>
      <c r="G446" s="11"/>
      <c r="H446" s="11"/>
      <c r="I446" s="11">
        <v>1964</v>
      </c>
      <c r="J446" s="11" t="s">
        <v>438</v>
      </c>
      <c r="K446" s="15" t="s">
        <v>708</v>
      </c>
      <c r="L446" s="15" t="str">
        <f>HYPERLINK("https://drive.google.com/open?id=1sE2IuhvYiTYn7t0tKcb7nph-rLI_TieY","Сертифікат")</f>
        <v>Сертифікат</v>
      </c>
      <c r="M446" s="11" t="s">
        <v>20</v>
      </c>
      <c r="N446" s="10">
        <v>453</v>
      </c>
      <c r="O446" s="10">
        <v>1168</v>
      </c>
      <c r="P446" s="10">
        <v>2</v>
      </c>
      <c r="Q446" s="10">
        <v>73.599999999999994</v>
      </c>
      <c r="R446" s="10" t="s">
        <v>66</v>
      </c>
      <c r="S446" s="10">
        <v>264</v>
      </c>
      <c r="T446" s="10">
        <v>52</v>
      </c>
      <c r="U446" s="29">
        <v>43697</v>
      </c>
      <c r="V446" s="29">
        <v>47349</v>
      </c>
      <c r="W446" s="10" t="s">
        <v>10</v>
      </c>
      <c r="X446" s="10" t="s">
        <v>17</v>
      </c>
    </row>
    <row r="447" spans="1:24" ht="45" customHeight="1" x14ac:dyDescent="0.25">
      <c r="A447" s="10">
        <f t="shared" si="0"/>
        <v>444</v>
      </c>
      <c r="B447" s="11" t="s">
        <v>1250</v>
      </c>
      <c r="C447" s="10" t="s">
        <v>320</v>
      </c>
      <c r="D447" s="10" t="s">
        <v>79</v>
      </c>
      <c r="E447" s="10" t="s">
        <v>0</v>
      </c>
      <c r="F447" s="11" t="s">
        <v>1251</v>
      </c>
      <c r="G447" s="11"/>
      <c r="H447" s="11"/>
      <c r="I447" s="11">
        <v>1990</v>
      </c>
      <c r="J447" s="11" t="s">
        <v>848</v>
      </c>
      <c r="K447" s="15" t="str">
        <f>HYPERLINK("https://drive.google.com/open?id=1iyyuXsFJgof-vuGhbT1Fobdkzo4OyADv","СБ-0030")</f>
        <v>СБ-0030</v>
      </c>
      <c r="L447" s="15" t="str">
        <f>HYPERLINK("https://drive.google.com/open?id=1eUSqy1u-GV2VCrMiA-64XqUbKftrAUZS","Сертифікат")</f>
        <v>Сертифікат</v>
      </c>
      <c r="M447" s="11" t="s">
        <v>26</v>
      </c>
      <c r="N447" s="10">
        <v>2496</v>
      </c>
      <c r="O447" s="10">
        <v>7038</v>
      </c>
      <c r="P447" s="10">
        <v>4</v>
      </c>
      <c r="Q447" s="10">
        <v>249</v>
      </c>
      <c r="R447" s="11" t="s">
        <v>57</v>
      </c>
      <c r="S447" s="10">
        <v>320</v>
      </c>
      <c r="T447" s="10">
        <v>82</v>
      </c>
      <c r="U447" s="29">
        <v>43615</v>
      </c>
      <c r="V447" s="29">
        <v>47267</v>
      </c>
      <c r="W447" s="10" t="s">
        <v>10</v>
      </c>
      <c r="X447" s="10" t="s">
        <v>17</v>
      </c>
    </row>
    <row r="448" spans="1:24" ht="45" customHeight="1" x14ac:dyDescent="0.25">
      <c r="A448" s="10">
        <f t="shared" si="0"/>
        <v>445</v>
      </c>
      <c r="B448" s="11" t="s">
        <v>1252</v>
      </c>
      <c r="C448" s="10" t="s">
        <v>68</v>
      </c>
      <c r="D448" s="10" t="s">
        <v>69</v>
      </c>
      <c r="E448" s="10" t="s">
        <v>0</v>
      </c>
      <c r="F448" s="11" t="s">
        <v>1253</v>
      </c>
      <c r="G448" s="11"/>
      <c r="H448" s="11"/>
      <c r="I448" s="11">
        <v>1990</v>
      </c>
      <c r="J448" s="11" t="s">
        <v>291</v>
      </c>
      <c r="K448" s="15" t="str">
        <f>HYPERLINK("https://drive.google.com/open?id=1hRveVW8wUZQ_UaJ5nMN6tSGm5Wd2ppTv","АА000024")</f>
        <v>АА000024</v>
      </c>
      <c r="L448" s="15" t="str">
        <f>HYPERLINK("https://drive.google.com/open?id=1KIO-H4sGOv1011t5wf2TGxYblCJDqTpc","Сертифікат")</f>
        <v>Сертифікат</v>
      </c>
      <c r="M448" s="11" t="s">
        <v>26</v>
      </c>
      <c r="N448" s="10">
        <v>4308</v>
      </c>
      <c r="O448" s="10">
        <v>12065.2</v>
      </c>
      <c r="P448" s="10">
        <v>5</v>
      </c>
      <c r="Q448" s="10">
        <v>179.38</v>
      </c>
      <c r="R448" s="11" t="s">
        <v>57</v>
      </c>
      <c r="S448" s="10">
        <v>233.53</v>
      </c>
      <c r="T448" s="10">
        <v>60.84</v>
      </c>
      <c r="U448" s="29">
        <v>43697</v>
      </c>
      <c r="V448" s="29">
        <v>47349</v>
      </c>
      <c r="W448" s="10" t="s">
        <v>10</v>
      </c>
      <c r="X448" s="10" t="s">
        <v>17</v>
      </c>
    </row>
    <row r="449" spans="1:24" ht="45" customHeight="1" x14ac:dyDescent="0.25">
      <c r="A449" s="10">
        <f t="shared" si="0"/>
        <v>446</v>
      </c>
      <c r="B449" s="11" t="s">
        <v>1254</v>
      </c>
      <c r="C449" s="10" t="s">
        <v>374</v>
      </c>
      <c r="D449" s="10" t="s">
        <v>79</v>
      </c>
      <c r="E449" s="10" t="s">
        <v>3</v>
      </c>
      <c r="F449" s="11" t="s">
        <v>397</v>
      </c>
      <c r="G449" s="11"/>
      <c r="H449" s="11"/>
      <c r="I449" s="11">
        <v>1968</v>
      </c>
      <c r="J449" s="11" t="s">
        <v>150</v>
      </c>
      <c r="K449" s="15" t="str">
        <f>HYPERLINK("https://drive.google.com/open?id=1lPaVOdYRv96X1_3N5OYB5TnG02gUybVZ","СБ-0025")</f>
        <v>СБ-0025</v>
      </c>
      <c r="L449" s="15" t="str">
        <f>HYPERLINK("https://drive.google.com/open?id=1y_EUud-Ez2t9Kq-ozzYfxnInBfB_wPeC","Сертифікат")</f>
        <v>Сертифікат</v>
      </c>
      <c r="M449" s="11" t="s">
        <v>26</v>
      </c>
      <c r="N449" s="10">
        <v>2013</v>
      </c>
      <c r="O449" s="10">
        <v>6977</v>
      </c>
      <c r="P449" s="10">
        <v>3</v>
      </c>
      <c r="Q449" s="10">
        <v>87</v>
      </c>
      <c r="R449" s="10" t="s">
        <v>66</v>
      </c>
      <c r="S449" s="10">
        <v>465</v>
      </c>
      <c r="T449" s="10">
        <v>133</v>
      </c>
      <c r="U449" s="29">
        <v>43615</v>
      </c>
      <c r="V449" s="29">
        <v>47267</v>
      </c>
      <c r="W449" s="10" t="s">
        <v>10</v>
      </c>
      <c r="X449" s="10" t="s">
        <v>17</v>
      </c>
    </row>
    <row r="450" spans="1:24" ht="45" customHeight="1" x14ac:dyDescent="0.25">
      <c r="A450" s="10">
        <f t="shared" si="0"/>
        <v>447</v>
      </c>
      <c r="B450" s="11" t="s">
        <v>1255</v>
      </c>
      <c r="C450" s="10" t="s">
        <v>78</v>
      </c>
      <c r="D450" s="10" t="s">
        <v>79</v>
      </c>
      <c r="E450" s="10" t="s">
        <v>0</v>
      </c>
      <c r="F450" s="11" t="s">
        <v>1256</v>
      </c>
      <c r="G450" s="11"/>
      <c r="H450" s="11"/>
      <c r="I450" s="11">
        <v>1993</v>
      </c>
      <c r="J450" s="11" t="s">
        <v>1257</v>
      </c>
      <c r="K450" s="15" t="str">
        <f>HYPERLINK("https://drive.google.com/open?id=18YVGXN2EVKEsjk5jg2cT5d8OMGvduj3R","АР 000026")</f>
        <v>АР 000026</v>
      </c>
      <c r="L450" s="15" t="str">
        <f>HYPERLINK("https://drive.google.com/open?id=1ysOVAuyXQzzMAHzHVo-i2vsGt_Z3mADH","Сертифікат")</f>
        <v>Сертифікат</v>
      </c>
      <c r="M450" s="11" t="s">
        <v>26</v>
      </c>
      <c r="N450" s="10">
        <v>13518</v>
      </c>
      <c r="O450" s="10">
        <v>40283.64</v>
      </c>
      <c r="P450" s="10">
        <v>10</v>
      </c>
      <c r="Q450" s="10">
        <v>282.10000000000002</v>
      </c>
      <c r="R450" s="10" t="s">
        <v>57</v>
      </c>
      <c r="S450" s="10">
        <v>478.94</v>
      </c>
      <c r="T450" s="10">
        <v>93.56</v>
      </c>
      <c r="U450" s="29">
        <v>43691</v>
      </c>
      <c r="V450" s="29">
        <v>47343</v>
      </c>
      <c r="W450" s="10" t="s">
        <v>13</v>
      </c>
      <c r="X450" s="10" t="s">
        <v>17</v>
      </c>
    </row>
    <row r="451" spans="1:24" ht="45" customHeight="1" x14ac:dyDescent="0.25">
      <c r="A451" s="10">
        <f t="shared" si="0"/>
        <v>448</v>
      </c>
      <c r="B451" s="11" t="s">
        <v>1258</v>
      </c>
      <c r="C451" s="10" t="s">
        <v>1259</v>
      </c>
      <c r="D451" s="10" t="s">
        <v>86</v>
      </c>
      <c r="E451" s="10" t="s">
        <v>3</v>
      </c>
      <c r="F451" s="11" t="s">
        <v>1260</v>
      </c>
      <c r="G451" s="11"/>
      <c r="H451" s="11"/>
      <c r="I451" s="11">
        <v>1971</v>
      </c>
      <c r="J451" s="11" t="s">
        <v>739</v>
      </c>
      <c r="K451" s="15" t="str">
        <f>HYPERLINK("https://drive.google.com/open?id=1zVrpIuY14Z4qtH7jTtKij9w-zFpVz9Q_","ЕЕ00004")</f>
        <v>ЕЕ00004</v>
      </c>
      <c r="L451" s="15" t="str">
        <f>HYPERLINK("https://drive.google.com/open?id=1-iZ7-AwGo7ApZkl717DJHpVoAhvRP53o","Сертифікат")</f>
        <v>Сертифікат</v>
      </c>
      <c r="M451" s="11" t="s">
        <v>24</v>
      </c>
      <c r="N451" s="10">
        <v>2687.3</v>
      </c>
      <c r="O451" s="10">
        <v>9240</v>
      </c>
      <c r="P451" s="10">
        <v>3</v>
      </c>
      <c r="Q451" s="10">
        <v>54.89</v>
      </c>
      <c r="R451" s="10" t="s">
        <v>66</v>
      </c>
      <c r="S451" s="10">
        <v>415.2</v>
      </c>
      <c r="T451" s="10">
        <v>79.42</v>
      </c>
      <c r="U451" s="29">
        <v>43693</v>
      </c>
      <c r="V451" s="29">
        <v>47345</v>
      </c>
      <c r="W451" s="10" t="s">
        <v>13</v>
      </c>
      <c r="X451" s="10" t="s">
        <v>17</v>
      </c>
    </row>
    <row r="452" spans="1:24" ht="45" customHeight="1" x14ac:dyDescent="0.25">
      <c r="A452" s="10">
        <f t="shared" si="0"/>
        <v>449</v>
      </c>
      <c r="B452" s="11" t="s">
        <v>1261</v>
      </c>
      <c r="C452" s="10" t="s">
        <v>1145</v>
      </c>
      <c r="D452" s="10" t="s">
        <v>1262</v>
      </c>
      <c r="E452" s="10" t="s">
        <v>2</v>
      </c>
      <c r="F452" s="11" t="s">
        <v>1263</v>
      </c>
      <c r="G452" s="11"/>
      <c r="H452" s="11"/>
      <c r="I452" s="11">
        <v>1988</v>
      </c>
      <c r="J452" s="11" t="s">
        <v>668</v>
      </c>
      <c r="K452" s="15" t="str">
        <f>HYPERLINK("https://drive.google.com/open?id=1NSlpy3KnsggBDFhLrg81QLR2deMl7d6Q","АА000077")</f>
        <v>АА000077</v>
      </c>
      <c r="L452" s="15" t="str">
        <f>HYPERLINK("https://drive.google.com/open?id=1EdLt76vmIiTXO4CGoiGAxzB6SdXcCQRx","Сертифікат")</f>
        <v>Сертифікат</v>
      </c>
      <c r="M452" s="11" t="s">
        <v>26</v>
      </c>
      <c r="N452" s="10">
        <v>1169.5999999999999</v>
      </c>
      <c r="O452" s="10">
        <v>3567</v>
      </c>
      <c r="P452" s="10">
        <v>3</v>
      </c>
      <c r="Q452" s="10">
        <v>112.4</v>
      </c>
      <c r="R452" s="10" t="s">
        <v>66</v>
      </c>
      <c r="S452" s="10">
        <v>463.7</v>
      </c>
      <c r="T452" s="10">
        <v>127.7</v>
      </c>
      <c r="U452" s="29">
        <v>43692</v>
      </c>
      <c r="V452" s="29">
        <v>47344</v>
      </c>
      <c r="W452" s="10" t="s">
        <v>10</v>
      </c>
      <c r="X452" s="10" t="s">
        <v>17</v>
      </c>
    </row>
    <row r="453" spans="1:24" ht="45" customHeight="1" x14ac:dyDescent="0.25">
      <c r="A453" s="10">
        <f t="shared" si="0"/>
        <v>450</v>
      </c>
      <c r="B453" s="11" t="s">
        <v>1264</v>
      </c>
      <c r="C453" s="10" t="s">
        <v>52</v>
      </c>
      <c r="D453" s="10" t="s">
        <v>52</v>
      </c>
      <c r="E453" s="10" t="s">
        <v>2</v>
      </c>
      <c r="F453" s="24" t="s">
        <v>1265</v>
      </c>
      <c r="G453" s="11"/>
      <c r="H453" s="11"/>
      <c r="I453" s="11">
        <v>1963</v>
      </c>
      <c r="J453" s="11" t="s">
        <v>1266</v>
      </c>
      <c r="K453" s="15" t="str">
        <f>HYPERLINK("https://drive.google.com/open?id=1BxtrpyOYofaRpkMYXPCevRPSgDfyEBvw","СБ-0064")</f>
        <v>СБ-0064</v>
      </c>
      <c r="L453" s="15" t="str">
        <f>HYPERLINK("https://drive.google.com/open?id=1XZsjwTSMb6WLRlpVgleNFMw5_xyLVFmE","Сертифікат")</f>
        <v>Сертифікат</v>
      </c>
      <c r="M453" s="11" t="s">
        <v>24</v>
      </c>
      <c r="N453" s="10">
        <v>2081</v>
      </c>
      <c r="O453" s="10">
        <v>7056</v>
      </c>
      <c r="P453" s="10">
        <v>2</v>
      </c>
      <c r="Q453" s="10">
        <v>93.02</v>
      </c>
      <c r="R453" s="10" t="s">
        <v>66</v>
      </c>
      <c r="S453" s="10">
        <v>470.37</v>
      </c>
      <c r="T453" s="10">
        <v>92.9</v>
      </c>
      <c r="U453" s="29">
        <v>43692</v>
      </c>
      <c r="V453" s="29">
        <v>47344</v>
      </c>
      <c r="W453" s="10" t="s">
        <v>13</v>
      </c>
      <c r="X453" s="10" t="s">
        <v>17</v>
      </c>
    </row>
    <row r="454" spans="1:24" ht="45" customHeight="1" x14ac:dyDescent="0.25">
      <c r="A454" s="10">
        <f t="shared" si="0"/>
        <v>451</v>
      </c>
      <c r="B454" s="11" t="s">
        <v>1267</v>
      </c>
      <c r="C454" s="10" t="s">
        <v>825</v>
      </c>
      <c r="D454" s="10" t="s">
        <v>79</v>
      </c>
      <c r="E454" s="10" t="s">
        <v>3</v>
      </c>
      <c r="F454" s="11" t="s">
        <v>1268</v>
      </c>
      <c r="G454" s="11"/>
      <c r="H454" s="11"/>
      <c r="I454" s="11">
        <v>1986</v>
      </c>
      <c r="J454" s="11" t="s">
        <v>150</v>
      </c>
      <c r="K454" s="15" t="str">
        <f>HYPERLINK("https://drive.google.com/open?id=1lPaVOdYRv96X1_3N5OYB5TnG02gUybVZ","СБ-0025")</f>
        <v>СБ-0025</v>
      </c>
      <c r="L454" s="15" t="str">
        <f>HYPERLINK("https://drive.google.com/open?id=1joaL9dl4GkTa1zgwLTPl1NEBDpQGDF7i","Сертифікат")</f>
        <v>Сертифікат</v>
      </c>
      <c r="M454" s="11" t="s">
        <v>26</v>
      </c>
      <c r="N454" s="10">
        <v>1772</v>
      </c>
      <c r="O454" s="10">
        <v>6677</v>
      </c>
      <c r="P454" s="10">
        <v>3</v>
      </c>
      <c r="Q454" s="10">
        <v>93</v>
      </c>
      <c r="R454" s="10" t="s">
        <v>66</v>
      </c>
      <c r="S454" s="10">
        <v>484</v>
      </c>
      <c r="T454" s="10">
        <v>131</v>
      </c>
      <c r="U454" s="29">
        <v>43615</v>
      </c>
      <c r="V454" s="29">
        <v>47267</v>
      </c>
      <c r="W454" s="10" t="s">
        <v>10</v>
      </c>
      <c r="X454" s="10" t="s">
        <v>17</v>
      </c>
    </row>
    <row r="455" spans="1:24" ht="45" customHeight="1" x14ac:dyDescent="0.25">
      <c r="A455" s="10">
        <f t="shared" si="0"/>
        <v>452</v>
      </c>
      <c r="B455" s="11" t="s">
        <v>1269</v>
      </c>
      <c r="C455" s="10" t="s">
        <v>320</v>
      </c>
      <c r="D455" s="10" t="s">
        <v>79</v>
      </c>
      <c r="E455" s="10" t="s">
        <v>5</v>
      </c>
      <c r="F455" s="11" t="s">
        <v>1270</v>
      </c>
      <c r="G455" s="11"/>
      <c r="H455" s="11"/>
      <c r="I455" s="11">
        <v>1913</v>
      </c>
      <c r="J455" s="11" t="s">
        <v>848</v>
      </c>
      <c r="K455" s="15" t="str">
        <f>HYPERLINK("https://drive.google.com/open?id=1iyyuXsFJgof-vuGhbT1Fobdkzo4OyADv","СБ-0030")</f>
        <v>СБ-0030</v>
      </c>
      <c r="L455" s="15" t="str">
        <f>HYPERLINK("https://drive.google.com/open?id=1Ji_Fo9X3TgFzTDgOE6Nb-NpTDfP-rjyc","Сертифікат")</f>
        <v>Сертифікат</v>
      </c>
      <c r="M455" s="11" t="s">
        <v>26</v>
      </c>
      <c r="N455" s="10">
        <v>2604</v>
      </c>
      <c r="O455" s="10">
        <v>10502</v>
      </c>
      <c r="P455" s="10">
        <v>2</v>
      </c>
      <c r="Q455" s="10">
        <v>148</v>
      </c>
      <c r="R455" s="10" t="s">
        <v>66</v>
      </c>
      <c r="S455" s="10">
        <v>730</v>
      </c>
      <c r="T455" s="10">
        <v>261</v>
      </c>
      <c r="U455" s="29">
        <v>43615</v>
      </c>
      <c r="V455" s="29">
        <v>47267</v>
      </c>
      <c r="W455" s="10" t="s">
        <v>10</v>
      </c>
      <c r="X455" s="10" t="s">
        <v>17</v>
      </c>
    </row>
    <row r="456" spans="1:24" ht="45" customHeight="1" x14ac:dyDescent="0.25">
      <c r="A456" s="10">
        <f t="shared" si="0"/>
        <v>453</v>
      </c>
      <c r="B456" s="11" t="s">
        <v>1271</v>
      </c>
      <c r="C456" s="10" t="s">
        <v>1086</v>
      </c>
      <c r="D456" s="10" t="s">
        <v>541</v>
      </c>
      <c r="E456" s="10" t="s">
        <v>2</v>
      </c>
      <c r="F456" s="11" t="s">
        <v>1272</v>
      </c>
      <c r="G456" s="11"/>
      <c r="H456" s="11"/>
      <c r="I456" s="11">
        <v>1961</v>
      </c>
      <c r="J456" s="11" t="s">
        <v>240</v>
      </c>
      <c r="K456" s="15" t="str">
        <f>HYPERLINK("https://drive.google.com/open?id=1t5sd0mPVFTndxf_M83wDtp8HMS7uJjSa","АА000020")</f>
        <v>АА000020</v>
      </c>
      <c r="L456" s="15" t="str">
        <f>HYPERLINK("https://drive.google.com/open?id=1orubU_l6j2KLtMObFBeFMF8P88X9Zte4","Сертифікат")</f>
        <v>Сертифікат</v>
      </c>
      <c r="M456" s="11" t="s">
        <v>24</v>
      </c>
      <c r="N456" s="10">
        <v>713</v>
      </c>
      <c r="O456" s="10">
        <v>2139</v>
      </c>
      <c r="P456" s="10">
        <v>2</v>
      </c>
      <c r="Q456" s="10">
        <v>103.86</v>
      </c>
      <c r="R456" s="10" t="s">
        <v>66</v>
      </c>
      <c r="S456" s="10">
        <v>358.96</v>
      </c>
      <c r="T456" s="10">
        <v>85.19</v>
      </c>
      <c r="U456" s="29">
        <v>43698</v>
      </c>
      <c r="V456" s="29">
        <v>47350</v>
      </c>
      <c r="W456" s="10" t="s">
        <v>10</v>
      </c>
      <c r="X456" s="10" t="s">
        <v>17</v>
      </c>
    </row>
    <row r="457" spans="1:24" ht="45" customHeight="1" x14ac:dyDescent="0.25">
      <c r="A457" s="10">
        <f t="shared" si="0"/>
        <v>454</v>
      </c>
      <c r="B457" s="11" t="s">
        <v>1273</v>
      </c>
      <c r="C457" s="10" t="s">
        <v>1274</v>
      </c>
      <c r="D457" s="10" t="s">
        <v>86</v>
      </c>
      <c r="E457" s="10" t="s">
        <v>0</v>
      </c>
      <c r="F457" s="11" t="s">
        <v>1275</v>
      </c>
      <c r="G457" s="11"/>
      <c r="H457" s="11"/>
      <c r="I457" s="11">
        <v>2017</v>
      </c>
      <c r="J457" s="11" t="s">
        <v>739</v>
      </c>
      <c r="K457" s="15" t="str">
        <f>HYPERLINK("https://drive.google.com/open?id=1zVrpIuY14Z4qtH7jTtKij9w-zFpVz9Q_","ЕЕ00004")</f>
        <v>ЕЕ00004</v>
      </c>
      <c r="L457" s="15" t="str">
        <f>HYPERLINK("https://drive.google.com/open?id=1P3NOwB2o3j6cK4aZmedkE1L29Vj-Osmd","Сертифікат")</f>
        <v>Сертифікат</v>
      </c>
      <c r="M457" s="11" t="s">
        <v>18</v>
      </c>
      <c r="N457" s="10">
        <v>2115.1999999999998</v>
      </c>
      <c r="O457" s="10">
        <v>6345.6</v>
      </c>
      <c r="P457" s="10">
        <v>5</v>
      </c>
      <c r="Q457" s="10">
        <v>80.72</v>
      </c>
      <c r="R457" s="11" t="s">
        <v>57</v>
      </c>
      <c r="S457" s="10">
        <v>134.79</v>
      </c>
      <c r="T457" s="10">
        <v>26.15</v>
      </c>
      <c r="U457" s="29">
        <v>43696</v>
      </c>
      <c r="V457" s="29">
        <v>47348</v>
      </c>
      <c r="W457" s="10" t="s">
        <v>13</v>
      </c>
      <c r="X457" s="10" t="s">
        <v>17</v>
      </c>
    </row>
    <row r="458" spans="1:24" ht="45" customHeight="1" x14ac:dyDescent="0.25">
      <c r="A458" s="10">
        <f t="shared" si="0"/>
        <v>455</v>
      </c>
      <c r="B458" s="11" t="s">
        <v>1276</v>
      </c>
      <c r="C458" s="10" t="s">
        <v>68</v>
      </c>
      <c r="D458" s="10" t="s">
        <v>69</v>
      </c>
      <c r="E458" s="10" t="s">
        <v>0</v>
      </c>
      <c r="F458" s="11" t="s">
        <v>1277</v>
      </c>
      <c r="G458" s="11"/>
      <c r="H458" s="11"/>
      <c r="I458" s="11">
        <v>2019</v>
      </c>
      <c r="J458" s="10" t="s">
        <v>609</v>
      </c>
      <c r="K458" s="15" t="str">
        <f>HYPERLINK("https://drive.google.com/open?id=1MmGP6rtYcZwVyIqDA-ykUrezieQsOMPg","ОД 000024")</f>
        <v>ОД 000024</v>
      </c>
      <c r="L458" s="15" t="str">
        <f>HYPERLINK("https://drive.google.com/open?id=1fHZ6uZnQsF8XNoxWs8Sgizv8zW31Kemj","Сертифікат")</f>
        <v>Сертифікат</v>
      </c>
      <c r="M458" s="11" t="s">
        <v>18</v>
      </c>
      <c r="N458" s="10">
        <v>5600</v>
      </c>
      <c r="O458" s="10">
        <v>17110</v>
      </c>
      <c r="P458" s="10">
        <v>12</v>
      </c>
      <c r="Q458" s="10">
        <v>83</v>
      </c>
      <c r="R458" s="10" t="s">
        <v>66</v>
      </c>
      <c r="S458" s="10">
        <v>125.3</v>
      </c>
      <c r="T458" s="10">
        <v>24.4</v>
      </c>
      <c r="U458" s="29">
        <v>43700</v>
      </c>
      <c r="V458" s="29">
        <v>47352</v>
      </c>
      <c r="W458" s="10" t="s">
        <v>10</v>
      </c>
      <c r="X458" s="10" t="s">
        <v>17</v>
      </c>
    </row>
    <row r="459" spans="1:24" ht="45" customHeight="1" x14ac:dyDescent="0.25">
      <c r="A459" s="10">
        <f t="shared" si="0"/>
        <v>456</v>
      </c>
      <c r="B459" s="11" t="s">
        <v>1278</v>
      </c>
      <c r="C459" s="10" t="s">
        <v>1279</v>
      </c>
      <c r="D459" s="10" t="s">
        <v>442</v>
      </c>
      <c r="E459" s="10" t="s">
        <v>0</v>
      </c>
      <c r="F459" s="11" t="s">
        <v>1280</v>
      </c>
      <c r="G459" s="11"/>
      <c r="H459" s="11"/>
      <c r="I459" s="11">
        <v>2019</v>
      </c>
      <c r="J459" s="11" t="s">
        <v>1168</v>
      </c>
      <c r="K459" s="15" t="str">
        <f>HYPERLINK("https://drive.google.com/open?id=1IAlNZe4csuyp8RH-DTYn3L4-p1-qcHtF","ЕЕ-001-10-18")</f>
        <v>ЕЕ-001-10-18</v>
      </c>
      <c r="L459" s="15" t="str">
        <f>HYPERLINK("https://drive.google.com/open?id=1f4EcAeKvVKLB0QKHXuUdz78_doQphnyD","Сертифікат")</f>
        <v>Сертифікат</v>
      </c>
      <c r="M459" s="11" t="s">
        <v>22</v>
      </c>
      <c r="N459" s="10">
        <v>5858.22</v>
      </c>
      <c r="O459" s="10">
        <v>17714</v>
      </c>
      <c r="P459" s="10">
        <v>9</v>
      </c>
      <c r="Q459" s="10">
        <v>121.9</v>
      </c>
      <c r="R459" s="11" t="s">
        <v>57</v>
      </c>
      <c r="S459" s="10">
        <v>169</v>
      </c>
      <c r="T459" s="10">
        <v>33</v>
      </c>
      <c r="U459" s="29">
        <v>43697</v>
      </c>
      <c r="V459" s="29">
        <v>47349</v>
      </c>
      <c r="W459" s="10" t="s">
        <v>13</v>
      </c>
      <c r="X459" s="10" t="s">
        <v>17</v>
      </c>
    </row>
    <row r="460" spans="1:24" ht="45" customHeight="1" x14ac:dyDescent="0.25">
      <c r="A460" s="10">
        <f t="shared" si="0"/>
        <v>457</v>
      </c>
      <c r="B460" s="11" t="s">
        <v>1281</v>
      </c>
      <c r="C460" s="10" t="s">
        <v>814</v>
      </c>
      <c r="D460" s="10" t="s">
        <v>815</v>
      </c>
      <c r="E460" s="10" t="s">
        <v>0</v>
      </c>
      <c r="F460" s="11" t="s">
        <v>1282</v>
      </c>
      <c r="G460" s="11"/>
      <c r="H460" s="11"/>
      <c r="I460" s="11" t="s">
        <v>1010</v>
      </c>
      <c r="J460" s="11" t="s">
        <v>1094</v>
      </c>
      <c r="K460" s="15" t="str">
        <f>HYPERLINK("https://drive.google.com/open?id=1Qlik4TIJLPoTQ6woAYUYpDbbA-PfyWE1","АА000059")</f>
        <v>АА000059</v>
      </c>
      <c r="L460" s="15" t="str">
        <f>HYPERLINK("https://drive.google.com/open?id=13zN9C0jcG6Xy-FUjpAR9lmCv4f63G8Uj","Сертифікат")</f>
        <v>Сертифікат</v>
      </c>
      <c r="M460" s="11" t="s">
        <v>26</v>
      </c>
      <c r="N460" s="10">
        <v>6325</v>
      </c>
      <c r="O460" s="10">
        <v>18777</v>
      </c>
      <c r="P460" s="10">
        <v>12</v>
      </c>
      <c r="Q460" s="10">
        <v>177.1</v>
      </c>
      <c r="R460" s="11" t="s">
        <v>57</v>
      </c>
      <c r="S460" s="10">
        <v>254</v>
      </c>
      <c r="T460" s="10">
        <v>50</v>
      </c>
      <c r="U460" s="29">
        <v>43700</v>
      </c>
      <c r="V460" s="29">
        <v>47352</v>
      </c>
      <c r="W460" s="10" t="s">
        <v>10</v>
      </c>
      <c r="X460" s="10" t="s">
        <v>17</v>
      </c>
    </row>
    <row r="461" spans="1:24" ht="45" customHeight="1" x14ac:dyDescent="0.25">
      <c r="A461" s="10">
        <f t="shared" si="0"/>
        <v>458</v>
      </c>
      <c r="B461" s="11" t="s">
        <v>1283</v>
      </c>
      <c r="C461" s="10" t="s">
        <v>357</v>
      </c>
      <c r="D461" s="10" t="s">
        <v>142</v>
      </c>
      <c r="E461" s="10" t="s">
        <v>5</v>
      </c>
      <c r="F461" s="11" t="s">
        <v>1284</v>
      </c>
      <c r="G461" s="11"/>
      <c r="H461" s="11"/>
      <c r="I461" s="11">
        <v>1978</v>
      </c>
      <c r="J461" s="11" t="s">
        <v>1285</v>
      </c>
      <c r="K461" s="15" t="s">
        <v>1286</v>
      </c>
      <c r="L461" s="15" t="str">
        <f>HYPERLINK("https://drive.google.com/open?id=17V7Ped6Lf6SZ1rrosQlnWk9wImz0VfSI","Сертифікат")</f>
        <v>Сертифікат</v>
      </c>
      <c r="M461" s="11" t="s">
        <v>24</v>
      </c>
      <c r="N461" s="10">
        <v>719</v>
      </c>
      <c r="O461" s="10">
        <v>2516</v>
      </c>
      <c r="P461" s="31">
        <v>43525</v>
      </c>
      <c r="Q461" s="10">
        <v>93</v>
      </c>
      <c r="R461" s="10" t="s">
        <v>66</v>
      </c>
      <c r="S461" s="10">
        <v>530</v>
      </c>
      <c r="T461" s="10">
        <v>104</v>
      </c>
      <c r="U461" s="29">
        <v>43696</v>
      </c>
      <c r="V461" s="29">
        <v>47348</v>
      </c>
      <c r="W461" s="10" t="s">
        <v>10</v>
      </c>
      <c r="X461" s="10" t="s">
        <v>17</v>
      </c>
    </row>
    <row r="462" spans="1:24" ht="45" customHeight="1" x14ac:dyDescent="0.25">
      <c r="A462" s="10">
        <f t="shared" si="0"/>
        <v>459</v>
      </c>
      <c r="B462" s="11" t="s">
        <v>1287</v>
      </c>
      <c r="C462" s="10" t="s">
        <v>85</v>
      </c>
      <c r="D462" s="10" t="s">
        <v>86</v>
      </c>
      <c r="E462" s="10" t="s">
        <v>0</v>
      </c>
      <c r="F462" s="11" t="s">
        <v>1288</v>
      </c>
      <c r="G462" s="11"/>
      <c r="H462" s="11"/>
      <c r="I462" s="11">
        <v>1965</v>
      </c>
      <c r="J462" s="11" t="s">
        <v>64</v>
      </c>
      <c r="K462" s="15" t="str">
        <f>HYPERLINK("https://drive.google.com/open?id=1-fr_zsf-7fSXhRxegEztRfDKVGALmS4z","АА000004")</f>
        <v>АА000004</v>
      </c>
      <c r="L462" s="15" t="str">
        <f>HYPERLINK("https://drive.google.com/open?id=1FXluamuo04GS7COrNXiofj8AWRxfxTps","Сертифікат")</f>
        <v>Сертифікат</v>
      </c>
      <c r="M462" s="11" t="s">
        <v>26</v>
      </c>
      <c r="N462" s="10">
        <v>3870</v>
      </c>
      <c r="O462" s="10">
        <v>10642</v>
      </c>
      <c r="P462" s="10">
        <v>5</v>
      </c>
      <c r="Q462" s="10">
        <v>205</v>
      </c>
      <c r="R462" s="10" t="s">
        <v>57</v>
      </c>
      <c r="S462" s="10">
        <v>302</v>
      </c>
      <c r="T462" s="10">
        <v>84</v>
      </c>
      <c r="U462" s="45">
        <v>43704</v>
      </c>
      <c r="V462" s="29">
        <v>47356</v>
      </c>
      <c r="W462" s="10" t="s">
        <v>10</v>
      </c>
      <c r="X462" s="10" t="s">
        <v>17</v>
      </c>
    </row>
    <row r="463" spans="1:24" ht="45" customHeight="1" x14ac:dyDescent="0.25">
      <c r="A463" s="10">
        <f t="shared" si="0"/>
        <v>460</v>
      </c>
      <c r="B463" s="11" t="s">
        <v>1289</v>
      </c>
      <c r="C463" s="10" t="s">
        <v>52</v>
      </c>
      <c r="D463" s="10" t="s">
        <v>52</v>
      </c>
      <c r="E463" s="10" t="s">
        <v>2</v>
      </c>
      <c r="F463" s="11" t="s">
        <v>1290</v>
      </c>
      <c r="G463" s="11"/>
      <c r="H463" s="11"/>
      <c r="I463" s="11" t="s">
        <v>1010</v>
      </c>
      <c r="J463" s="11" t="s">
        <v>209</v>
      </c>
      <c r="K463" s="15" t="str">
        <f t="shared" ref="K463:K464" si="19">HYPERLINK("https://drive.google.com/open?id=1nFSy5k_5dEpHD1r7NrzhyR0bvCdUEIlN","СБ-0033")</f>
        <v>СБ-0033</v>
      </c>
      <c r="L463" s="15" t="str">
        <f>HYPERLINK("https://drive.google.com/open?id=1wfK2vk-hoG0egVgWJ-TugPqMuUJWaVMs","Сертифікат")</f>
        <v>Сертифікат</v>
      </c>
      <c r="M463" s="11" t="s">
        <v>18</v>
      </c>
      <c r="N463" s="10">
        <v>3390</v>
      </c>
      <c r="O463" s="10">
        <v>27472</v>
      </c>
      <c r="P463" s="10">
        <v>1</v>
      </c>
      <c r="Q463" s="10">
        <v>59</v>
      </c>
      <c r="R463" s="10" t="s">
        <v>66</v>
      </c>
      <c r="S463" s="10">
        <v>1648</v>
      </c>
      <c r="T463" s="10">
        <v>301</v>
      </c>
      <c r="U463" s="29">
        <v>43689</v>
      </c>
      <c r="V463" s="29">
        <v>47341</v>
      </c>
      <c r="W463" s="10" t="s">
        <v>13</v>
      </c>
      <c r="X463" s="10" t="s">
        <v>17</v>
      </c>
    </row>
    <row r="464" spans="1:24" ht="45" customHeight="1" x14ac:dyDescent="0.25">
      <c r="A464" s="10">
        <f t="shared" si="0"/>
        <v>461</v>
      </c>
      <c r="B464" s="11" t="s">
        <v>1291</v>
      </c>
      <c r="C464" s="10" t="s">
        <v>52</v>
      </c>
      <c r="D464" s="10" t="s">
        <v>52</v>
      </c>
      <c r="E464" s="10" t="s">
        <v>2</v>
      </c>
      <c r="F464" s="11" t="s">
        <v>1292</v>
      </c>
      <c r="G464" s="11"/>
      <c r="H464" s="11"/>
      <c r="I464" s="11">
        <v>2019</v>
      </c>
      <c r="J464" s="11" t="s">
        <v>209</v>
      </c>
      <c r="K464" s="15" t="str">
        <f t="shared" si="19"/>
        <v>СБ-0033</v>
      </c>
      <c r="L464" s="15" t="str">
        <f>HYPERLINK("https://drive.google.com/open?id=1EdK6WiJJZXI40Rjr9Lx4If_aMfDAkGQ5","Сертифікат")</f>
        <v>Сертифікат</v>
      </c>
      <c r="M464" s="11" t="s">
        <v>18</v>
      </c>
      <c r="N464" s="10">
        <v>713</v>
      </c>
      <c r="O464" s="10">
        <v>4991</v>
      </c>
      <c r="P464" s="10">
        <v>2</v>
      </c>
      <c r="Q464" s="10">
        <v>57</v>
      </c>
      <c r="R464" s="10" t="s">
        <v>66</v>
      </c>
      <c r="S464" s="10">
        <v>3013</v>
      </c>
      <c r="T464" s="10">
        <v>550</v>
      </c>
      <c r="U464" s="29">
        <v>43690</v>
      </c>
      <c r="V464" s="29">
        <v>47342</v>
      </c>
      <c r="W464" s="10" t="s">
        <v>13</v>
      </c>
      <c r="X464" s="10" t="s">
        <v>17</v>
      </c>
    </row>
    <row r="465" spans="1:24" ht="45" customHeight="1" x14ac:dyDescent="0.25">
      <c r="A465" s="10">
        <f t="shared" si="0"/>
        <v>462</v>
      </c>
      <c r="B465" s="11" t="s">
        <v>1293</v>
      </c>
      <c r="C465" s="10" t="s">
        <v>1294</v>
      </c>
      <c r="D465" s="10" t="s">
        <v>1295</v>
      </c>
      <c r="E465" s="10" t="s">
        <v>2</v>
      </c>
      <c r="F465" s="11" t="s">
        <v>1296</v>
      </c>
      <c r="G465" s="11"/>
      <c r="H465" s="11"/>
      <c r="I465" s="11" t="s">
        <v>1297</v>
      </c>
      <c r="J465" s="11" t="s">
        <v>668</v>
      </c>
      <c r="K465" s="15" t="str">
        <f>HYPERLINK("https://drive.google.com/open?id=1NSlpy3KnsggBDFhLrg81QLR2deMl7d6Q","№ АА000077")</f>
        <v>№ АА000077</v>
      </c>
      <c r="L465" s="15" t="str">
        <f>HYPERLINK("https://drive.google.com/open?id=1DSq_gOO_eq7ua9xNA9GanZlVE1j-rN8x","Сертифікат")</f>
        <v>Сертифікат</v>
      </c>
      <c r="M465" s="11" t="s">
        <v>20</v>
      </c>
      <c r="N465" s="10">
        <v>756.8</v>
      </c>
      <c r="O465" s="10">
        <v>2293</v>
      </c>
      <c r="P465" s="10">
        <v>2</v>
      </c>
      <c r="Q465" s="10">
        <v>61.1</v>
      </c>
      <c r="R465" s="10" t="s">
        <v>66</v>
      </c>
      <c r="S465" s="10">
        <v>478.5</v>
      </c>
      <c r="T465" s="10">
        <v>201</v>
      </c>
      <c r="U465" s="29">
        <v>43704</v>
      </c>
      <c r="V465" s="29">
        <v>47356</v>
      </c>
      <c r="W465" s="10" t="s">
        <v>10</v>
      </c>
      <c r="X465" s="10" t="s">
        <v>17</v>
      </c>
    </row>
    <row r="466" spans="1:24" ht="45" customHeight="1" x14ac:dyDescent="0.25">
      <c r="A466" s="10">
        <f t="shared" si="0"/>
        <v>463</v>
      </c>
      <c r="B466" s="11" t="s">
        <v>1298</v>
      </c>
      <c r="C466" s="10" t="s">
        <v>102</v>
      </c>
      <c r="D466" s="10" t="s">
        <v>103</v>
      </c>
      <c r="E466" s="10" t="s">
        <v>2</v>
      </c>
      <c r="F466" s="11" t="s">
        <v>1299</v>
      </c>
      <c r="G466" s="11"/>
      <c r="H466" s="11"/>
      <c r="I466" s="11">
        <v>1948</v>
      </c>
      <c r="J466" s="11" t="s">
        <v>225</v>
      </c>
      <c r="K466" s="15" t="str">
        <f>HYPERLINK("https://drive.google.com/open?id=1pFitVuWhzUN7CGVxLShY6-Ilp6_aT0--","№ ЕЕ00005")</f>
        <v>№ ЕЕ00005</v>
      </c>
      <c r="L466" s="15" t="str">
        <f>HYPERLINK("https://drive.google.com/open?id=109vqarJU4R80p-vczxysJGVfEwwBFFpa","Сертифікат")</f>
        <v>Сертифікат</v>
      </c>
      <c r="M466" s="11" t="s">
        <v>22</v>
      </c>
      <c r="N466" s="10">
        <v>1125</v>
      </c>
      <c r="O466" s="10">
        <v>3862.2</v>
      </c>
      <c r="P466" s="10">
        <v>2</v>
      </c>
      <c r="Q466" s="10">
        <v>78</v>
      </c>
      <c r="R466" s="10" t="s">
        <v>66</v>
      </c>
      <c r="S466" s="10">
        <v>380</v>
      </c>
      <c r="T466" s="10">
        <v>75</v>
      </c>
      <c r="U466" s="29">
        <v>43700</v>
      </c>
      <c r="V466" s="29">
        <v>47352</v>
      </c>
      <c r="W466" s="10" t="s">
        <v>13</v>
      </c>
      <c r="X466" s="10" t="s">
        <v>17</v>
      </c>
    </row>
    <row r="467" spans="1:24" ht="45" customHeight="1" x14ac:dyDescent="0.25">
      <c r="A467" s="10">
        <f t="shared" si="0"/>
        <v>464</v>
      </c>
      <c r="B467" s="11" t="s">
        <v>1300</v>
      </c>
      <c r="C467" s="10" t="s">
        <v>85</v>
      </c>
      <c r="D467" s="10" t="s">
        <v>86</v>
      </c>
      <c r="E467" s="10" t="s">
        <v>0</v>
      </c>
      <c r="F467" s="11" t="s">
        <v>1301</v>
      </c>
      <c r="G467" s="11"/>
      <c r="H467" s="11"/>
      <c r="I467" s="11">
        <v>1961</v>
      </c>
      <c r="J467" s="11" t="s">
        <v>64</v>
      </c>
      <c r="K467" s="15" t="str">
        <f t="shared" ref="K467:K468" si="20">HYPERLINK("https://drive.google.com/open?id=1-fr_zsf-7fSXhRxegEztRfDKVGALmS4z","АА000004")</f>
        <v>АА000004</v>
      </c>
      <c r="L467" s="15" t="str">
        <f>HYPERLINK("https://drive.google.com/open?id=1GJtDZfIL9H88nvVr2QniSzs2XGQwCUtq","Сертифікат")</f>
        <v>Сертифікат</v>
      </c>
      <c r="M467" s="11" t="s">
        <v>26</v>
      </c>
      <c r="N467" s="10">
        <v>3870</v>
      </c>
      <c r="O467" s="10">
        <v>10642</v>
      </c>
      <c r="P467" s="10">
        <v>5</v>
      </c>
      <c r="Q467" s="10">
        <v>204</v>
      </c>
      <c r="R467" s="10" t="s">
        <v>57</v>
      </c>
      <c r="S467" s="10">
        <v>302</v>
      </c>
      <c r="T467" s="10">
        <v>84</v>
      </c>
      <c r="U467" s="45">
        <v>43704</v>
      </c>
      <c r="V467" s="29">
        <v>47356</v>
      </c>
      <c r="W467" s="10" t="s">
        <v>10</v>
      </c>
      <c r="X467" s="10" t="s">
        <v>17</v>
      </c>
    </row>
    <row r="468" spans="1:24" ht="45" customHeight="1" x14ac:dyDescent="0.25">
      <c r="A468" s="10">
        <f t="shared" si="0"/>
        <v>465</v>
      </c>
      <c r="B468" s="11" t="s">
        <v>1302</v>
      </c>
      <c r="C468" s="10" t="s">
        <v>85</v>
      </c>
      <c r="D468" s="10" t="s">
        <v>86</v>
      </c>
      <c r="E468" s="10" t="s">
        <v>0</v>
      </c>
      <c r="F468" s="11" t="s">
        <v>1303</v>
      </c>
      <c r="G468" s="11"/>
      <c r="H468" s="11"/>
      <c r="I468" s="11">
        <v>1965</v>
      </c>
      <c r="J468" s="11" t="s">
        <v>64</v>
      </c>
      <c r="K468" s="15" t="str">
        <f t="shared" si="20"/>
        <v>АА000004</v>
      </c>
      <c r="L468" s="15" t="str">
        <f>HYPERLINK("https://drive.google.com/open?id=12QN05xqGkWlGcgeHqwklmRhovruGQrwW","Сертифікат")</f>
        <v>Сертифікат</v>
      </c>
      <c r="M468" s="11" t="s">
        <v>26</v>
      </c>
      <c r="N468" s="10">
        <v>3870</v>
      </c>
      <c r="O468" s="10">
        <v>10642</v>
      </c>
      <c r="P468" s="10">
        <v>5</v>
      </c>
      <c r="Q468" s="10">
        <v>182</v>
      </c>
      <c r="R468" s="10" t="s">
        <v>57</v>
      </c>
      <c r="S468" s="10">
        <v>272</v>
      </c>
      <c r="T468" s="10">
        <v>76</v>
      </c>
      <c r="U468" s="45">
        <v>43704</v>
      </c>
      <c r="V468" s="29">
        <v>47356</v>
      </c>
      <c r="W468" s="10" t="s">
        <v>10</v>
      </c>
      <c r="X468" s="10" t="s">
        <v>17</v>
      </c>
    </row>
    <row r="469" spans="1:24" ht="45" customHeight="1" x14ac:dyDescent="0.25">
      <c r="A469" s="10">
        <f t="shared" si="0"/>
        <v>466</v>
      </c>
      <c r="B469" s="10" t="s">
        <v>1304</v>
      </c>
      <c r="C469" s="10" t="s">
        <v>1305</v>
      </c>
      <c r="D469" s="10" t="s">
        <v>541</v>
      </c>
      <c r="E469" s="10" t="s">
        <v>3</v>
      </c>
      <c r="F469" s="11" t="s">
        <v>1306</v>
      </c>
      <c r="G469" s="11"/>
      <c r="H469" s="11"/>
      <c r="I469" s="11">
        <v>1910</v>
      </c>
      <c r="J469" s="11" t="s">
        <v>528</v>
      </c>
      <c r="K469" s="15" t="s">
        <v>529</v>
      </c>
      <c r="L469" s="15" t="str">
        <f>HYPERLINK("https://drive.google.com/open?id=1z0HgYdRycuAJuWQUAhJWIbEEEhgwAh3g","Сертифікат")</f>
        <v>Сертифікат</v>
      </c>
      <c r="M469" s="11" t="s">
        <v>26</v>
      </c>
      <c r="N469" s="10">
        <v>1667</v>
      </c>
      <c r="O469" s="10">
        <v>7826</v>
      </c>
      <c r="P469" s="10">
        <v>2</v>
      </c>
      <c r="Q469" s="10">
        <v>60</v>
      </c>
      <c r="R469" s="10" t="s">
        <v>66</v>
      </c>
      <c r="S469" s="10">
        <v>478</v>
      </c>
      <c r="T469" s="10">
        <v>93</v>
      </c>
      <c r="U469" s="29">
        <v>43703</v>
      </c>
      <c r="V469" s="29">
        <v>47355</v>
      </c>
      <c r="W469" s="10" t="s">
        <v>10</v>
      </c>
      <c r="X469" s="10" t="s">
        <v>17</v>
      </c>
    </row>
    <row r="470" spans="1:24" ht="45" customHeight="1" x14ac:dyDescent="0.25">
      <c r="A470" s="10">
        <f t="shared" si="0"/>
        <v>467</v>
      </c>
      <c r="B470" s="10" t="s">
        <v>1307</v>
      </c>
      <c r="C470" s="10" t="s">
        <v>1305</v>
      </c>
      <c r="D470" s="10" t="s">
        <v>541</v>
      </c>
      <c r="E470" s="10" t="s">
        <v>3</v>
      </c>
      <c r="F470" s="11" t="s">
        <v>1308</v>
      </c>
      <c r="G470" s="11"/>
      <c r="H470" s="11"/>
      <c r="I470" s="11">
        <v>1953</v>
      </c>
      <c r="J470" s="11" t="s">
        <v>528</v>
      </c>
      <c r="K470" s="15" t="s">
        <v>529</v>
      </c>
      <c r="L470" s="15" t="str">
        <f>HYPERLINK("https://drive.google.com/open?id=1ijhtRb5nn64qwU0FEOFatze9uAEfsgvM","Сертифікат")</f>
        <v>Сертифікат</v>
      </c>
      <c r="M470" s="11" t="s">
        <v>26</v>
      </c>
      <c r="N470" s="10">
        <v>1059</v>
      </c>
      <c r="O470" s="10">
        <v>3812</v>
      </c>
      <c r="P470" s="10">
        <v>2</v>
      </c>
      <c r="Q470" s="10">
        <v>79</v>
      </c>
      <c r="R470" s="10" t="s">
        <v>66</v>
      </c>
      <c r="S470" s="10">
        <v>423</v>
      </c>
      <c r="T470" s="10">
        <v>92</v>
      </c>
      <c r="U470" s="29">
        <v>43703</v>
      </c>
      <c r="V470" s="29">
        <v>47355</v>
      </c>
      <c r="W470" s="10" t="s">
        <v>10</v>
      </c>
      <c r="X470" s="10" t="s">
        <v>17</v>
      </c>
    </row>
    <row r="471" spans="1:24" ht="45" customHeight="1" x14ac:dyDescent="0.25">
      <c r="A471" s="10">
        <f t="shared" si="0"/>
        <v>468</v>
      </c>
      <c r="B471" s="11" t="s">
        <v>1309</v>
      </c>
      <c r="C471" s="10" t="s">
        <v>1310</v>
      </c>
      <c r="D471" s="10" t="s">
        <v>442</v>
      </c>
      <c r="E471" s="10" t="s">
        <v>3</v>
      </c>
      <c r="F471" s="11" t="s">
        <v>1311</v>
      </c>
      <c r="G471" s="11"/>
      <c r="H471" s="11"/>
      <c r="I471" s="11">
        <v>2002</v>
      </c>
      <c r="J471" s="11" t="s">
        <v>863</v>
      </c>
      <c r="K471" s="15" t="str">
        <f t="shared" ref="K471:K472" si="21">HYPERLINK("https://drive.google.com/open?id=1zpGGjxW-5FjlhSc9vyLynI5MjUOBJLlg","ОД 000061")</f>
        <v>ОД 000061</v>
      </c>
      <c r="L471" s="15" t="str">
        <f>HYPERLINK("https://drive.google.com/open?id=1tNRMZB56T0Utm45zc2D2Ytr60NPvfRB0","Сертифікат")</f>
        <v>Сертифікат</v>
      </c>
      <c r="M471" s="11" t="s">
        <v>26</v>
      </c>
      <c r="N471" s="10">
        <v>396</v>
      </c>
      <c r="O471" s="10">
        <v>1703</v>
      </c>
      <c r="P471" s="10">
        <v>1</v>
      </c>
      <c r="Q471" s="10">
        <v>192.6</v>
      </c>
      <c r="R471" s="10" t="s">
        <v>66</v>
      </c>
      <c r="S471" s="10">
        <v>287.5</v>
      </c>
      <c r="T471" s="10">
        <v>53.8</v>
      </c>
      <c r="U471" s="29">
        <v>43705</v>
      </c>
      <c r="V471" s="29">
        <v>47357</v>
      </c>
      <c r="W471" s="10" t="s">
        <v>16</v>
      </c>
      <c r="X471" s="10" t="s">
        <v>14</v>
      </c>
    </row>
    <row r="472" spans="1:24" ht="45" customHeight="1" x14ac:dyDescent="0.25">
      <c r="A472" s="10">
        <f t="shared" si="0"/>
        <v>469</v>
      </c>
      <c r="B472" s="11" t="s">
        <v>1312</v>
      </c>
      <c r="C472" s="10" t="s">
        <v>1313</v>
      </c>
      <c r="D472" s="10" t="s">
        <v>442</v>
      </c>
      <c r="E472" s="10" t="s">
        <v>4</v>
      </c>
      <c r="F472" s="11" t="s">
        <v>1314</v>
      </c>
      <c r="G472" s="11"/>
      <c r="H472" s="11"/>
      <c r="I472" s="11">
        <v>1950</v>
      </c>
      <c r="J472" s="11" t="s">
        <v>863</v>
      </c>
      <c r="K472" s="15" t="str">
        <f t="shared" si="21"/>
        <v>ОД 000061</v>
      </c>
      <c r="L472" s="15" t="str">
        <f>HYPERLINK("https://drive.google.com/open?id=1L7tP2RbbJEpuUlBg3E8TH0DaqkPJm0EZ","Сертифікат")</f>
        <v>Сертифікат</v>
      </c>
      <c r="M472" s="11" t="s">
        <v>26</v>
      </c>
      <c r="N472" s="10">
        <v>363.9</v>
      </c>
      <c r="O472" s="10">
        <v>1055</v>
      </c>
      <c r="P472" s="10">
        <v>1</v>
      </c>
      <c r="Q472" s="10">
        <v>152.6</v>
      </c>
      <c r="R472" s="10" t="s">
        <v>66</v>
      </c>
      <c r="S472" s="10">
        <v>231.3</v>
      </c>
      <c r="T472" s="10">
        <v>44.8</v>
      </c>
      <c r="U472" s="29">
        <v>43705</v>
      </c>
      <c r="V472" s="29">
        <v>47357</v>
      </c>
      <c r="W472" s="10" t="s">
        <v>16</v>
      </c>
      <c r="X472" s="10" t="s">
        <v>11</v>
      </c>
    </row>
    <row r="473" spans="1:24" ht="45" customHeight="1" x14ac:dyDescent="0.25">
      <c r="A473" s="10">
        <f t="shared" si="0"/>
        <v>470</v>
      </c>
      <c r="B473" s="11" t="s">
        <v>1315</v>
      </c>
      <c r="C473" s="10" t="s">
        <v>1316</v>
      </c>
      <c r="D473" s="10" t="s">
        <v>174</v>
      </c>
      <c r="E473" s="10" t="s">
        <v>2</v>
      </c>
      <c r="F473" s="11" t="s">
        <v>1317</v>
      </c>
      <c r="G473" s="11"/>
      <c r="H473" s="11"/>
      <c r="I473" s="11">
        <v>1969</v>
      </c>
      <c r="J473" s="11" t="s">
        <v>724</v>
      </c>
      <c r="K473" s="15" t="str">
        <f>HYPERLINK("https://drive.google.com/open?id=1oKOZor5DyF6OVwkcYZr0z1iqaNRs9ITY","АА000072")</f>
        <v>АА000072</v>
      </c>
      <c r="L473" s="15" t="str">
        <f>HYPERLINK("https://drive.google.com/open?id=1yloIcRkr-YynbUA7Y7BcfWJhrOCFhZ1p","Сертифікат")</f>
        <v>Сертифікат</v>
      </c>
      <c r="M473" s="11" t="s">
        <v>24</v>
      </c>
      <c r="N473" s="10">
        <v>404</v>
      </c>
      <c r="O473" s="10">
        <v>1232</v>
      </c>
      <c r="P473" s="10">
        <v>2</v>
      </c>
      <c r="Q473" s="10">
        <v>97.8</v>
      </c>
      <c r="R473" s="10" t="s">
        <v>66</v>
      </c>
      <c r="S473" s="10">
        <v>442.7</v>
      </c>
      <c r="T473" s="10">
        <v>127.6</v>
      </c>
      <c r="U473" s="29">
        <v>43668</v>
      </c>
      <c r="V473" s="29">
        <v>47320</v>
      </c>
      <c r="W473" s="10" t="s">
        <v>13</v>
      </c>
      <c r="X473" s="10" t="s">
        <v>17</v>
      </c>
    </row>
    <row r="474" spans="1:24" ht="45" customHeight="1" x14ac:dyDescent="0.25">
      <c r="A474" s="10">
        <f t="shared" si="0"/>
        <v>471</v>
      </c>
      <c r="B474" s="11" t="s">
        <v>1318</v>
      </c>
      <c r="C474" s="10" t="s">
        <v>1305</v>
      </c>
      <c r="D474" s="10" t="s">
        <v>541</v>
      </c>
      <c r="E474" s="10" t="s">
        <v>2</v>
      </c>
      <c r="F474" s="11" t="s">
        <v>1319</v>
      </c>
      <c r="G474" s="11"/>
      <c r="H474" s="11"/>
      <c r="I474" s="11">
        <v>1983</v>
      </c>
      <c r="J474" s="11" t="s">
        <v>528</v>
      </c>
      <c r="K474" s="15" t="s">
        <v>529</v>
      </c>
      <c r="L474" s="15" t="str">
        <f>HYPERLINK("https://drive.google.com/open?id=1ZPXb-wyI0flAYRlhQBkRyyKhahD03bcr","Сертифікат")</f>
        <v>Сертифікат</v>
      </c>
      <c r="M474" s="11" t="s">
        <v>26</v>
      </c>
      <c r="N474" s="10">
        <v>3309</v>
      </c>
      <c r="O474" s="10">
        <v>8656</v>
      </c>
      <c r="P474" s="10">
        <v>5</v>
      </c>
      <c r="Q474" s="10">
        <v>318</v>
      </c>
      <c r="R474" s="10" t="s">
        <v>57</v>
      </c>
      <c r="S474" s="10">
        <v>629</v>
      </c>
      <c r="T474" s="10">
        <v>126</v>
      </c>
      <c r="U474" s="29">
        <v>43703</v>
      </c>
      <c r="V474" s="29">
        <v>47355</v>
      </c>
      <c r="W474" s="10" t="s">
        <v>13</v>
      </c>
      <c r="X474" s="10" t="s">
        <v>14</v>
      </c>
    </row>
    <row r="475" spans="1:24" ht="45" customHeight="1" x14ac:dyDescent="0.25">
      <c r="A475" s="10">
        <f t="shared" si="0"/>
        <v>472</v>
      </c>
      <c r="B475" s="11" t="s">
        <v>1320</v>
      </c>
      <c r="C475" s="10" t="s">
        <v>357</v>
      </c>
      <c r="D475" s="10" t="s">
        <v>142</v>
      </c>
      <c r="E475" s="10" t="s">
        <v>5</v>
      </c>
      <c r="F475" s="11" t="s">
        <v>1321</v>
      </c>
      <c r="G475" s="11"/>
      <c r="H475" s="11"/>
      <c r="I475" s="11">
        <v>1978</v>
      </c>
      <c r="J475" s="11" t="s">
        <v>1285</v>
      </c>
      <c r="K475" s="15" t="s">
        <v>1286</v>
      </c>
      <c r="L475" s="15" t="str">
        <f>HYPERLINK("https://drive.google.com/open?id=1hOXC-qN7FtUeuJyPrhrYNc7UQGZCkr1V","Сертифікат")</f>
        <v>Сертифікат</v>
      </c>
      <c r="M475" s="11" t="s">
        <v>22</v>
      </c>
      <c r="N475" s="10">
        <v>3383</v>
      </c>
      <c r="O475" s="10">
        <v>10148</v>
      </c>
      <c r="P475" s="10">
        <v>3</v>
      </c>
      <c r="Q475" s="10">
        <v>73</v>
      </c>
      <c r="R475" s="10" t="s">
        <v>66</v>
      </c>
      <c r="S475" s="10">
        <v>451</v>
      </c>
      <c r="T475" s="10">
        <v>87</v>
      </c>
      <c r="U475" s="29">
        <v>43696</v>
      </c>
      <c r="V475" s="29">
        <v>47348</v>
      </c>
      <c r="W475" s="10" t="s">
        <v>10</v>
      </c>
      <c r="X475" s="10" t="s">
        <v>17</v>
      </c>
    </row>
    <row r="476" spans="1:24" ht="45" customHeight="1" x14ac:dyDescent="0.25">
      <c r="A476" s="10">
        <f t="shared" si="0"/>
        <v>473</v>
      </c>
      <c r="B476" s="11" t="s">
        <v>1322</v>
      </c>
      <c r="C476" s="10" t="s">
        <v>1313</v>
      </c>
      <c r="D476" s="10" t="s">
        <v>442</v>
      </c>
      <c r="E476" s="10" t="s">
        <v>3</v>
      </c>
      <c r="F476" s="11" t="s">
        <v>1323</v>
      </c>
      <c r="G476" s="11"/>
      <c r="H476" s="11"/>
      <c r="I476" s="11">
        <v>1914</v>
      </c>
      <c r="J476" s="11" t="s">
        <v>863</v>
      </c>
      <c r="K476" s="15" t="str">
        <f>HYPERLINK("https://drive.google.com/open?id=1zpGGjxW-5FjlhSc9vyLynI5MjUOBJLlg","ОД 000061")</f>
        <v>ОД 000061</v>
      </c>
      <c r="L476" s="15" t="str">
        <f>HYPERLINK("https://drive.google.com/open?id=1mZLMoHq0qvWJjv8V8J-yCBKjt1HTOfQE","Сертифікат")</f>
        <v>Сертифікат</v>
      </c>
      <c r="M476" s="11" t="s">
        <v>26</v>
      </c>
      <c r="N476" s="10">
        <v>593.9</v>
      </c>
      <c r="O476" s="10">
        <v>2613</v>
      </c>
      <c r="P476" s="10">
        <v>1</v>
      </c>
      <c r="Q476" s="10">
        <v>144.80000000000001</v>
      </c>
      <c r="R476" s="10" t="s">
        <v>66</v>
      </c>
      <c r="S476" s="10">
        <v>227.4</v>
      </c>
      <c r="T476" s="10">
        <v>43.3</v>
      </c>
      <c r="U476" s="29">
        <v>43705</v>
      </c>
      <c r="V476" s="29">
        <v>47357</v>
      </c>
      <c r="W476" s="10" t="s">
        <v>16</v>
      </c>
      <c r="X476" s="10" t="s">
        <v>11</v>
      </c>
    </row>
    <row r="477" spans="1:24" ht="45" customHeight="1" x14ac:dyDescent="0.25">
      <c r="A477" s="10">
        <f t="shared" si="0"/>
        <v>474</v>
      </c>
      <c r="B477" s="11" t="s">
        <v>1324</v>
      </c>
      <c r="C477" s="10" t="s">
        <v>1325</v>
      </c>
      <c r="D477" s="10" t="s">
        <v>148</v>
      </c>
      <c r="E477" s="10" t="s">
        <v>0</v>
      </c>
      <c r="F477" s="11" t="s">
        <v>1326</v>
      </c>
      <c r="G477" s="11"/>
      <c r="H477" s="11"/>
      <c r="I477" s="11">
        <v>1987</v>
      </c>
      <c r="J477" s="11" t="s">
        <v>64</v>
      </c>
      <c r="K477" s="15" t="str">
        <f t="shared" ref="K477:K478" si="22">HYPERLINK("https://drive.google.com/open?id=1-fr_zsf-7fSXhRxegEztRfDKVGALmS4z","АА000004")</f>
        <v>АА000004</v>
      </c>
      <c r="L477" s="15" t="str">
        <f>HYPERLINK("https://drive.google.com/open?id=1knGVq7qxHOQN5aDs6iOMJhkzBlExMcvv","Сертифікат")</f>
        <v>Сертифікат</v>
      </c>
      <c r="M477" s="11" t="s">
        <v>26</v>
      </c>
      <c r="N477" s="10">
        <v>5309</v>
      </c>
      <c r="O477" s="10">
        <v>14431</v>
      </c>
      <c r="P477" s="10">
        <v>5</v>
      </c>
      <c r="Q477" s="10">
        <v>192.2</v>
      </c>
      <c r="R477" s="10" t="s">
        <v>57</v>
      </c>
      <c r="S477" s="10">
        <v>242</v>
      </c>
      <c r="T477" s="10">
        <v>34</v>
      </c>
      <c r="U477" s="29">
        <v>43704</v>
      </c>
      <c r="V477" s="29">
        <v>47356</v>
      </c>
      <c r="W477" s="10" t="s">
        <v>10</v>
      </c>
      <c r="X477" s="10" t="s">
        <v>17</v>
      </c>
    </row>
    <row r="478" spans="1:24" ht="45" customHeight="1" x14ac:dyDescent="0.25">
      <c r="A478" s="10">
        <f t="shared" si="0"/>
        <v>475</v>
      </c>
      <c r="B478" s="11" t="s">
        <v>1327</v>
      </c>
      <c r="C478" s="10" t="s">
        <v>52</v>
      </c>
      <c r="D478" s="10" t="s">
        <v>52</v>
      </c>
      <c r="E478" s="10" t="s">
        <v>0</v>
      </c>
      <c r="F478" s="11" t="s">
        <v>1009</v>
      </c>
      <c r="G478" s="11"/>
      <c r="H478" s="11"/>
      <c r="I478" s="11" t="s">
        <v>1010</v>
      </c>
      <c r="J478" s="11" t="s">
        <v>64</v>
      </c>
      <c r="K478" s="15" t="str">
        <f t="shared" si="22"/>
        <v>АА000004</v>
      </c>
      <c r="L478" s="15" t="str">
        <f>HYPERLINK("https://drive.google.com/open?id=1fvAJ1m2aY77Y_vFJqr9ENTK31nNrhgjb","Сертифікат")</f>
        <v>Сертифікат</v>
      </c>
      <c r="M478" s="11" t="s">
        <v>18</v>
      </c>
      <c r="N478" s="10">
        <v>55050</v>
      </c>
      <c r="O478" s="10">
        <v>149736</v>
      </c>
      <c r="P478" s="10">
        <v>26</v>
      </c>
      <c r="Q478" s="10">
        <v>86</v>
      </c>
      <c r="R478" s="10" t="s">
        <v>57</v>
      </c>
      <c r="S478" s="10">
        <v>175</v>
      </c>
      <c r="T478" s="10">
        <v>55</v>
      </c>
      <c r="U478" s="29">
        <v>43705</v>
      </c>
      <c r="V478" s="29">
        <v>47357</v>
      </c>
      <c r="W478" s="10" t="s">
        <v>10</v>
      </c>
      <c r="X478" s="10" t="s">
        <v>17</v>
      </c>
    </row>
    <row r="479" spans="1:24" ht="45" customHeight="1" x14ac:dyDescent="0.25">
      <c r="A479" s="10">
        <f t="shared" si="0"/>
        <v>476</v>
      </c>
      <c r="B479" s="11" t="s">
        <v>1328</v>
      </c>
      <c r="C479" s="10" t="s">
        <v>243</v>
      </c>
      <c r="D479" s="10" t="s">
        <v>238</v>
      </c>
      <c r="E479" s="10" t="s">
        <v>2</v>
      </c>
      <c r="F479" s="11" t="s">
        <v>925</v>
      </c>
      <c r="G479" s="11"/>
      <c r="H479" s="11"/>
      <c r="I479" s="11">
        <v>1975</v>
      </c>
      <c r="J479" s="20" t="s">
        <v>432</v>
      </c>
      <c r="K479" s="15" t="s">
        <v>433</v>
      </c>
      <c r="L479" s="15" t="str">
        <f>HYPERLINK("https://drive.google.com/open?id=12J1WspfykYvARLIk8CWG7VHODLk-tQ9t","Сертифікат")</f>
        <v>Сертифікат</v>
      </c>
      <c r="M479" s="11" t="s">
        <v>18</v>
      </c>
      <c r="N479" s="10">
        <v>3525.2</v>
      </c>
      <c r="O479" s="10">
        <v>13181.25</v>
      </c>
      <c r="P479" s="10">
        <v>43558</v>
      </c>
      <c r="Q479" s="10">
        <v>42.59</v>
      </c>
      <c r="R479" s="10" t="s">
        <v>66</v>
      </c>
      <c r="S479" s="10">
        <v>349.34199999999998</v>
      </c>
      <c r="T479" s="10">
        <v>69.41</v>
      </c>
      <c r="U479" s="29">
        <v>43705</v>
      </c>
      <c r="V479" s="29">
        <v>47357</v>
      </c>
      <c r="W479" s="10" t="s">
        <v>10</v>
      </c>
      <c r="X479" s="10" t="s">
        <v>17</v>
      </c>
    </row>
    <row r="480" spans="1:24" ht="45" customHeight="1" x14ac:dyDescent="0.25">
      <c r="A480" s="10">
        <f t="shared" si="0"/>
        <v>477</v>
      </c>
      <c r="B480" s="11" t="s">
        <v>1329</v>
      </c>
      <c r="C480" s="10" t="s">
        <v>52</v>
      </c>
      <c r="D480" s="10" t="s">
        <v>52</v>
      </c>
      <c r="E480" s="10" t="s">
        <v>0</v>
      </c>
      <c r="F480" s="11" t="s">
        <v>1330</v>
      </c>
      <c r="G480" s="11"/>
      <c r="H480" s="11"/>
      <c r="I480" s="11">
        <v>2019</v>
      </c>
      <c r="J480" s="20" t="s">
        <v>126</v>
      </c>
      <c r="K480" s="15" t="s">
        <v>127</v>
      </c>
      <c r="L480" s="15" t="str">
        <f>HYPERLINK("https://drive.google.com/open?id=18sst5LE2BqOG9Lj5XjHDiy7BGv11TSMH","Сертифікат")</f>
        <v>Сертифікат</v>
      </c>
      <c r="M480" s="11" t="s">
        <v>18</v>
      </c>
      <c r="N480" s="10">
        <v>36605.699999999997</v>
      </c>
      <c r="O480" s="10">
        <v>113477.8</v>
      </c>
      <c r="P480" s="10" t="s">
        <v>1331</v>
      </c>
      <c r="Q480" s="10">
        <v>81.900000000000006</v>
      </c>
      <c r="R480" s="10" t="s">
        <v>57</v>
      </c>
      <c r="S480" s="10">
        <v>159</v>
      </c>
      <c r="T480" s="10">
        <v>35.1</v>
      </c>
      <c r="U480" s="29">
        <v>43705</v>
      </c>
      <c r="V480" s="29">
        <v>47357</v>
      </c>
      <c r="W480" s="10" t="s">
        <v>13</v>
      </c>
      <c r="X480" s="10" t="s">
        <v>17</v>
      </c>
    </row>
    <row r="481" spans="1:24" ht="45" customHeight="1" x14ac:dyDescent="0.25">
      <c r="A481" s="10">
        <f t="shared" si="0"/>
        <v>478</v>
      </c>
      <c r="B481" s="11" t="s">
        <v>1329</v>
      </c>
      <c r="C481" s="10" t="s">
        <v>52</v>
      </c>
      <c r="D481" s="10" t="s">
        <v>52</v>
      </c>
      <c r="E481" s="10" t="s">
        <v>4</v>
      </c>
      <c r="F481" s="11" t="s">
        <v>1332</v>
      </c>
      <c r="G481" s="11"/>
      <c r="H481" s="11"/>
      <c r="I481" s="11">
        <v>2019</v>
      </c>
      <c r="J481" s="20" t="s">
        <v>126</v>
      </c>
      <c r="K481" s="15" t="s">
        <v>127</v>
      </c>
      <c r="L481" s="15" t="str">
        <f>HYPERLINK("https://drive.google.com/open?id=13wvWmgUKigBdeRyMq89n5wAmrgrhZPPi","Сертифікат")</f>
        <v>Сертифікат</v>
      </c>
      <c r="M481" s="11" t="s">
        <v>18</v>
      </c>
      <c r="N481" s="10">
        <v>1582.5</v>
      </c>
      <c r="O481" s="10">
        <v>5871.1</v>
      </c>
      <c r="P481" s="10">
        <v>2</v>
      </c>
      <c r="Q481" s="10">
        <v>55.4</v>
      </c>
      <c r="R481" s="10" t="s">
        <v>66</v>
      </c>
      <c r="S481" s="10">
        <v>403.7</v>
      </c>
      <c r="T481" s="10">
        <v>78.3</v>
      </c>
      <c r="U481" s="29">
        <v>43705</v>
      </c>
      <c r="V481" s="29">
        <v>47357</v>
      </c>
      <c r="W481" s="10" t="s">
        <v>10</v>
      </c>
      <c r="X481" s="10" t="s">
        <v>17</v>
      </c>
    </row>
    <row r="482" spans="1:24" ht="45" customHeight="1" x14ac:dyDescent="0.25">
      <c r="A482" s="10">
        <f t="shared" si="0"/>
        <v>479</v>
      </c>
      <c r="B482" s="11" t="s">
        <v>1333</v>
      </c>
      <c r="C482" s="10" t="s">
        <v>1334</v>
      </c>
      <c r="D482" s="10" t="s">
        <v>174</v>
      </c>
      <c r="E482" s="10" t="s">
        <v>7</v>
      </c>
      <c r="F482" s="11" t="s">
        <v>1335</v>
      </c>
      <c r="G482" s="11"/>
      <c r="H482" s="11"/>
      <c r="I482" s="11" t="s">
        <v>1336</v>
      </c>
      <c r="J482" s="10" t="s">
        <v>1337</v>
      </c>
      <c r="K482" s="51" t="s">
        <v>1338</v>
      </c>
      <c r="L482" s="15" t="str">
        <f>HYPERLINK("https://drive.google.com/open?id=1_tsyK74e-sm4P1vjpAz0UjLUx8h8_PnR","Сертифікат")</f>
        <v>Сертифікат</v>
      </c>
      <c r="M482" s="11" t="s">
        <v>15</v>
      </c>
      <c r="N482" s="10">
        <v>1088.49</v>
      </c>
      <c r="O482" s="10">
        <v>6360</v>
      </c>
      <c r="P482" s="10">
        <v>1</v>
      </c>
      <c r="Q482" s="10">
        <v>52.03</v>
      </c>
      <c r="R482" s="10" t="s">
        <v>66</v>
      </c>
      <c r="S482" s="10">
        <v>826.41</v>
      </c>
      <c r="T482" s="10">
        <v>347.1</v>
      </c>
      <c r="U482" s="11" t="s">
        <v>862</v>
      </c>
      <c r="V482" s="29">
        <v>43730</v>
      </c>
      <c r="W482" s="10" t="s">
        <v>16</v>
      </c>
      <c r="X482" s="10" t="s">
        <v>11</v>
      </c>
    </row>
    <row r="483" spans="1:24" ht="45" customHeight="1" x14ac:dyDescent="0.25">
      <c r="A483" s="10">
        <f t="shared" si="0"/>
        <v>480</v>
      </c>
      <c r="B483" s="11" t="s">
        <v>1339</v>
      </c>
      <c r="C483" s="10" t="s">
        <v>1145</v>
      </c>
      <c r="D483" s="10" t="s">
        <v>1295</v>
      </c>
      <c r="E483" s="10" t="s">
        <v>2</v>
      </c>
      <c r="F483" s="11" t="s">
        <v>1340</v>
      </c>
      <c r="G483" s="11"/>
      <c r="H483" s="11"/>
      <c r="I483" s="11">
        <v>2010</v>
      </c>
      <c r="J483" s="10" t="s">
        <v>668</v>
      </c>
      <c r="K483" s="15" t="str">
        <f>HYPERLINK("https://drive.google.com/open?id=1NSlpy3KnsggBDFhLrg81QLR2deMl7d6Q","АА000077")</f>
        <v>АА000077</v>
      </c>
      <c r="L483" s="15" t="str">
        <f>HYPERLINK("https://drive.google.com/open?id=1ZaQh7VKPFXBr8o9p0i0D8I1REAheWFmG","Сертифікат")</f>
        <v>Сертифікат</v>
      </c>
      <c r="M483" s="11" t="s">
        <v>24</v>
      </c>
      <c r="N483" s="10">
        <v>13613.1</v>
      </c>
      <c r="O483" s="10">
        <v>47114</v>
      </c>
      <c r="P483" s="10">
        <v>8</v>
      </c>
      <c r="Q483" s="10">
        <v>69.3</v>
      </c>
      <c r="R483" s="10" t="s">
        <v>66</v>
      </c>
      <c r="S483" s="10">
        <v>306.7</v>
      </c>
      <c r="T483" s="10">
        <v>76.5</v>
      </c>
      <c r="U483" s="29">
        <v>43706</v>
      </c>
      <c r="V483" s="29">
        <v>47358</v>
      </c>
      <c r="W483" s="10" t="s">
        <v>10</v>
      </c>
      <c r="X483" s="10" t="s">
        <v>17</v>
      </c>
    </row>
    <row r="484" spans="1:24" ht="45" customHeight="1" x14ac:dyDescent="0.25">
      <c r="A484" s="10">
        <f t="shared" si="0"/>
        <v>481</v>
      </c>
      <c r="B484" s="11" t="s">
        <v>1341</v>
      </c>
      <c r="C484" s="10" t="s">
        <v>1342</v>
      </c>
      <c r="D484" s="10" t="s">
        <v>148</v>
      </c>
      <c r="E484" s="10" t="s">
        <v>0</v>
      </c>
      <c r="F484" s="11" t="s">
        <v>1343</v>
      </c>
      <c r="G484" s="11"/>
      <c r="H484" s="11"/>
      <c r="I484" s="11" t="s">
        <v>836</v>
      </c>
      <c r="J484" s="11" t="s">
        <v>732</v>
      </c>
      <c r="K484" s="15" t="str">
        <f>HYPERLINK("https://drive.google.com/open?id=1YmIUNUHq4P-kOoyLjfDDMpvQv5hFDMTd","№ OPI-АВ00010")</f>
        <v>№ OPI-АВ00010</v>
      </c>
      <c r="L484" s="15" t="str">
        <f>HYPERLINK("https://drive.google.com/open?id=1hXa5bN7gdLAPHN-4jW2SLTuEs7M7nmbn","Сертифікат")</f>
        <v>Сертифікат</v>
      </c>
      <c r="M484" s="11" t="s">
        <v>18</v>
      </c>
      <c r="N484" s="10">
        <v>17263.099999999999</v>
      </c>
      <c r="O484" s="10">
        <v>46610.37</v>
      </c>
      <c r="P484" s="10">
        <v>10</v>
      </c>
      <c r="Q484" s="10">
        <v>86.2</v>
      </c>
      <c r="R484" s="10" t="s">
        <v>57</v>
      </c>
      <c r="S484" s="10">
        <v>86.2</v>
      </c>
      <c r="T484" s="10">
        <v>95</v>
      </c>
      <c r="U484" s="29">
        <v>43707</v>
      </c>
      <c r="V484" s="29">
        <v>47359</v>
      </c>
      <c r="W484" s="10" t="s">
        <v>13</v>
      </c>
      <c r="X484" s="10" t="s">
        <v>17</v>
      </c>
    </row>
    <row r="485" spans="1:24" ht="45" customHeight="1" x14ac:dyDescent="0.25">
      <c r="A485" s="10">
        <f t="shared" si="0"/>
        <v>482</v>
      </c>
      <c r="B485" s="11" t="s">
        <v>1344</v>
      </c>
      <c r="C485" s="10" t="s">
        <v>78</v>
      </c>
      <c r="D485" s="10" t="s">
        <v>79</v>
      </c>
      <c r="E485" s="10" t="s">
        <v>0</v>
      </c>
      <c r="F485" s="11" t="s">
        <v>1345</v>
      </c>
      <c r="G485" s="11"/>
      <c r="H485" s="11"/>
      <c r="I485" s="11" t="s">
        <v>836</v>
      </c>
      <c r="J485" s="11" t="s">
        <v>1346</v>
      </c>
      <c r="K485" s="15" t="str">
        <f>HYPERLINK("https://drive.google.com/open?id=1k2g5-8hhBjIDVskUhiAR-3cz2buS4PAa","АР 000027")</f>
        <v>АР 000027</v>
      </c>
      <c r="L485" s="15" t="str">
        <f>HYPERLINK("https://drive.google.com/open?id=1FF-ZkZOsQ3GChqrB33ZNV6m24GmtBIsi","Сертифікат")</f>
        <v>Сертифікат</v>
      </c>
      <c r="M485" s="11" t="s">
        <v>18</v>
      </c>
      <c r="N485" s="10">
        <v>13065.36</v>
      </c>
      <c r="O485" s="10">
        <v>37355.052000000003</v>
      </c>
      <c r="P485" s="10">
        <v>11</v>
      </c>
      <c r="Q485" s="10">
        <v>81.17</v>
      </c>
      <c r="R485" s="10" t="s">
        <v>57</v>
      </c>
      <c r="S485" s="10">
        <v>174.53</v>
      </c>
      <c r="T485" s="10">
        <v>33.21</v>
      </c>
      <c r="U485" s="29">
        <v>43703</v>
      </c>
      <c r="V485" s="29">
        <v>47355</v>
      </c>
      <c r="W485" s="10" t="s">
        <v>13</v>
      </c>
      <c r="X485" s="10" t="s">
        <v>14</v>
      </c>
    </row>
    <row r="486" spans="1:24" ht="45" customHeight="1" x14ac:dyDescent="0.25">
      <c r="A486" s="10">
        <f t="shared" si="0"/>
        <v>483</v>
      </c>
      <c r="B486" s="11" t="s">
        <v>1347</v>
      </c>
      <c r="C486" s="10" t="s">
        <v>1348</v>
      </c>
      <c r="D486" s="10" t="s">
        <v>69</v>
      </c>
      <c r="E486" s="10" t="s">
        <v>2</v>
      </c>
      <c r="F486" s="11" t="s">
        <v>1349</v>
      </c>
      <c r="G486" s="11"/>
      <c r="H486" s="11"/>
      <c r="I486" s="11">
        <v>2019</v>
      </c>
      <c r="J486" s="11" t="s">
        <v>609</v>
      </c>
      <c r="K486" s="15" t="str">
        <f>HYPERLINK("https://drive.google.com/open?id=12rI1uwygDU-3remy1Z7JMZnoQTAI-rWx","ОД №000024")</f>
        <v>ОД №000024</v>
      </c>
      <c r="L486" s="15" t="str">
        <f>HYPERLINK("https://drive.google.com/open?id=1WTakh3v_RCJF4lxpL1_VoS0qcYHkQPUk","Сертифікат")</f>
        <v>Сертифікат</v>
      </c>
      <c r="M486" s="11" t="s">
        <v>18</v>
      </c>
      <c r="N486" s="10">
        <v>1261.0999999999999</v>
      </c>
      <c r="O486" s="10">
        <v>4000</v>
      </c>
      <c r="P486" s="10">
        <v>1</v>
      </c>
      <c r="Q486" s="10">
        <v>59.7</v>
      </c>
      <c r="R486" s="10" t="s">
        <v>66</v>
      </c>
      <c r="S486" s="10">
        <v>107.1</v>
      </c>
      <c r="T486" s="10">
        <v>20.2</v>
      </c>
      <c r="U486" s="29">
        <v>43706</v>
      </c>
      <c r="V486" s="29">
        <v>47358</v>
      </c>
      <c r="W486" s="10" t="s">
        <v>10</v>
      </c>
      <c r="X486" s="10" t="s">
        <v>17</v>
      </c>
    </row>
    <row r="487" spans="1:24" ht="45" customHeight="1" x14ac:dyDescent="0.25">
      <c r="A487" s="10">
        <f t="shared" si="0"/>
        <v>484</v>
      </c>
      <c r="B487" s="11" t="s">
        <v>1350</v>
      </c>
      <c r="C487" s="10" t="s">
        <v>1351</v>
      </c>
      <c r="D487" s="10" t="s">
        <v>298</v>
      </c>
      <c r="E487" s="10" t="s">
        <v>4</v>
      </c>
      <c r="F487" s="11" t="s">
        <v>1352</v>
      </c>
      <c r="G487" s="11"/>
      <c r="H487" s="11"/>
      <c r="I487" s="11">
        <v>1989</v>
      </c>
      <c r="J487" s="11" t="s">
        <v>300</v>
      </c>
      <c r="K487" s="15" t="str">
        <f t="shared" ref="K487:K488" si="23">HYPERLINK("https://drive.google.com/open?id=1IiXbpn0z8_JaMI-MxkDjqeigPavWn4dC","АР 00021")</f>
        <v>АР 00021</v>
      </c>
      <c r="L487" s="15" t="str">
        <f>HYPERLINK("https://drive.google.com/open?id=1f3xjKvoY5ygYpqh3kXJ-8Srtx3eIqYEj","Сертифікат")</f>
        <v>Сертифікат</v>
      </c>
      <c r="M487" s="11" t="s">
        <v>26</v>
      </c>
      <c r="N487" s="10">
        <v>2105.6999999999998</v>
      </c>
      <c r="O487" s="10">
        <v>6317.1</v>
      </c>
      <c r="P487" s="10">
        <v>2</v>
      </c>
      <c r="Q487" s="10">
        <v>140.5</v>
      </c>
      <c r="R487" s="10" t="s">
        <v>66</v>
      </c>
      <c r="S487" s="10">
        <v>532.22</v>
      </c>
      <c r="T487" s="10">
        <v>105.52</v>
      </c>
      <c r="U487" s="29">
        <v>43588</v>
      </c>
      <c r="V487" s="29">
        <v>47240</v>
      </c>
      <c r="W487" s="10" t="s">
        <v>13</v>
      </c>
      <c r="X487" s="10" t="s">
        <v>17</v>
      </c>
    </row>
    <row r="488" spans="1:24" ht="45" customHeight="1" x14ac:dyDescent="0.25">
      <c r="A488" s="10">
        <f t="shared" si="0"/>
        <v>485</v>
      </c>
      <c r="B488" s="11" t="s">
        <v>1353</v>
      </c>
      <c r="C488" s="10" t="s">
        <v>1354</v>
      </c>
      <c r="D488" s="10" t="s">
        <v>298</v>
      </c>
      <c r="E488" s="10" t="s">
        <v>3</v>
      </c>
      <c r="F488" s="11" t="s">
        <v>1355</v>
      </c>
      <c r="G488" s="11"/>
      <c r="H488" s="11"/>
      <c r="I488" s="11">
        <v>1968</v>
      </c>
      <c r="J488" s="11" t="s">
        <v>300</v>
      </c>
      <c r="K488" s="15" t="str">
        <f t="shared" si="23"/>
        <v>АР 00021</v>
      </c>
      <c r="L488" s="15" t="str">
        <f>HYPERLINK("https://drive.google.com/open?id=1P2R9VGwJaQJLJNIzJPVxhf04h1i9ly4G","Сертифікат")</f>
        <v>Сертифікат</v>
      </c>
      <c r="M488" s="11" t="s">
        <v>26</v>
      </c>
      <c r="N488" s="10">
        <v>2385.1999999999998</v>
      </c>
      <c r="O488" s="10">
        <v>8302.1</v>
      </c>
      <c r="P488" s="10">
        <v>2</v>
      </c>
      <c r="Q488" s="10">
        <v>107.82</v>
      </c>
      <c r="R488" s="10" t="s">
        <v>66</v>
      </c>
      <c r="S488" s="10">
        <v>481.19</v>
      </c>
      <c r="T488" s="10">
        <v>140.94</v>
      </c>
      <c r="U488" s="29">
        <v>43707</v>
      </c>
      <c r="V488" s="29">
        <v>47359</v>
      </c>
      <c r="W488" s="10" t="s">
        <v>13</v>
      </c>
      <c r="X488" s="10" t="s">
        <v>17</v>
      </c>
    </row>
    <row r="489" spans="1:24" ht="45" customHeight="1" x14ac:dyDescent="0.25">
      <c r="A489" s="10">
        <f t="shared" si="0"/>
        <v>486</v>
      </c>
      <c r="B489" s="11" t="s">
        <v>1356</v>
      </c>
      <c r="C489" s="10" t="s">
        <v>85</v>
      </c>
      <c r="D489" s="10" t="s">
        <v>86</v>
      </c>
      <c r="E489" s="10" t="s">
        <v>0</v>
      </c>
      <c r="F489" s="11" t="s">
        <v>1357</v>
      </c>
      <c r="G489" s="11"/>
      <c r="H489" s="11"/>
      <c r="I489" s="11">
        <v>1980</v>
      </c>
      <c r="J489" s="11" t="s">
        <v>64</v>
      </c>
      <c r="K489" s="15" t="str">
        <f>HYPERLINK("https://drive.google.com/open?id=1-fr_zsf-7fSXhRxegEztRfDKVGALmS4z","АА000004")</f>
        <v>АА000004</v>
      </c>
      <c r="L489" s="15" t="str">
        <f>HYPERLINK("https://drive.google.com/open?id=1SWbM-aG4siVP0uSQDxdJOSiz8jp06dHQ","Сертифікат")</f>
        <v>Сертифікат</v>
      </c>
      <c r="M489" s="11" t="s">
        <v>26</v>
      </c>
      <c r="N489" s="10">
        <v>7997</v>
      </c>
      <c r="O489" s="10">
        <v>21991</v>
      </c>
      <c r="P489" s="10">
        <v>9</v>
      </c>
      <c r="Q489" s="10">
        <v>237</v>
      </c>
      <c r="R489" s="10" t="s">
        <v>57</v>
      </c>
      <c r="S489" s="10">
        <v>394</v>
      </c>
      <c r="T489" s="10">
        <v>126</v>
      </c>
      <c r="U489" s="29">
        <v>43704</v>
      </c>
      <c r="V489" s="29">
        <v>47356</v>
      </c>
      <c r="W489" s="10" t="s">
        <v>10</v>
      </c>
      <c r="X489" s="10" t="s">
        <v>17</v>
      </c>
    </row>
    <row r="490" spans="1:24" ht="45" customHeight="1" x14ac:dyDescent="0.25">
      <c r="A490" s="10">
        <f t="shared" si="0"/>
        <v>487</v>
      </c>
      <c r="B490" s="11" t="s">
        <v>1358</v>
      </c>
      <c r="C490" s="47" t="s">
        <v>540</v>
      </c>
      <c r="D490" s="10" t="s">
        <v>541</v>
      </c>
      <c r="E490" s="10" t="s">
        <v>0</v>
      </c>
      <c r="F490" s="27" t="s">
        <v>1009</v>
      </c>
      <c r="G490" s="11"/>
      <c r="H490" s="11"/>
      <c r="I490" s="11" t="s">
        <v>836</v>
      </c>
      <c r="J490" s="11" t="s">
        <v>1212</v>
      </c>
      <c r="K490" s="15" t="str">
        <f>HYPERLINK("https://drive.google.com/open?id=1XTelnBAirwIPoizCv9Tf_sX2tN4P-YTR","АА 000015")</f>
        <v>АА 000015</v>
      </c>
      <c r="L490" s="15" t="str">
        <f>HYPERLINK("https://drive.google.com/open?id=1UP4Y2APbmeX7WayT3nStuQ1s8ucncn3O","Сертифікат")</f>
        <v>Сертифікат</v>
      </c>
      <c r="M490" s="11" t="s">
        <v>18</v>
      </c>
      <c r="N490" s="10">
        <v>10595</v>
      </c>
      <c r="O490" s="10">
        <v>29666</v>
      </c>
      <c r="P490" s="10">
        <v>10</v>
      </c>
      <c r="Q490" s="10">
        <v>84.02</v>
      </c>
      <c r="R490" s="10" t="s">
        <v>57</v>
      </c>
      <c r="S490" s="10">
        <v>99.53</v>
      </c>
      <c r="T490" s="10">
        <v>24.26</v>
      </c>
      <c r="U490" s="29">
        <v>43708</v>
      </c>
      <c r="V490" s="29">
        <v>47360</v>
      </c>
      <c r="W490" s="10" t="s">
        <v>13</v>
      </c>
      <c r="X490" s="10" t="s">
        <v>17</v>
      </c>
    </row>
    <row r="491" spans="1:24" ht="45" customHeight="1" x14ac:dyDescent="0.25">
      <c r="A491" s="10">
        <f t="shared" si="0"/>
        <v>488</v>
      </c>
      <c r="B491" s="11" t="s">
        <v>1359</v>
      </c>
      <c r="C491" s="52" t="s">
        <v>1360</v>
      </c>
      <c r="D491" s="10" t="s">
        <v>442</v>
      </c>
      <c r="E491" s="10" t="s">
        <v>3</v>
      </c>
      <c r="F491" s="11" t="s">
        <v>1361</v>
      </c>
      <c r="G491" s="11"/>
      <c r="H491" s="11"/>
      <c r="I491" s="11">
        <v>1977</v>
      </c>
      <c r="J491" s="11" t="s">
        <v>863</v>
      </c>
      <c r="K491" s="15" t="str">
        <f t="shared" ref="K491:K492" si="24">HYPERLINK("https://drive.google.com/open?id=1zpGGjxW-5FjlhSc9vyLynI5MjUOBJLlg","ОД 000061")</f>
        <v>ОД 000061</v>
      </c>
      <c r="L491" s="15" t="str">
        <f>HYPERLINK("https://drive.google.com/open?id=1YXdfvDfPVaOrcI1cPx8qPy8woEdeD22I","Сертифікат")</f>
        <v>Сертифікат</v>
      </c>
      <c r="M491" s="11" t="s">
        <v>26</v>
      </c>
      <c r="N491" s="10">
        <v>690</v>
      </c>
      <c r="O491" s="10">
        <v>2080</v>
      </c>
      <c r="P491" s="10">
        <v>1</v>
      </c>
      <c r="Q491" s="10">
        <v>135.4</v>
      </c>
      <c r="R491" s="10" t="s">
        <v>66</v>
      </c>
      <c r="S491" s="10">
        <v>216</v>
      </c>
      <c r="T491" s="10">
        <v>41.1</v>
      </c>
      <c r="U491" s="29">
        <v>43710</v>
      </c>
      <c r="V491" s="29">
        <v>47362</v>
      </c>
      <c r="W491" s="10" t="s">
        <v>13</v>
      </c>
      <c r="X491" s="10" t="s">
        <v>17</v>
      </c>
    </row>
    <row r="492" spans="1:24" ht="45" customHeight="1" x14ac:dyDescent="0.25">
      <c r="A492" s="10">
        <f t="shared" si="0"/>
        <v>489</v>
      </c>
      <c r="B492" s="11" t="s">
        <v>1359</v>
      </c>
      <c r="C492" s="52" t="s">
        <v>1360</v>
      </c>
      <c r="D492" s="10" t="s">
        <v>442</v>
      </c>
      <c r="E492" s="10" t="s">
        <v>3</v>
      </c>
      <c r="F492" s="11" t="s">
        <v>1362</v>
      </c>
      <c r="G492" s="11"/>
      <c r="H492" s="11"/>
      <c r="I492" s="11">
        <v>1950</v>
      </c>
      <c r="J492" s="11" t="s">
        <v>863</v>
      </c>
      <c r="K492" s="15" t="str">
        <f t="shared" si="24"/>
        <v>ОД 000061</v>
      </c>
      <c r="L492" s="15" t="str">
        <f>HYPERLINK("https://drive.google.com/open?id=1P4ebKtcab3KuCkntrak7bL8u4EIEvqU2","Сертифікат")</f>
        <v>Сертифікат</v>
      </c>
      <c r="M492" s="11" t="s">
        <v>26</v>
      </c>
      <c r="N492" s="10">
        <v>1205.5</v>
      </c>
      <c r="O492" s="10">
        <v>4711</v>
      </c>
      <c r="P492" s="10">
        <v>1</v>
      </c>
      <c r="Q492" s="10">
        <v>129.1</v>
      </c>
      <c r="R492" s="10" t="s">
        <v>66</v>
      </c>
      <c r="S492" s="10">
        <v>209.6</v>
      </c>
      <c r="T492" s="10">
        <v>39.799999999999997</v>
      </c>
      <c r="U492" s="29">
        <v>43710</v>
      </c>
      <c r="V492" s="29">
        <v>47362</v>
      </c>
      <c r="W492" s="10" t="s">
        <v>13</v>
      </c>
      <c r="X492" s="10" t="s">
        <v>17</v>
      </c>
    </row>
    <row r="493" spans="1:24" ht="45" customHeight="1" x14ac:dyDescent="0.25">
      <c r="A493" s="10">
        <f t="shared" si="0"/>
        <v>490</v>
      </c>
      <c r="B493" s="11" t="s">
        <v>1363</v>
      </c>
      <c r="C493" s="10" t="s">
        <v>1364</v>
      </c>
      <c r="D493" s="47" t="s">
        <v>174</v>
      </c>
      <c r="E493" s="10" t="s">
        <v>0</v>
      </c>
      <c r="F493" s="11" t="s">
        <v>1365</v>
      </c>
      <c r="G493" s="11"/>
      <c r="H493" s="11"/>
      <c r="I493" s="11">
        <v>2019</v>
      </c>
      <c r="J493" s="53" t="s">
        <v>1366</v>
      </c>
      <c r="K493" s="51" t="s">
        <v>1367</v>
      </c>
      <c r="L493" s="15" t="str">
        <f>HYPERLINK("https://drive.google.com/open?id=1Trvtv7oG8LomCENqN4tDwIpxX6pCMhlA","Сертифікат")</f>
        <v>Сертифікат</v>
      </c>
      <c r="M493" s="11" t="s">
        <v>15</v>
      </c>
      <c r="N493" s="10">
        <v>9249.7999999999993</v>
      </c>
      <c r="O493" s="10">
        <v>25760</v>
      </c>
      <c r="P493" s="10">
        <v>10</v>
      </c>
      <c r="Q493" s="10">
        <v>65.73</v>
      </c>
      <c r="R493" s="10" t="s">
        <v>57</v>
      </c>
      <c r="S493" s="10">
        <v>107.26600000000001</v>
      </c>
      <c r="T493" s="10">
        <v>20.79</v>
      </c>
      <c r="U493" s="29">
        <v>43698</v>
      </c>
      <c r="V493" s="29">
        <v>47350</v>
      </c>
      <c r="W493" s="10" t="s">
        <v>10</v>
      </c>
      <c r="X493" s="10" t="s">
        <v>17</v>
      </c>
    </row>
    <row r="494" spans="1:24" ht="45" customHeight="1" x14ac:dyDescent="0.25">
      <c r="A494" s="10">
        <f t="shared" si="0"/>
        <v>491</v>
      </c>
      <c r="B494" s="11" t="s">
        <v>1368</v>
      </c>
      <c r="C494" s="47" t="s">
        <v>1369</v>
      </c>
      <c r="D494" s="10" t="s">
        <v>142</v>
      </c>
      <c r="E494" s="10" t="s">
        <v>0</v>
      </c>
      <c r="F494" s="11" t="s">
        <v>1370</v>
      </c>
      <c r="G494" s="11"/>
      <c r="H494" s="11"/>
      <c r="I494" s="11">
        <v>2014</v>
      </c>
      <c r="J494" s="10" t="s">
        <v>1371</v>
      </c>
      <c r="K494" s="51" t="s">
        <v>1372</v>
      </c>
      <c r="L494" s="15" t="str">
        <f>HYPERLINK("https://drive.google.com/open?id=1uxZDj43-lp6jPPnN0AHCY8znw0gUOpNI","Сертифікат")</f>
        <v>Сертифікат</v>
      </c>
      <c r="M494" s="11" t="s">
        <v>26</v>
      </c>
      <c r="N494" s="10">
        <v>93.8</v>
      </c>
      <c r="O494" s="10">
        <v>243.1</v>
      </c>
      <c r="P494" s="10">
        <v>1</v>
      </c>
      <c r="Q494" s="10">
        <v>333.3</v>
      </c>
      <c r="R494" s="10" t="s">
        <v>57</v>
      </c>
      <c r="S494" s="10">
        <v>335.77</v>
      </c>
      <c r="T494" s="10">
        <v>60.2</v>
      </c>
      <c r="U494" s="29">
        <v>43710</v>
      </c>
      <c r="V494" s="29">
        <v>47362</v>
      </c>
      <c r="W494" s="10" t="s">
        <v>13</v>
      </c>
      <c r="X494" s="10" t="s">
        <v>17</v>
      </c>
    </row>
    <row r="495" spans="1:24" ht="45" customHeight="1" x14ac:dyDescent="0.25">
      <c r="A495" s="10">
        <f t="shared" si="0"/>
        <v>492</v>
      </c>
      <c r="B495" s="11" t="s">
        <v>1373</v>
      </c>
      <c r="C495" s="10" t="s">
        <v>1374</v>
      </c>
      <c r="D495" s="10" t="s">
        <v>79</v>
      </c>
      <c r="E495" s="10" t="s">
        <v>0</v>
      </c>
      <c r="F495" s="11" t="s">
        <v>1375</v>
      </c>
      <c r="G495" s="11"/>
      <c r="H495" s="11"/>
      <c r="I495" s="11">
        <v>1962</v>
      </c>
      <c r="J495" s="11" t="s">
        <v>54</v>
      </c>
      <c r="K495" s="15" t="str">
        <f t="shared" ref="K495:K496" si="25">HYPERLINK("https://drive.google.com/open?id=12WC1Bu_lEABhJzMA7VMSl0Xd5ugZr4vK","АА 000002")</f>
        <v>АА 000002</v>
      </c>
      <c r="L495" s="15" t="str">
        <f>HYPERLINK("https://drive.google.com/open?id=1D9S-NmhNJt0ZsGHb6JbAdkDe0T3WAPwt","Сертифікат")</f>
        <v>Сертифікат</v>
      </c>
      <c r="M495" s="11" t="s">
        <v>26</v>
      </c>
      <c r="N495" s="10">
        <v>2496</v>
      </c>
      <c r="O495" s="10">
        <v>7488</v>
      </c>
      <c r="P495" s="10">
        <v>4</v>
      </c>
      <c r="Q495" s="10">
        <v>225</v>
      </c>
      <c r="R495" s="10" t="s">
        <v>57</v>
      </c>
      <c r="S495" s="10">
        <v>316</v>
      </c>
      <c r="T495" s="10">
        <v>87</v>
      </c>
      <c r="U495" s="29">
        <v>43615</v>
      </c>
      <c r="V495" s="29">
        <v>47267</v>
      </c>
      <c r="W495" s="10" t="s">
        <v>10</v>
      </c>
      <c r="X495" s="10" t="s">
        <v>17</v>
      </c>
    </row>
    <row r="496" spans="1:24" ht="45" customHeight="1" x14ac:dyDescent="0.25">
      <c r="A496" s="10">
        <f t="shared" si="0"/>
        <v>493</v>
      </c>
      <c r="B496" s="11" t="s">
        <v>1376</v>
      </c>
      <c r="C496" s="10" t="s">
        <v>1377</v>
      </c>
      <c r="D496" s="10" t="s">
        <v>79</v>
      </c>
      <c r="E496" s="10" t="s">
        <v>2</v>
      </c>
      <c r="F496" s="11" t="s">
        <v>1378</v>
      </c>
      <c r="G496" s="11"/>
      <c r="H496" s="11"/>
      <c r="I496" s="11">
        <v>1973</v>
      </c>
      <c r="J496" s="11" t="s">
        <v>54</v>
      </c>
      <c r="K496" s="15" t="str">
        <f t="shared" si="25"/>
        <v>АА 000002</v>
      </c>
      <c r="L496" s="15" t="str">
        <f>HYPERLINK("https://drive.google.com/open?id=10d_vTTW0I410dNGHpdBw0quPW-UqiD4o","Сертифікат")</f>
        <v>Сертифікат</v>
      </c>
      <c r="M496" s="11" t="s">
        <v>22</v>
      </c>
      <c r="N496" s="10">
        <v>5231</v>
      </c>
      <c r="O496" s="10">
        <v>17722</v>
      </c>
      <c r="P496" s="10">
        <v>4</v>
      </c>
      <c r="Q496" s="10">
        <v>61</v>
      </c>
      <c r="R496" s="10" t="s">
        <v>66</v>
      </c>
      <c r="S496" s="10">
        <v>330</v>
      </c>
      <c r="T496" s="10">
        <v>97</v>
      </c>
      <c r="U496" s="29">
        <v>43615</v>
      </c>
      <c r="V496" s="29">
        <v>47267</v>
      </c>
      <c r="W496" s="10" t="s">
        <v>10</v>
      </c>
      <c r="X496" s="10" t="s">
        <v>17</v>
      </c>
    </row>
    <row r="497" spans="1:24" ht="45" customHeight="1" x14ac:dyDescent="0.25">
      <c r="A497" s="10">
        <f t="shared" si="0"/>
        <v>494</v>
      </c>
      <c r="B497" s="11" t="s">
        <v>1379</v>
      </c>
      <c r="C497" s="10" t="s">
        <v>647</v>
      </c>
      <c r="D497" s="10" t="s">
        <v>648</v>
      </c>
      <c r="E497" s="10" t="s">
        <v>3</v>
      </c>
      <c r="F497" s="11" t="s">
        <v>1380</v>
      </c>
      <c r="G497" s="11"/>
      <c r="H497" s="11"/>
      <c r="I497" s="11">
        <v>1968</v>
      </c>
      <c r="J497" s="11" t="s">
        <v>1381</v>
      </c>
      <c r="K497" s="15" t="str">
        <f>HYPERLINK("https://drive.google.com/open?id=1hiCMohNfuw24QEbztWsJvrxQxD_OTneM","№ АА0000101")</f>
        <v>№ АА0000101</v>
      </c>
      <c r="L497" s="15" t="str">
        <f>HYPERLINK("https://drive.google.com/open?id=1MCEEY1rglhPxOE-fQ-RDFFIqpCjy7jqF","Сертифікат")</f>
        <v>Сертифікат</v>
      </c>
      <c r="M497" s="11" t="s">
        <v>26</v>
      </c>
      <c r="N497" s="10">
        <v>7976</v>
      </c>
      <c r="O497" s="10">
        <v>29323</v>
      </c>
      <c r="P497" s="54">
        <v>39238</v>
      </c>
      <c r="Q497" s="10">
        <v>70.5</v>
      </c>
      <c r="R497" s="10" t="s">
        <v>66</v>
      </c>
      <c r="S497" s="10">
        <v>373.9</v>
      </c>
      <c r="T497" s="10">
        <v>74</v>
      </c>
      <c r="U497" s="29">
        <v>43700</v>
      </c>
      <c r="V497" s="29">
        <v>47352</v>
      </c>
      <c r="W497" s="10" t="s">
        <v>13</v>
      </c>
      <c r="X497" s="10" t="s">
        <v>17</v>
      </c>
    </row>
    <row r="498" spans="1:24" ht="45" customHeight="1" x14ac:dyDescent="0.25">
      <c r="A498" s="10">
        <f t="shared" si="0"/>
        <v>495</v>
      </c>
      <c r="B498" s="11" t="s">
        <v>1382</v>
      </c>
      <c r="C498" s="10" t="s">
        <v>1383</v>
      </c>
      <c r="D498" s="10" t="s">
        <v>69</v>
      </c>
      <c r="E498" s="10" t="s">
        <v>3</v>
      </c>
      <c r="F498" s="11" t="s">
        <v>1384</v>
      </c>
      <c r="G498" s="11"/>
      <c r="H498" s="11"/>
      <c r="I498" s="11">
        <v>1926</v>
      </c>
      <c r="J498" s="11" t="s">
        <v>438</v>
      </c>
      <c r="K498" s="15" t="s">
        <v>708</v>
      </c>
      <c r="L498" s="15" t="str">
        <f>HYPERLINK("https://drive.google.com/open?id=1PuP1-fCzm3JsTq4umtSG6RG_WAwD-Jls","Сертифікат")</f>
        <v>Сертифікат</v>
      </c>
      <c r="M498" s="11" t="s">
        <v>22</v>
      </c>
      <c r="N498" s="10">
        <v>795.3</v>
      </c>
      <c r="O498" s="10">
        <v>2853</v>
      </c>
      <c r="P498" s="10">
        <v>2</v>
      </c>
      <c r="Q498" s="10">
        <v>47.4</v>
      </c>
      <c r="R498" s="10" t="s">
        <v>66</v>
      </c>
      <c r="S498" s="10">
        <v>268.60000000000002</v>
      </c>
      <c r="T498" s="10">
        <v>52.5</v>
      </c>
      <c r="U498" s="29">
        <v>43707</v>
      </c>
      <c r="V498" s="29">
        <v>47359</v>
      </c>
      <c r="W498" s="10" t="s">
        <v>13</v>
      </c>
      <c r="X498" s="10" t="s">
        <v>17</v>
      </c>
    </row>
    <row r="499" spans="1:24" ht="45" customHeight="1" x14ac:dyDescent="0.25">
      <c r="A499" s="10">
        <f t="shared" si="0"/>
        <v>496</v>
      </c>
      <c r="B499" s="11" t="s">
        <v>1385</v>
      </c>
      <c r="C499" s="10" t="s">
        <v>1386</v>
      </c>
      <c r="D499" s="10" t="s">
        <v>148</v>
      </c>
      <c r="E499" s="10" t="s">
        <v>0</v>
      </c>
      <c r="F499" s="11" t="s">
        <v>1387</v>
      </c>
      <c r="G499" s="11"/>
      <c r="H499" s="11"/>
      <c r="I499" s="11">
        <v>1992</v>
      </c>
      <c r="J499" s="11" t="s">
        <v>110</v>
      </c>
      <c r="K499" s="15" t="str">
        <f t="shared" ref="K499:K500" si="26">HYPERLINK("https://drive.google.com/open?id=1hysLLNyTDspucV_3Tt8ScCWEgMedd8bv","1/010")</f>
        <v>1/010</v>
      </c>
      <c r="L499" s="15" t="str">
        <f>HYPERLINK("https://drive.google.com/open?id=1XWYXs-HL6Fn4SrwdX8RDGHVh8EINDvY_","Сертифікат")</f>
        <v>Сертифікат</v>
      </c>
      <c r="M499" s="11" t="s">
        <v>26</v>
      </c>
      <c r="N499" s="10">
        <v>3202.4</v>
      </c>
      <c r="O499" s="10">
        <v>8888.4</v>
      </c>
      <c r="P499" s="10">
        <v>9</v>
      </c>
      <c r="Q499" s="10">
        <v>201.47</v>
      </c>
      <c r="R499" s="10" t="s">
        <v>57</v>
      </c>
      <c r="S499" s="10">
        <v>288.83999999999997</v>
      </c>
      <c r="T499" s="10">
        <v>57.22</v>
      </c>
      <c r="U499" s="29">
        <v>43707</v>
      </c>
      <c r="V499" s="29">
        <v>47359</v>
      </c>
      <c r="W499" s="10" t="s">
        <v>13</v>
      </c>
      <c r="X499" s="10" t="s">
        <v>17</v>
      </c>
    </row>
    <row r="500" spans="1:24" ht="45" customHeight="1" x14ac:dyDescent="0.25">
      <c r="A500" s="10">
        <f t="shared" si="0"/>
        <v>497</v>
      </c>
      <c r="B500" s="11" t="s">
        <v>1385</v>
      </c>
      <c r="C500" s="10" t="s">
        <v>1386</v>
      </c>
      <c r="D500" s="10" t="s">
        <v>148</v>
      </c>
      <c r="E500" s="10" t="s">
        <v>0</v>
      </c>
      <c r="F500" s="11" t="s">
        <v>1388</v>
      </c>
      <c r="G500" s="11"/>
      <c r="H500" s="11"/>
      <c r="I500" s="11">
        <v>1992</v>
      </c>
      <c r="J500" s="11" t="s">
        <v>110</v>
      </c>
      <c r="K500" s="15" t="str">
        <f t="shared" si="26"/>
        <v>1/010</v>
      </c>
      <c r="L500" s="15" t="str">
        <f>HYPERLINK("https://drive.google.com/open?id=1b9vX0oadPF23UoWExnG4WatDA2PyJuCY","Сертифікат")</f>
        <v>Сертифікат</v>
      </c>
      <c r="M500" s="11" t="s">
        <v>26</v>
      </c>
      <c r="N500" s="10">
        <v>6424.4</v>
      </c>
      <c r="O500" s="10">
        <v>17831.2</v>
      </c>
      <c r="P500" s="10">
        <v>9</v>
      </c>
      <c r="Q500" s="10">
        <v>182.82</v>
      </c>
      <c r="R500" s="10" t="s">
        <v>57</v>
      </c>
      <c r="S500" s="10">
        <v>264.48</v>
      </c>
      <c r="T500" s="10">
        <v>52.35</v>
      </c>
      <c r="U500" s="29">
        <v>43707</v>
      </c>
      <c r="V500" s="29">
        <v>47359</v>
      </c>
      <c r="W500" s="10" t="s">
        <v>10</v>
      </c>
      <c r="X500" s="10" t="s">
        <v>17</v>
      </c>
    </row>
    <row r="501" spans="1:24" ht="45" customHeight="1" x14ac:dyDescent="0.25">
      <c r="A501" s="10">
        <f t="shared" si="0"/>
        <v>498</v>
      </c>
      <c r="B501" s="11" t="s">
        <v>1389</v>
      </c>
      <c r="C501" s="10" t="s">
        <v>1390</v>
      </c>
      <c r="D501" s="10" t="s">
        <v>485</v>
      </c>
      <c r="E501" s="10" t="s">
        <v>0</v>
      </c>
      <c r="F501" s="11" t="s">
        <v>0</v>
      </c>
      <c r="G501" s="11"/>
      <c r="H501" s="11"/>
      <c r="I501" s="11">
        <v>1977</v>
      </c>
      <c r="J501" s="11" t="s">
        <v>1391</v>
      </c>
      <c r="K501" s="15" t="str">
        <f>HYPERLINK("https://drive.google.com/open?id=1UKZILe7TQdXokj4t4AKCley6c2DMIFTf","ТР-ЕЕ № 0001")</f>
        <v>ТР-ЕЕ № 0001</v>
      </c>
      <c r="L501" s="15" t="str">
        <f>HYPERLINK("https://drive.google.com/open?id=1laV-qzA9JnftyTQ8SP_shcjUyEQ9KkIW","Сертифікат")</f>
        <v>Сертифікат</v>
      </c>
      <c r="M501" s="11" t="s">
        <v>26</v>
      </c>
      <c r="N501" s="10">
        <v>488.27</v>
      </c>
      <c r="O501" s="10">
        <v>1403.8</v>
      </c>
      <c r="P501" s="10">
        <v>2</v>
      </c>
      <c r="Q501" s="10">
        <v>264.43</v>
      </c>
      <c r="R501" s="10" t="s">
        <v>57</v>
      </c>
      <c r="S501" s="10">
        <v>354.14</v>
      </c>
      <c r="T501" s="10">
        <v>91.56</v>
      </c>
      <c r="U501" s="29">
        <v>43707</v>
      </c>
      <c r="V501" s="29">
        <v>47359</v>
      </c>
      <c r="W501" s="10" t="s">
        <v>13</v>
      </c>
      <c r="X501" s="10" t="s">
        <v>17</v>
      </c>
    </row>
    <row r="502" spans="1:24" ht="45" customHeight="1" x14ac:dyDescent="0.25">
      <c r="A502" s="10">
        <f t="shared" si="0"/>
        <v>499</v>
      </c>
      <c r="B502" s="11" t="s">
        <v>1392</v>
      </c>
      <c r="C502" s="10" t="s">
        <v>1334</v>
      </c>
      <c r="D502" s="10" t="s">
        <v>174</v>
      </c>
      <c r="E502" s="10" t="s">
        <v>7</v>
      </c>
      <c r="F502" s="11" t="s">
        <v>1393</v>
      </c>
      <c r="G502" s="11"/>
      <c r="H502" s="11"/>
      <c r="I502" s="11" t="s">
        <v>1394</v>
      </c>
      <c r="J502" s="11" t="s">
        <v>1337</v>
      </c>
      <c r="K502" s="15" t="str">
        <f>HYPERLINK("https://drive.google.com/open?id=17-Lq-spmohAW-Hc5k19aPfThabGC4Bql","№ ЕЕ00022")</f>
        <v>№ ЕЕ00022</v>
      </c>
      <c r="L502" s="15" t="str">
        <f>HYPERLINK("https://drive.google.com/open?id=1UOav8PR_toLZWZnOIT7h0NU9jRCGazwJ","Сертифікат")</f>
        <v>Сертифікат</v>
      </c>
      <c r="M502" s="11" t="s">
        <v>15</v>
      </c>
      <c r="N502" s="10">
        <v>495.8</v>
      </c>
      <c r="O502" s="10">
        <v>3226</v>
      </c>
      <c r="P502" s="10">
        <v>1</v>
      </c>
      <c r="Q502" s="10">
        <v>39.53</v>
      </c>
      <c r="R502" s="10" t="s">
        <v>66</v>
      </c>
      <c r="S502" s="10">
        <v>689.11</v>
      </c>
      <c r="T502" s="10">
        <v>125.83</v>
      </c>
      <c r="U502" s="29">
        <v>43707</v>
      </c>
      <c r="V502" s="29">
        <v>47359</v>
      </c>
      <c r="W502" s="10" t="s">
        <v>13</v>
      </c>
      <c r="X502" s="10" t="s">
        <v>17</v>
      </c>
    </row>
    <row r="503" spans="1:24" ht="45" customHeight="1" x14ac:dyDescent="0.25">
      <c r="A503" s="10">
        <f t="shared" si="0"/>
        <v>500</v>
      </c>
      <c r="B503" s="11" t="s">
        <v>1395</v>
      </c>
      <c r="C503" s="10" t="s">
        <v>1396</v>
      </c>
      <c r="D503" s="10" t="s">
        <v>103</v>
      </c>
      <c r="E503" s="10" t="s">
        <v>2</v>
      </c>
      <c r="F503" s="11" t="s">
        <v>1397</v>
      </c>
      <c r="G503" s="11"/>
      <c r="H503" s="11"/>
      <c r="I503" s="11">
        <v>1954</v>
      </c>
      <c r="J503" s="11" t="s">
        <v>225</v>
      </c>
      <c r="K503" s="15" t="str">
        <f>HYPERLINK("https://drive.google.com/open?id=1pFitVuWhzUN7CGVxLShY6-Ilp6_aT0--","№ ЕЕ00005")</f>
        <v>№ ЕЕ00005</v>
      </c>
      <c r="L503" s="15" t="str">
        <f>HYPERLINK("https://drive.google.com/open?id=1237TvGh6HM9Zy-DdgJDD_7gEut9s-I3l","Сертифікат")</f>
        <v>Сертифікат</v>
      </c>
      <c r="M503" s="11" t="s">
        <v>20</v>
      </c>
      <c r="N503" s="10">
        <v>1384.2</v>
      </c>
      <c r="O503" s="10">
        <v>10287</v>
      </c>
      <c r="P503" s="10">
        <v>2</v>
      </c>
      <c r="Q503" s="10">
        <v>73</v>
      </c>
      <c r="R503" s="10" t="s">
        <v>66</v>
      </c>
      <c r="S503" s="10">
        <v>761</v>
      </c>
      <c r="T503" s="10">
        <v>151</v>
      </c>
      <c r="U503" s="29">
        <v>43711</v>
      </c>
      <c r="V503" s="29">
        <v>47363</v>
      </c>
      <c r="W503" s="10" t="s">
        <v>13</v>
      </c>
      <c r="X503" s="10" t="s">
        <v>17</v>
      </c>
    </row>
    <row r="504" spans="1:24" ht="45" customHeight="1" x14ac:dyDescent="0.25">
      <c r="A504" s="10">
        <f t="shared" si="0"/>
        <v>501</v>
      </c>
      <c r="B504" s="11" t="s">
        <v>1398</v>
      </c>
      <c r="C504" s="24" t="s">
        <v>1351</v>
      </c>
      <c r="D504" s="10" t="s">
        <v>298</v>
      </c>
      <c r="E504" s="10" t="s">
        <v>2</v>
      </c>
      <c r="F504" s="11" t="s">
        <v>1399</v>
      </c>
      <c r="G504" s="11"/>
      <c r="H504" s="11"/>
      <c r="I504" s="11" t="s">
        <v>1400</v>
      </c>
      <c r="J504" s="11" t="s">
        <v>724</v>
      </c>
      <c r="K504" s="15" t="s">
        <v>725</v>
      </c>
      <c r="L504" s="15" t="str">
        <f>HYPERLINK("https://drive.google.com/open?id=1iLxasCJVqG8Afw3doIVbimR9b8ySoA97","Сертифікат")</f>
        <v>Сертифікат</v>
      </c>
      <c r="M504" s="11" t="s">
        <v>22</v>
      </c>
      <c r="N504" s="10">
        <v>628.9</v>
      </c>
      <c r="O504" s="10">
        <v>2083</v>
      </c>
      <c r="P504" s="10">
        <v>2</v>
      </c>
      <c r="Q504" s="10">
        <v>74.7</v>
      </c>
      <c r="R504" s="10" t="s">
        <v>66</v>
      </c>
      <c r="S504" s="10">
        <v>617</v>
      </c>
      <c r="T504" s="10">
        <v>259.3</v>
      </c>
      <c r="U504" s="29">
        <v>43696</v>
      </c>
      <c r="V504" s="29">
        <v>47348</v>
      </c>
      <c r="W504" s="10" t="s">
        <v>10</v>
      </c>
      <c r="X504" s="10" t="s">
        <v>17</v>
      </c>
    </row>
    <row r="505" spans="1:24" ht="45" customHeight="1" x14ac:dyDescent="0.25">
      <c r="A505" s="10">
        <f t="shared" si="0"/>
        <v>502</v>
      </c>
      <c r="B505" s="24" t="s">
        <v>1401</v>
      </c>
      <c r="C505" s="10" t="s">
        <v>297</v>
      </c>
      <c r="D505" s="10" t="s">
        <v>298</v>
      </c>
      <c r="E505" s="10" t="s">
        <v>2</v>
      </c>
      <c r="F505" s="10" t="s">
        <v>1402</v>
      </c>
      <c r="G505" s="11"/>
      <c r="H505" s="11"/>
      <c r="I505" s="11" t="s">
        <v>1403</v>
      </c>
      <c r="J505" s="11" t="s">
        <v>724</v>
      </c>
      <c r="K505" s="15" t="s">
        <v>725</v>
      </c>
      <c r="L505" s="15" t="str">
        <f>HYPERLINK("https://drive.google.com/open?id=12qE_2uy8W0MSFs8wWYrLsRlkW1Y6Ul5F","Сертифікат")</f>
        <v>Сертифікат</v>
      </c>
      <c r="M505" s="11" t="s">
        <v>26</v>
      </c>
      <c r="N505" s="10">
        <v>805.5</v>
      </c>
      <c r="O505" s="10">
        <v>2458</v>
      </c>
      <c r="P505" s="10">
        <v>2</v>
      </c>
      <c r="Q505" s="10">
        <v>140.6</v>
      </c>
      <c r="R505" s="10" t="s">
        <v>66</v>
      </c>
      <c r="S505" s="10">
        <v>532.5</v>
      </c>
      <c r="T505" s="10">
        <v>135.1</v>
      </c>
      <c r="U505" s="29">
        <v>43705</v>
      </c>
      <c r="V505" s="29">
        <v>47357</v>
      </c>
      <c r="W505" s="10" t="s">
        <v>13</v>
      </c>
      <c r="X505" s="10" t="s">
        <v>17</v>
      </c>
    </row>
    <row r="506" spans="1:24" ht="45" customHeight="1" x14ac:dyDescent="0.25">
      <c r="A506" s="10">
        <f t="shared" si="0"/>
        <v>503</v>
      </c>
      <c r="B506" s="10" t="s">
        <v>1404</v>
      </c>
      <c r="C506" s="24" t="s">
        <v>1405</v>
      </c>
      <c r="D506" s="10" t="s">
        <v>298</v>
      </c>
      <c r="E506" s="10" t="s">
        <v>2</v>
      </c>
      <c r="F506" s="11" t="s">
        <v>1406</v>
      </c>
      <c r="G506" s="11"/>
      <c r="H506" s="11"/>
      <c r="I506" s="11">
        <v>1950</v>
      </c>
      <c r="J506" s="11" t="s">
        <v>724</v>
      </c>
      <c r="K506" s="15" t="s">
        <v>725</v>
      </c>
      <c r="L506" s="15" t="str">
        <f>HYPERLINK("https://drive.google.com/open?id=1UPYUQLWfROUzX4NNe8z7tzjsXTjCkvm3","Сертифікат")</f>
        <v>Сертифікат</v>
      </c>
      <c r="M506" s="11" t="s">
        <v>26</v>
      </c>
      <c r="N506" s="10">
        <v>520.5</v>
      </c>
      <c r="O506" s="10">
        <v>1572</v>
      </c>
      <c r="P506" s="10">
        <v>1</v>
      </c>
      <c r="Q506" s="10">
        <v>145.19999999999999</v>
      </c>
      <c r="R506" s="10" t="s">
        <v>66</v>
      </c>
      <c r="S506" s="10">
        <v>532.4</v>
      </c>
      <c r="T506" s="10">
        <v>130.4</v>
      </c>
      <c r="U506" s="29">
        <v>43705</v>
      </c>
      <c r="V506" s="29">
        <v>47357</v>
      </c>
      <c r="W506" s="10" t="s">
        <v>10</v>
      </c>
      <c r="X506" s="10" t="s">
        <v>17</v>
      </c>
    </row>
    <row r="507" spans="1:24" ht="45" customHeight="1" x14ac:dyDescent="0.25">
      <c r="A507" s="10">
        <f t="shared" si="0"/>
        <v>504</v>
      </c>
      <c r="B507" s="11" t="s">
        <v>1407</v>
      </c>
      <c r="C507" s="10" t="s">
        <v>1408</v>
      </c>
      <c r="D507" s="10" t="s">
        <v>69</v>
      </c>
      <c r="E507" s="10" t="s">
        <v>2</v>
      </c>
      <c r="F507" s="11" t="s">
        <v>1409</v>
      </c>
      <c r="G507" s="11"/>
      <c r="H507" s="11"/>
      <c r="I507" s="11">
        <v>2019</v>
      </c>
      <c r="J507" s="11" t="s">
        <v>609</v>
      </c>
      <c r="K507" s="15" t="str">
        <f>HYPERLINK("https://drive.google.com/open?id=1MmGP6rtYcZwVyIqDA-ykUrezieQsOMPg","ОД 000024")</f>
        <v>ОД 000024</v>
      </c>
      <c r="L507" s="15" t="str">
        <f>HYPERLINK("https://drive.google.com/open?id=1b-Ykc0xtFYJ8KF-2bHjiNtsogk4UAcoK","Сертифікат")</f>
        <v>Сертифікат</v>
      </c>
      <c r="M507" s="11" t="s">
        <v>18</v>
      </c>
      <c r="N507" s="10">
        <v>793</v>
      </c>
      <c r="O507" s="10">
        <v>3374.5</v>
      </c>
      <c r="P507" s="10">
        <v>2</v>
      </c>
      <c r="Q507" s="10">
        <v>56.4</v>
      </c>
      <c r="R507" s="10" t="s">
        <v>66</v>
      </c>
      <c r="S507" s="10">
        <v>366.5</v>
      </c>
      <c r="T507" s="10">
        <v>71.400000000000006</v>
      </c>
      <c r="U507" s="29">
        <v>43711</v>
      </c>
      <c r="V507" s="29">
        <v>47363</v>
      </c>
      <c r="W507" s="10" t="s">
        <v>10</v>
      </c>
      <c r="X507" s="10" t="s">
        <v>17</v>
      </c>
    </row>
    <row r="508" spans="1:24" ht="45" customHeight="1" x14ac:dyDescent="0.25">
      <c r="A508" s="10">
        <f t="shared" si="0"/>
        <v>505</v>
      </c>
      <c r="B508" s="11" t="s">
        <v>1410</v>
      </c>
      <c r="C508" s="10" t="s">
        <v>386</v>
      </c>
      <c r="D508" s="10" t="s">
        <v>79</v>
      </c>
      <c r="E508" s="10" t="s">
        <v>3</v>
      </c>
      <c r="F508" s="11" t="s">
        <v>1411</v>
      </c>
      <c r="G508" s="11"/>
      <c r="H508" s="11"/>
      <c r="I508" s="11">
        <v>1963</v>
      </c>
      <c r="J508" s="11" t="s">
        <v>54</v>
      </c>
      <c r="K508" s="15" t="str">
        <f t="shared" ref="K508:K509" si="27">HYPERLINK("https://drive.google.com/open?id=12WC1Bu_lEABhJzMA7VMSl0Xd5ugZr4vK","АА000002")</f>
        <v>АА000002</v>
      </c>
      <c r="L508" s="15" t="str">
        <f>HYPERLINK("https://drive.google.com/open?id=1EVQa42eEC37QxjD53RUFxKPPo3k78mmM","Сертифікат")</f>
        <v>Сертифікат</v>
      </c>
      <c r="M508" s="11" t="s">
        <v>26</v>
      </c>
      <c r="N508" s="10">
        <v>1351</v>
      </c>
      <c r="O508" s="10">
        <v>4728</v>
      </c>
      <c r="P508" s="10">
        <v>2</v>
      </c>
      <c r="Q508" s="10">
        <v>94.59</v>
      </c>
      <c r="R508" s="10" t="s">
        <v>66</v>
      </c>
      <c r="S508" s="10">
        <v>458</v>
      </c>
      <c r="T508" s="10">
        <v>125</v>
      </c>
      <c r="U508" s="29">
        <v>43615</v>
      </c>
      <c r="V508" s="29">
        <v>47267</v>
      </c>
      <c r="W508" s="10" t="s">
        <v>10</v>
      </c>
      <c r="X508" s="10" t="s">
        <v>17</v>
      </c>
    </row>
    <row r="509" spans="1:24" ht="45" customHeight="1" x14ac:dyDescent="0.25">
      <c r="A509" s="10">
        <f t="shared" si="0"/>
        <v>506</v>
      </c>
      <c r="B509" s="11" t="s">
        <v>1412</v>
      </c>
      <c r="C509" s="10" t="s">
        <v>386</v>
      </c>
      <c r="D509" s="10" t="s">
        <v>79</v>
      </c>
      <c r="E509" s="10" t="s">
        <v>3</v>
      </c>
      <c r="F509" s="11" t="s">
        <v>1413</v>
      </c>
      <c r="G509" s="11"/>
      <c r="H509" s="11"/>
      <c r="I509" s="11">
        <v>1973</v>
      </c>
      <c r="J509" s="11" t="s">
        <v>54</v>
      </c>
      <c r="K509" s="15" t="str">
        <f t="shared" si="27"/>
        <v>АА000002</v>
      </c>
      <c r="L509" s="15" t="str">
        <f>HYPERLINK("https://drive.google.com/open?id=1fUoFFEAi45TDo8lgshuUL6G3EN_avpSL","Сертифікат")</f>
        <v>Сертифікат</v>
      </c>
      <c r="M509" s="11" t="s">
        <v>26</v>
      </c>
      <c r="N509" s="10">
        <v>891</v>
      </c>
      <c r="O509" s="10">
        <v>6047</v>
      </c>
      <c r="P509" s="10">
        <v>1</v>
      </c>
      <c r="Q509" s="10">
        <v>87</v>
      </c>
      <c r="R509" s="10" t="s">
        <v>66</v>
      </c>
      <c r="S509" s="10">
        <v>705</v>
      </c>
      <c r="T509" s="10">
        <v>176</v>
      </c>
      <c r="U509" s="29">
        <v>43615</v>
      </c>
      <c r="V509" s="29">
        <v>47267</v>
      </c>
      <c r="W509" s="10" t="s">
        <v>10</v>
      </c>
      <c r="X509" s="10" t="s">
        <v>17</v>
      </c>
    </row>
    <row r="510" spans="1:24" ht="45" customHeight="1" x14ac:dyDescent="0.25">
      <c r="A510" s="10">
        <f t="shared" si="0"/>
        <v>507</v>
      </c>
      <c r="B510" s="11" t="s">
        <v>1414</v>
      </c>
      <c r="C510" s="10" t="s">
        <v>1415</v>
      </c>
      <c r="D510" s="10" t="s">
        <v>86</v>
      </c>
      <c r="E510" s="10" t="s">
        <v>0</v>
      </c>
      <c r="F510" s="11" t="s">
        <v>1416</v>
      </c>
      <c r="G510" s="11"/>
      <c r="H510" s="11"/>
      <c r="I510" s="11">
        <v>1966</v>
      </c>
      <c r="J510" s="11" t="s">
        <v>64</v>
      </c>
      <c r="K510" s="15" t="str">
        <f t="shared" ref="K510:K511" si="28">HYPERLINK("https://drive.google.com/open?id=1-fr_zsf-7fSXhRxegEztRfDKVGALmS4z","АА000004")</f>
        <v>АА000004</v>
      </c>
      <c r="L510" s="15" t="str">
        <f>HYPERLINK("https://drive.google.com/open?id=1qPfcMx6_2vX8CtNHMCPzuQU7zIGgciSM","Сертифікат")</f>
        <v>Сертифікат</v>
      </c>
      <c r="M510" s="11" t="s">
        <v>26</v>
      </c>
      <c r="N510" s="10">
        <v>9458</v>
      </c>
      <c r="O510" s="10">
        <v>26009</v>
      </c>
      <c r="P510" s="10">
        <v>5</v>
      </c>
      <c r="Q510" s="10">
        <v>190</v>
      </c>
      <c r="R510" s="10" t="s">
        <v>57</v>
      </c>
      <c r="S510" s="10">
        <v>250.8</v>
      </c>
      <c r="T510" s="10">
        <v>63.55</v>
      </c>
      <c r="U510" s="29">
        <v>43704</v>
      </c>
      <c r="V510" s="29">
        <v>47356</v>
      </c>
      <c r="W510" s="10" t="s">
        <v>10</v>
      </c>
      <c r="X510" s="10" t="s">
        <v>17</v>
      </c>
    </row>
    <row r="511" spans="1:24" ht="45" customHeight="1" x14ac:dyDescent="0.25">
      <c r="A511" s="10">
        <f t="shared" si="0"/>
        <v>508</v>
      </c>
      <c r="B511" s="11" t="s">
        <v>1417</v>
      </c>
      <c r="C511" s="10" t="s">
        <v>1415</v>
      </c>
      <c r="D511" s="10" t="s">
        <v>86</v>
      </c>
      <c r="E511" s="10" t="s">
        <v>0</v>
      </c>
      <c r="F511" s="11" t="s">
        <v>1418</v>
      </c>
      <c r="G511" s="11"/>
      <c r="H511" s="11"/>
      <c r="I511" s="11">
        <v>1966</v>
      </c>
      <c r="J511" s="11" t="s">
        <v>64</v>
      </c>
      <c r="K511" s="15" t="str">
        <f t="shared" si="28"/>
        <v>АА000004</v>
      </c>
      <c r="L511" s="15" t="str">
        <f>HYPERLINK("https://drive.google.com/open?id=1XrFxqDqUXHKQJNv9pU1ycDuxjNbd8yR7","Сертифікат")</f>
        <v>Сертифікат</v>
      </c>
      <c r="M511" s="11" t="s">
        <v>26</v>
      </c>
      <c r="N511" s="10">
        <v>7722</v>
      </c>
      <c r="O511" s="10">
        <v>21237</v>
      </c>
      <c r="P511" s="10">
        <v>5</v>
      </c>
      <c r="Q511" s="10">
        <v>190</v>
      </c>
      <c r="R511" s="10" t="s">
        <v>57</v>
      </c>
      <c r="S511" s="10">
        <v>251</v>
      </c>
      <c r="T511" s="10">
        <v>63</v>
      </c>
      <c r="U511" s="29">
        <v>43704</v>
      </c>
      <c r="V511" s="29">
        <v>47356</v>
      </c>
      <c r="W511" s="10" t="s">
        <v>10</v>
      </c>
      <c r="X511" s="10" t="s">
        <v>17</v>
      </c>
    </row>
    <row r="512" spans="1:24" ht="45" customHeight="1" x14ac:dyDescent="0.25">
      <c r="A512" s="10">
        <f t="shared" si="0"/>
        <v>509</v>
      </c>
      <c r="B512" s="11" t="s">
        <v>1419</v>
      </c>
      <c r="C512" s="10" t="s">
        <v>1420</v>
      </c>
      <c r="D512" s="10" t="s">
        <v>298</v>
      </c>
      <c r="E512" s="10" t="s">
        <v>2</v>
      </c>
      <c r="F512" s="11" t="s">
        <v>1421</v>
      </c>
      <c r="G512" s="11"/>
      <c r="H512" s="11"/>
      <c r="I512" s="11">
        <v>1939</v>
      </c>
      <c r="J512" s="11" t="s">
        <v>724</v>
      </c>
      <c r="K512" s="15" t="s">
        <v>725</v>
      </c>
      <c r="L512" s="15" t="str">
        <f>HYPERLINK("https://drive.google.com/open?id=1gVjECfVBCOeEBsWoBoyhZlcpfwYf-2TS","Сертифікат")</f>
        <v>Сертифікат</v>
      </c>
      <c r="M512" s="11" t="s">
        <v>20</v>
      </c>
      <c r="N512" s="10">
        <v>282.10000000000002</v>
      </c>
      <c r="O512" s="10">
        <v>987</v>
      </c>
      <c r="P512" s="10">
        <v>1</v>
      </c>
      <c r="Q512" s="10">
        <v>73.099999999999994</v>
      </c>
      <c r="R512" s="10" t="s">
        <v>66</v>
      </c>
      <c r="S512" s="10">
        <v>407.7</v>
      </c>
      <c r="T512" s="10">
        <v>127.2</v>
      </c>
      <c r="U512" s="29">
        <v>43696</v>
      </c>
      <c r="V512" s="29">
        <v>47348</v>
      </c>
      <c r="W512" s="10" t="s">
        <v>13</v>
      </c>
      <c r="X512" s="10" t="s">
        <v>17</v>
      </c>
    </row>
    <row r="513" spans="1:24" ht="45" customHeight="1" x14ac:dyDescent="0.25">
      <c r="A513" s="10">
        <f t="shared" si="0"/>
        <v>510</v>
      </c>
      <c r="B513" s="11" t="s">
        <v>1423</v>
      </c>
      <c r="C513" s="10" t="s">
        <v>345</v>
      </c>
      <c r="D513" s="10" t="s">
        <v>79</v>
      </c>
      <c r="E513" s="10" t="s">
        <v>4</v>
      </c>
      <c r="F513" s="11" t="s">
        <v>1424</v>
      </c>
      <c r="G513" s="11"/>
      <c r="H513" s="11"/>
      <c r="I513" s="11">
        <v>1968</v>
      </c>
      <c r="J513" s="11" t="s">
        <v>981</v>
      </c>
      <c r="K513" s="15" t="str">
        <f>HYPERLINK("https://drive.google.com/open?id=1IDQuQux79NT0xtRrkfgG6JOgxOamY1Vd","АА000036")</f>
        <v>АА000036</v>
      </c>
      <c r="L513" s="15" t="str">
        <f>HYPERLINK("https://drive.google.com/open?id=1wPZsbX3XtRrTfcYaEhxniesWicueXbPp","Сертифікат")</f>
        <v>Сертифікат</v>
      </c>
      <c r="M513" s="11" t="s">
        <v>20</v>
      </c>
      <c r="N513" s="10">
        <v>628</v>
      </c>
      <c r="O513" s="10">
        <v>2041</v>
      </c>
      <c r="P513" s="10">
        <v>2</v>
      </c>
      <c r="Q513" s="10">
        <v>68.099999999999994</v>
      </c>
      <c r="R513" s="10" t="s">
        <v>66</v>
      </c>
      <c r="S513" s="10">
        <v>404</v>
      </c>
      <c r="T513" s="10">
        <v>77</v>
      </c>
      <c r="U513" s="29">
        <v>43711</v>
      </c>
      <c r="V513" s="29">
        <v>47363</v>
      </c>
      <c r="W513" s="10" t="s">
        <v>10</v>
      </c>
      <c r="X513" s="10" t="s">
        <v>17</v>
      </c>
    </row>
    <row r="514" spans="1:24" ht="45" customHeight="1" x14ac:dyDescent="0.25">
      <c r="A514" s="10">
        <f t="shared" si="0"/>
        <v>511</v>
      </c>
      <c r="B514" s="11" t="s">
        <v>1425</v>
      </c>
      <c r="C514" s="10" t="s">
        <v>1426</v>
      </c>
      <c r="D514" s="10" t="s">
        <v>142</v>
      </c>
      <c r="E514" s="10" t="s">
        <v>3</v>
      </c>
      <c r="F514" s="11" t="s">
        <v>1427</v>
      </c>
      <c r="G514" s="11"/>
      <c r="H514" s="11"/>
      <c r="I514" s="11">
        <v>2019</v>
      </c>
      <c r="J514" s="11" t="s">
        <v>1168</v>
      </c>
      <c r="K514" s="15" t="str">
        <f t="shared" ref="K514:K515" si="29">HYPERLINK("https://drive.google.com/open?id=1p9-CAvb25eEFXx-ZGZxFLdbBwKVF2c7Y","ЕЕ-001-10-18")</f>
        <v>ЕЕ-001-10-18</v>
      </c>
      <c r="L514" s="15" t="str">
        <f>HYPERLINK("https://drive.google.com/open?id=1cALwmec-xdsOvaRRY2mqA7YzSoAdNGOz","Сертифікат")</f>
        <v>Сертифікат</v>
      </c>
      <c r="M514" s="11" t="s">
        <v>22</v>
      </c>
      <c r="N514" s="10">
        <v>4832.26</v>
      </c>
      <c r="O514" s="10">
        <v>17098</v>
      </c>
      <c r="P514" s="10">
        <v>3</v>
      </c>
      <c r="Q514" s="10">
        <v>48.3</v>
      </c>
      <c r="R514" s="10" t="s">
        <v>66</v>
      </c>
      <c r="S514" s="10">
        <v>85</v>
      </c>
      <c r="T514" s="10">
        <v>16</v>
      </c>
      <c r="U514" s="29">
        <v>43708</v>
      </c>
      <c r="V514" s="29">
        <v>47360</v>
      </c>
      <c r="W514" s="10" t="s">
        <v>13</v>
      </c>
      <c r="X514" s="10" t="s">
        <v>17</v>
      </c>
    </row>
    <row r="515" spans="1:24" ht="45" customHeight="1" x14ac:dyDescent="0.25">
      <c r="A515" s="10">
        <f t="shared" si="0"/>
        <v>512</v>
      </c>
      <c r="B515" s="11" t="s">
        <v>1428</v>
      </c>
      <c r="C515" s="10" t="s">
        <v>85</v>
      </c>
      <c r="D515" s="10" t="s">
        <v>85</v>
      </c>
      <c r="E515" s="10" t="s">
        <v>0</v>
      </c>
      <c r="F515" s="11" t="s">
        <v>1429</v>
      </c>
      <c r="G515" s="11"/>
      <c r="H515" s="11"/>
      <c r="I515" s="11">
        <v>2019</v>
      </c>
      <c r="J515" s="11" t="s">
        <v>1168</v>
      </c>
      <c r="K515" s="15" t="str">
        <f t="shared" si="29"/>
        <v>ЕЕ-001-10-18</v>
      </c>
      <c r="L515" s="15" t="str">
        <f>HYPERLINK("https://drive.google.com/open?id=1_N_Zudh1pzSF-0ddKIE2lValzAU0Qvqm","Сертифікат")</f>
        <v>Сертифікат</v>
      </c>
      <c r="M515" s="11" t="s">
        <v>24</v>
      </c>
      <c r="N515" s="10">
        <v>11455.9</v>
      </c>
      <c r="O515" s="10">
        <v>34226</v>
      </c>
      <c r="P515" s="10">
        <v>14</v>
      </c>
      <c r="Q515" s="10">
        <v>148.30000000000001</v>
      </c>
      <c r="R515" s="10" t="s">
        <v>57</v>
      </c>
      <c r="S515" s="10">
        <v>204</v>
      </c>
      <c r="T515" s="10">
        <v>40</v>
      </c>
      <c r="U515" s="29">
        <v>43711</v>
      </c>
      <c r="V515" s="29">
        <v>47363</v>
      </c>
      <c r="W515" s="10" t="s">
        <v>13</v>
      </c>
      <c r="X515" s="10" t="s">
        <v>17</v>
      </c>
    </row>
    <row r="516" spans="1:24" ht="45" customHeight="1" x14ac:dyDescent="0.25">
      <c r="A516" s="10">
        <f t="shared" si="0"/>
        <v>513</v>
      </c>
      <c r="B516" s="11" t="s">
        <v>1430</v>
      </c>
      <c r="C516" s="47" t="s">
        <v>1431</v>
      </c>
      <c r="D516" s="10" t="s">
        <v>142</v>
      </c>
      <c r="E516" s="10" t="s">
        <v>3</v>
      </c>
      <c r="F516" s="11" t="s">
        <v>1432</v>
      </c>
      <c r="G516" s="11"/>
      <c r="H516" s="11"/>
      <c r="I516" s="11">
        <v>1900</v>
      </c>
      <c r="J516" s="11" t="s">
        <v>1285</v>
      </c>
      <c r="K516" s="15" t="s">
        <v>1286</v>
      </c>
      <c r="L516" s="15" t="str">
        <f>HYPERLINK("https://drive.google.com/open?id=1OHFfvpaevJiVfLF72438YvdfzuMmzffU","Сертифікат")</f>
        <v>Сертифікат</v>
      </c>
      <c r="M516" s="11" t="s">
        <v>26</v>
      </c>
      <c r="N516" s="10">
        <v>1020</v>
      </c>
      <c r="O516" s="10">
        <v>3367</v>
      </c>
      <c r="P516" s="31">
        <v>43497</v>
      </c>
      <c r="Q516" s="10">
        <v>69</v>
      </c>
      <c r="R516" s="10" t="s">
        <v>66</v>
      </c>
      <c r="S516" s="10">
        <v>320</v>
      </c>
      <c r="T516" s="10">
        <v>60</v>
      </c>
      <c r="U516" s="29">
        <v>43706</v>
      </c>
      <c r="V516" s="29">
        <v>47389</v>
      </c>
      <c r="W516" s="10" t="s">
        <v>10</v>
      </c>
      <c r="X516" s="10" t="s">
        <v>17</v>
      </c>
    </row>
    <row r="517" spans="1:24" ht="45" customHeight="1" x14ac:dyDescent="0.25">
      <c r="A517" s="10">
        <f t="shared" si="0"/>
        <v>514</v>
      </c>
      <c r="B517" s="11" t="s">
        <v>1433</v>
      </c>
      <c r="C517" s="52" t="s">
        <v>1434</v>
      </c>
      <c r="D517" s="10" t="s">
        <v>103</v>
      </c>
      <c r="E517" s="10" t="s">
        <v>3</v>
      </c>
      <c r="F517" s="11" t="s">
        <v>1435</v>
      </c>
      <c r="G517" s="11"/>
      <c r="H517" s="11"/>
      <c r="I517" s="11">
        <v>1968</v>
      </c>
      <c r="J517" s="10" t="s">
        <v>225</v>
      </c>
      <c r="K517" s="15" t="s">
        <v>226</v>
      </c>
      <c r="L517" s="15" t="str">
        <f>HYPERLINK("https://drive.google.com/open?id=1I9a7_2R44usyhy2pFWiClxqV8GI2q0QC","Сертифікат")</f>
        <v>Сертифікат</v>
      </c>
      <c r="M517" s="11" t="s">
        <v>26</v>
      </c>
      <c r="N517" s="10">
        <v>3366</v>
      </c>
      <c r="O517" s="10">
        <v>18157</v>
      </c>
      <c r="P517" s="10">
        <v>3</v>
      </c>
      <c r="Q517" s="10">
        <v>61</v>
      </c>
      <c r="R517" s="10" t="s">
        <v>66</v>
      </c>
      <c r="S517" s="10">
        <v>416</v>
      </c>
      <c r="T517" s="10">
        <v>82</v>
      </c>
      <c r="U517" s="29">
        <v>43711</v>
      </c>
      <c r="V517" s="29">
        <v>47363</v>
      </c>
      <c r="W517" s="10" t="s">
        <v>10</v>
      </c>
      <c r="X517" s="10" t="s">
        <v>17</v>
      </c>
    </row>
    <row r="518" spans="1:24" ht="45" customHeight="1" x14ac:dyDescent="0.25">
      <c r="A518" s="10">
        <f t="shared" si="0"/>
        <v>515</v>
      </c>
      <c r="B518" s="11" t="s">
        <v>1436</v>
      </c>
      <c r="C518" s="47" t="s">
        <v>1437</v>
      </c>
      <c r="D518" s="10" t="s">
        <v>174</v>
      </c>
      <c r="E518" s="10" t="s">
        <v>5</v>
      </c>
      <c r="F518" s="11" t="s">
        <v>1438</v>
      </c>
      <c r="G518" s="11"/>
      <c r="H518" s="11"/>
      <c r="I518" s="11" t="s">
        <v>157</v>
      </c>
      <c r="J518" s="11" t="s">
        <v>724</v>
      </c>
      <c r="K518" s="15" t="str">
        <f t="shared" ref="K518:K521" si="30">HYPERLINK("https://drive.google.com/open?id=1oKOZor5DyF6OVwkcYZr0z1iqaNRs9ITY","АА000072")</f>
        <v>АА000072</v>
      </c>
      <c r="L518" s="15" t="str">
        <f>HYPERLINK("https://drive.google.com/open?id=12e-EMD2v6R4ChokKNHoXJ5zroCglQLqM","Сертифікат")</f>
        <v>Сертифікат</v>
      </c>
      <c r="M518" s="11" t="s">
        <v>24</v>
      </c>
      <c r="N518" s="10">
        <v>878.2</v>
      </c>
      <c r="O518" s="10">
        <v>2433</v>
      </c>
      <c r="P518" s="10">
        <v>2</v>
      </c>
      <c r="Q518" s="10">
        <v>86.7</v>
      </c>
      <c r="R518" s="10" t="s">
        <v>66</v>
      </c>
      <c r="S518" s="10">
        <v>405</v>
      </c>
      <c r="T518" s="10">
        <v>130</v>
      </c>
      <c r="U518" s="29">
        <v>43713</v>
      </c>
      <c r="V518" s="29">
        <v>47365</v>
      </c>
      <c r="W518" s="10" t="s">
        <v>10</v>
      </c>
      <c r="X518" s="10" t="s">
        <v>17</v>
      </c>
    </row>
    <row r="519" spans="1:24" ht="45" customHeight="1" x14ac:dyDescent="0.25">
      <c r="A519" s="10">
        <f t="shared" si="0"/>
        <v>516</v>
      </c>
      <c r="B519" s="11" t="s">
        <v>1439</v>
      </c>
      <c r="C519" s="10" t="s">
        <v>182</v>
      </c>
      <c r="D519" s="10" t="s">
        <v>174</v>
      </c>
      <c r="E519" s="10" t="s">
        <v>5</v>
      </c>
      <c r="F519" s="11" t="s">
        <v>1440</v>
      </c>
      <c r="G519" s="11"/>
      <c r="H519" s="11"/>
      <c r="I519" s="11">
        <v>1975</v>
      </c>
      <c r="J519" s="11" t="s">
        <v>724</v>
      </c>
      <c r="K519" s="15" t="str">
        <f t="shared" si="30"/>
        <v>АА000072</v>
      </c>
      <c r="L519" s="15" t="str">
        <f>HYPERLINK("https://drive.google.com/open?id=1nKNpMK3c2s-uLzo1t2Tl4Exnl3MdAmjk","Сертифікат")</f>
        <v>Сертифікат</v>
      </c>
      <c r="M519" s="11" t="s">
        <v>26</v>
      </c>
      <c r="N519" s="10">
        <v>369.4</v>
      </c>
      <c r="O519" s="10">
        <v>1319</v>
      </c>
      <c r="P519" s="10">
        <v>1</v>
      </c>
      <c r="Q519" s="10">
        <v>141.69999999999999</v>
      </c>
      <c r="R519" s="10" t="s">
        <v>66</v>
      </c>
      <c r="S519" s="10">
        <v>785.8</v>
      </c>
      <c r="T519" s="10">
        <v>226.9</v>
      </c>
      <c r="U519" s="29">
        <v>43713</v>
      </c>
      <c r="V519" s="29">
        <v>47365</v>
      </c>
      <c r="W519" s="10" t="s">
        <v>10</v>
      </c>
      <c r="X519" s="10" t="s">
        <v>17</v>
      </c>
    </row>
    <row r="520" spans="1:24" ht="45" customHeight="1" x14ac:dyDescent="0.25">
      <c r="A520" s="10">
        <f t="shared" si="0"/>
        <v>517</v>
      </c>
      <c r="B520" s="11" t="s">
        <v>1441</v>
      </c>
      <c r="C520" s="10" t="s">
        <v>1442</v>
      </c>
      <c r="D520" s="10" t="s">
        <v>174</v>
      </c>
      <c r="E520" s="10" t="s">
        <v>5</v>
      </c>
      <c r="F520" s="11" t="s">
        <v>1443</v>
      </c>
      <c r="G520" s="11"/>
      <c r="H520" s="11"/>
      <c r="I520" s="11">
        <v>1979</v>
      </c>
      <c r="J520" s="11" t="s">
        <v>724</v>
      </c>
      <c r="K520" s="15" t="str">
        <f t="shared" si="30"/>
        <v>АА000072</v>
      </c>
      <c r="L520" s="15" t="str">
        <f>HYPERLINK("https://drive.google.com/open?id=1rSiyarNUoYtDEBZe55yc0s_trO_JhraD","Сертифікат")</f>
        <v>Сертифікат</v>
      </c>
      <c r="M520" s="11" t="s">
        <v>26</v>
      </c>
      <c r="N520" s="10">
        <v>1965.9</v>
      </c>
      <c r="O520" s="10">
        <v>5832</v>
      </c>
      <c r="P520" s="10">
        <v>3</v>
      </c>
      <c r="Q520" s="10">
        <v>117.9</v>
      </c>
      <c r="R520" s="10" t="s">
        <v>66</v>
      </c>
      <c r="S520" s="10">
        <v>611.4</v>
      </c>
      <c r="T520" s="10">
        <v>175.8</v>
      </c>
      <c r="U520" s="29">
        <v>43713</v>
      </c>
      <c r="V520" s="29">
        <v>47365</v>
      </c>
      <c r="W520" s="10" t="s">
        <v>10</v>
      </c>
      <c r="X520" s="10" t="s">
        <v>17</v>
      </c>
    </row>
    <row r="521" spans="1:24" ht="45" customHeight="1" x14ac:dyDescent="0.25">
      <c r="A521" s="10">
        <f t="shared" si="0"/>
        <v>518</v>
      </c>
      <c r="B521" s="11" t="s">
        <v>1444</v>
      </c>
      <c r="C521" s="10" t="s">
        <v>1445</v>
      </c>
      <c r="D521" s="10" t="s">
        <v>174</v>
      </c>
      <c r="E521" s="10" t="s">
        <v>5</v>
      </c>
      <c r="F521" s="11" t="s">
        <v>1446</v>
      </c>
      <c r="G521" s="11"/>
      <c r="H521" s="11"/>
      <c r="I521" s="11" t="s">
        <v>1447</v>
      </c>
      <c r="J521" s="11" t="s">
        <v>724</v>
      </c>
      <c r="K521" s="15" t="str">
        <f t="shared" si="30"/>
        <v>АА000072</v>
      </c>
      <c r="L521" s="15" t="str">
        <f>HYPERLINK("https://drive.google.com/open?id=1zp8RSo-ytSQmA1Jm0hk7aA4kBdTYOin1","Сертифікат")</f>
        <v>Сертифікат</v>
      </c>
      <c r="M521" s="11" t="s">
        <v>26</v>
      </c>
      <c r="N521" s="10">
        <v>561.79999999999995</v>
      </c>
      <c r="O521" s="10">
        <v>1806</v>
      </c>
      <c r="P521" s="10">
        <v>2</v>
      </c>
      <c r="Q521" s="10">
        <v>201.7</v>
      </c>
      <c r="R521" s="10" t="s">
        <v>66</v>
      </c>
      <c r="S521" s="10">
        <v>912.1</v>
      </c>
      <c r="T521" s="10">
        <v>248.7</v>
      </c>
      <c r="U521" s="29">
        <v>43713</v>
      </c>
      <c r="V521" s="29">
        <v>47365</v>
      </c>
      <c r="W521" s="10" t="s">
        <v>10</v>
      </c>
      <c r="X521" s="10" t="s">
        <v>17</v>
      </c>
    </row>
    <row r="522" spans="1:24" ht="45" customHeight="1" x14ac:dyDescent="0.25">
      <c r="A522" s="10">
        <f t="shared" si="0"/>
        <v>519</v>
      </c>
      <c r="B522" s="11" t="s">
        <v>1448</v>
      </c>
      <c r="C522" s="10" t="s">
        <v>102</v>
      </c>
      <c r="D522" s="10" t="s">
        <v>103</v>
      </c>
      <c r="E522" s="10" t="s">
        <v>0</v>
      </c>
      <c r="F522" s="11" t="s">
        <v>1449</v>
      </c>
      <c r="G522" s="11"/>
      <c r="H522" s="11"/>
      <c r="I522" s="11">
        <v>1979</v>
      </c>
      <c r="J522" s="10" t="s">
        <v>225</v>
      </c>
      <c r="K522" s="15" t="s">
        <v>226</v>
      </c>
      <c r="L522" s="15" t="str">
        <f>HYPERLINK("https://drive.google.com/open?id=1IJVXDSgOh0iCRV2_fX510GZ86KFYYK_y","Сертифікат")</f>
        <v>Сертифікат</v>
      </c>
      <c r="M522" s="11" t="s">
        <v>24</v>
      </c>
      <c r="N522" s="10">
        <v>17442.900000000001</v>
      </c>
      <c r="O522" s="10">
        <v>50778.2</v>
      </c>
      <c r="P522" s="10">
        <v>9</v>
      </c>
      <c r="Q522" s="10">
        <v>143</v>
      </c>
      <c r="R522" s="10" t="s">
        <v>57</v>
      </c>
      <c r="S522" s="10">
        <v>190</v>
      </c>
      <c r="T522" s="10">
        <v>38</v>
      </c>
      <c r="U522" s="29">
        <v>43712</v>
      </c>
      <c r="V522" s="29">
        <v>47364</v>
      </c>
      <c r="W522" s="10" t="s">
        <v>13</v>
      </c>
      <c r="X522" s="10" t="s">
        <v>17</v>
      </c>
    </row>
    <row r="523" spans="1:24" ht="45" customHeight="1" x14ac:dyDescent="0.25">
      <c r="A523" s="10">
        <f t="shared" si="0"/>
        <v>520</v>
      </c>
      <c r="B523" s="11" t="s">
        <v>1450</v>
      </c>
      <c r="C523" s="10" t="s">
        <v>1451</v>
      </c>
      <c r="D523" s="10" t="s">
        <v>142</v>
      </c>
      <c r="E523" s="10" t="s">
        <v>3</v>
      </c>
      <c r="F523" s="11" t="s">
        <v>1452</v>
      </c>
      <c r="G523" s="11"/>
      <c r="H523" s="11"/>
      <c r="I523" s="11">
        <v>1972</v>
      </c>
      <c r="J523" s="11" t="s">
        <v>1285</v>
      </c>
      <c r="K523" s="15" t="str">
        <f>HYPERLINK("https://drive.google.com/open?id=1VvGfORJ6L6VwYRUDV8aJ3Nq6jB6_9anA","СБ-0065")</f>
        <v>СБ-0065</v>
      </c>
      <c r="L523" s="15" t="str">
        <f>HYPERLINK("https://drive.google.com/open?id=1aD3rQUIPKy-mp62casYEARUwU3mJ5RYx","Сертифікат")</f>
        <v>Сертифікат</v>
      </c>
      <c r="M523" s="11" t="s">
        <v>26</v>
      </c>
      <c r="N523" s="10">
        <v>1483</v>
      </c>
      <c r="O523" s="10">
        <v>4449</v>
      </c>
      <c r="P523" s="10">
        <v>1.2</v>
      </c>
      <c r="Q523" s="10">
        <v>59</v>
      </c>
      <c r="R523" s="10" t="s">
        <v>66</v>
      </c>
      <c r="S523" s="10">
        <v>274</v>
      </c>
      <c r="T523" s="10">
        <v>53</v>
      </c>
      <c r="U523" s="29">
        <v>43707</v>
      </c>
      <c r="V523" s="29">
        <v>47359</v>
      </c>
      <c r="W523" s="10" t="s">
        <v>10</v>
      </c>
      <c r="X523" s="10" t="s">
        <v>14</v>
      </c>
    </row>
    <row r="524" spans="1:24" ht="45" customHeight="1" x14ac:dyDescent="0.25">
      <c r="A524" s="10">
        <f t="shared" si="0"/>
        <v>521</v>
      </c>
      <c r="B524" s="11" t="s">
        <v>1453</v>
      </c>
      <c r="C524" s="10" t="s">
        <v>1454</v>
      </c>
      <c r="D524" s="10" t="s">
        <v>86</v>
      </c>
      <c r="E524" s="10" t="s">
        <v>0</v>
      </c>
      <c r="F524" s="11" t="s">
        <v>1455</v>
      </c>
      <c r="G524" s="11"/>
      <c r="H524" s="11"/>
      <c r="I524" s="11" t="s">
        <v>1010</v>
      </c>
      <c r="J524" s="11" t="s">
        <v>1456</v>
      </c>
      <c r="K524" s="46" t="str">
        <f>HYPERLINK("https://drive.google.com/open?id=1PBOnKCbus-XFP8XF25x3RCuQnblcim0E","ЕЕ 00041")</f>
        <v>ЕЕ 00041</v>
      </c>
      <c r="L524" s="46" t="str">
        <f>HYPERLINK("https://drive.google.com/open?id=1H_lIbejV3TB2PHGgWfuIocdZSvPFRCxm","Сертифікат")</f>
        <v>Сертифікат</v>
      </c>
      <c r="M524" s="11" t="s">
        <v>22</v>
      </c>
      <c r="N524" s="10">
        <v>8498.5</v>
      </c>
      <c r="O524" s="10">
        <v>24326.7</v>
      </c>
      <c r="P524" s="10">
        <v>5</v>
      </c>
      <c r="Q524" s="10">
        <v>130.5</v>
      </c>
      <c r="R524" s="10" t="s">
        <v>57</v>
      </c>
      <c r="S524" s="10">
        <v>175</v>
      </c>
      <c r="T524" s="10">
        <v>34</v>
      </c>
      <c r="U524" s="29">
        <v>43706</v>
      </c>
      <c r="V524" s="29">
        <v>47358</v>
      </c>
      <c r="W524" s="10" t="s">
        <v>10</v>
      </c>
      <c r="X524" s="10" t="s">
        <v>17</v>
      </c>
    </row>
    <row r="525" spans="1:24" ht="45" customHeight="1" x14ac:dyDescent="0.25">
      <c r="A525" s="10">
        <f t="shared" si="0"/>
        <v>522</v>
      </c>
      <c r="B525" s="11" t="s">
        <v>1320</v>
      </c>
      <c r="C525" s="10" t="s">
        <v>357</v>
      </c>
      <c r="D525" s="10" t="s">
        <v>142</v>
      </c>
      <c r="E525" s="10" t="s">
        <v>5</v>
      </c>
      <c r="F525" s="11" t="s">
        <v>1457</v>
      </c>
      <c r="G525" s="11"/>
      <c r="H525" s="11"/>
      <c r="I525" s="11">
        <v>1978</v>
      </c>
      <c r="J525" s="11" t="s">
        <v>1458</v>
      </c>
      <c r="K525" s="15" t="str">
        <f t="shared" ref="K525:K527" si="31">HYPERLINK("https://drive.google.com/open?id=1OUFweNmmdWEHZeEEzNQOhrlfoP8fo4Sl","СБ-0074")</f>
        <v>СБ-0074</v>
      </c>
      <c r="L525" s="15" t="str">
        <f>HYPERLINK("https://drive.google.com/open?id=15p5L0opKdP181oWMEfiDnKOFcOHz46jM","Сертифікат")</f>
        <v>Сертифікат</v>
      </c>
      <c r="M525" s="11" t="s">
        <v>26</v>
      </c>
      <c r="N525" s="10">
        <v>2012</v>
      </c>
      <c r="O525" s="10">
        <v>6037</v>
      </c>
      <c r="P525" s="10">
        <v>2</v>
      </c>
      <c r="Q525" s="10">
        <v>100</v>
      </c>
      <c r="R525" s="10" t="s">
        <v>66</v>
      </c>
      <c r="S525" s="10">
        <v>609</v>
      </c>
      <c r="T525" s="10">
        <v>118</v>
      </c>
      <c r="U525" s="29">
        <v>43704</v>
      </c>
      <c r="V525" s="29">
        <v>47356</v>
      </c>
      <c r="W525" s="10" t="s">
        <v>10</v>
      </c>
      <c r="X525" s="10" t="s">
        <v>17</v>
      </c>
    </row>
    <row r="526" spans="1:24" ht="45" customHeight="1" x14ac:dyDescent="0.25">
      <c r="A526" s="10">
        <f t="shared" si="0"/>
        <v>523</v>
      </c>
      <c r="B526" s="11" t="s">
        <v>1459</v>
      </c>
      <c r="C526" s="10" t="s">
        <v>1460</v>
      </c>
      <c r="D526" s="10" t="s">
        <v>142</v>
      </c>
      <c r="E526" s="10" t="s">
        <v>5</v>
      </c>
      <c r="F526" s="11" t="s">
        <v>1461</v>
      </c>
      <c r="G526" s="11"/>
      <c r="H526" s="11"/>
      <c r="I526" s="11">
        <v>1980</v>
      </c>
      <c r="J526" s="11" t="s">
        <v>1458</v>
      </c>
      <c r="K526" s="15" t="str">
        <f t="shared" si="31"/>
        <v>СБ-0074</v>
      </c>
      <c r="L526" s="15" t="str">
        <f>HYPERLINK("https://drive.google.com/open?id=1iYlOhdn24kShke6gyj6NuclgIloMaWfZ","Сертифікат")</f>
        <v>Сертифікат</v>
      </c>
      <c r="M526" s="11" t="s">
        <v>24</v>
      </c>
      <c r="N526" s="10">
        <v>2484</v>
      </c>
      <c r="O526" s="10">
        <v>7452</v>
      </c>
      <c r="P526" s="10">
        <v>2</v>
      </c>
      <c r="Q526" s="10">
        <v>95</v>
      </c>
      <c r="R526" s="10" t="s">
        <v>66</v>
      </c>
      <c r="S526" s="10">
        <v>428</v>
      </c>
      <c r="T526" s="10">
        <v>84</v>
      </c>
      <c r="U526" s="29">
        <v>43710</v>
      </c>
      <c r="V526" s="29">
        <v>47362</v>
      </c>
      <c r="W526" s="10" t="s">
        <v>10</v>
      </c>
      <c r="X526" s="10" t="s">
        <v>17</v>
      </c>
    </row>
    <row r="527" spans="1:24" ht="45" customHeight="1" x14ac:dyDescent="0.25">
      <c r="A527" s="10">
        <f t="shared" si="0"/>
        <v>524</v>
      </c>
      <c r="B527" s="11" t="s">
        <v>1459</v>
      </c>
      <c r="C527" s="10" t="s">
        <v>1460</v>
      </c>
      <c r="D527" s="10" t="s">
        <v>142</v>
      </c>
      <c r="E527" s="10" t="s">
        <v>5</v>
      </c>
      <c r="F527" s="11" t="s">
        <v>1462</v>
      </c>
      <c r="G527" s="11"/>
      <c r="H527" s="11"/>
      <c r="I527" s="11">
        <v>1980</v>
      </c>
      <c r="J527" s="11" t="s">
        <v>1458</v>
      </c>
      <c r="K527" s="15" t="str">
        <f t="shared" si="31"/>
        <v>СБ-0074</v>
      </c>
      <c r="L527" s="15" t="str">
        <f>HYPERLINK("https://drive.google.com/open?id=19-ZEww01dZOgTv-pczOuLq1bRTkOiJSK","Сертифікат")</f>
        <v>Сертифікат</v>
      </c>
      <c r="M527" s="11" t="s">
        <v>24</v>
      </c>
      <c r="N527" s="10">
        <v>2371</v>
      </c>
      <c r="O527" s="10">
        <v>7114</v>
      </c>
      <c r="P527" s="31">
        <v>43497</v>
      </c>
      <c r="Q527" s="10">
        <v>93</v>
      </c>
      <c r="R527" s="10" t="s">
        <v>66</v>
      </c>
      <c r="S527" s="10">
        <v>405</v>
      </c>
      <c r="T527" s="10">
        <v>79</v>
      </c>
      <c r="U527" s="29">
        <v>43710</v>
      </c>
      <c r="V527" s="29">
        <v>47362</v>
      </c>
      <c r="W527" s="10" t="s">
        <v>10</v>
      </c>
      <c r="X527" s="10" t="s">
        <v>17</v>
      </c>
    </row>
    <row r="528" spans="1:24" ht="45" customHeight="1" x14ac:dyDescent="0.25">
      <c r="A528" s="10">
        <f t="shared" si="0"/>
        <v>525</v>
      </c>
      <c r="B528" s="11" t="s">
        <v>1463</v>
      </c>
      <c r="C528" s="10" t="s">
        <v>1451</v>
      </c>
      <c r="D528" s="10" t="s">
        <v>142</v>
      </c>
      <c r="E528" s="10" t="s">
        <v>3</v>
      </c>
      <c r="F528" s="11" t="s">
        <v>1464</v>
      </c>
      <c r="G528" s="11"/>
      <c r="H528" s="11"/>
      <c r="I528" s="11">
        <v>1980</v>
      </c>
      <c r="J528" s="11" t="s">
        <v>1285</v>
      </c>
      <c r="K528" s="15" t="str">
        <f>HYPERLINK("https://drive.google.com/open?id=1VvGfORJ6L6VwYRUDV8aJ3Nq6jB6_9anA","СБ-0065")</f>
        <v>СБ-0065</v>
      </c>
      <c r="L528" s="15" t="str">
        <f>HYPERLINK("https://drive.google.com/open?id=1ba0uTxiIYtdPzyhpePLKzJYDdYMw9oeC","Сертифікат")</f>
        <v>Сертифікат</v>
      </c>
      <c r="M528" s="11" t="s">
        <v>26</v>
      </c>
      <c r="N528" s="10">
        <v>397</v>
      </c>
      <c r="O528" s="10">
        <v>1842</v>
      </c>
      <c r="P528" s="10">
        <v>2</v>
      </c>
      <c r="Q528" s="10">
        <v>68</v>
      </c>
      <c r="R528" s="10" t="s">
        <v>66</v>
      </c>
      <c r="S528" s="10">
        <v>401</v>
      </c>
      <c r="T528" s="10">
        <v>79</v>
      </c>
      <c r="U528" s="29">
        <v>43707</v>
      </c>
      <c r="V528" s="29">
        <v>47359</v>
      </c>
      <c r="W528" s="10" t="s">
        <v>13</v>
      </c>
      <c r="X528" s="10" t="s">
        <v>17</v>
      </c>
    </row>
    <row r="529" spans="1:24" ht="45" customHeight="1" x14ac:dyDescent="0.25">
      <c r="A529" s="10">
        <f t="shared" si="0"/>
        <v>526</v>
      </c>
      <c r="B529" s="11" t="s">
        <v>1465</v>
      </c>
      <c r="C529" s="47" t="s">
        <v>1466</v>
      </c>
      <c r="D529" s="10" t="s">
        <v>285</v>
      </c>
      <c r="E529" s="10" t="s">
        <v>2</v>
      </c>
      <c r="F529" s="11" t="s">
        <v>1467</v>
      </c>
      <c r="G529" s="11"/>
      <c r="H529" s="11"/>
      <c r="I529" s="11" t="s">
        <v>1010</v>
      </c>
      <c r="J529" s="20" t="s">
        <v>1468</v>
      </c>
      <c r="K529" s="51" t="str">
        <f>HYPERLINK("https://drive.google.com/open?id=1BHIEAI9Lbv2xyJ2x60s6Wqa2wkTLn_kc","№ОРІ-АВ00017")</f>
        <v>№ОРІ-АВ00017</v>
      </c>
      <c r="L529" s="15" t="str">
        <f>HYPERLINK("https://drive.google.com/open?id=1ZHabJdi9xgnpCB1CM9vw9vVZJxbSP3yO","Сертифікат")</f>
        <v>Сертифікат</v>
      </c>
      <c r="M529" s="11" t="s">
        <v>18</v>
      </c>
      <c r="N529" s="10">
        <v>833.4</v>
      </c>
      <c r="O529" s="10">
        <v>4167</v>
      </c>
      <c r="P529" s="10">
        <v>2</v>
      </c>
      <c r="Q529" s="10">
        <v>57.9</v>
      </c>
      <c r="R529" s="10" t="s">
        <v>66</v>
      </c>
      <c r="S529" s="10">
        <v>604</v>
      </c>
      <c r="T529" s="10">
        <v>110</v>
      </c>
      <c r="U529" s="45">
        <v>43714</v>
      </c>
      <c r="V529" s="29">
        <v>47366</v>
      </c>
      <c r="W529" s="10" t="s">
        <v>13</v>
      </c>
      <c r="X529" s="10" t="s">
        <v>17</v>
      </c>
    </row>
    <row r="530" spans="1:24" ht="45" customHeight="1" x14ac:dyDescent="0.25">
      <c r="A530" s="10">
        <f t="shared" si="0"/>
        <v>527</v>
      </c>
      <c r="B530" s="11" t="s">
        <v>1469</v>
      </c>
      <c r="C530" s="10" t="s">
        <v>1470</v>
      </c>
      <c r="D530" s="10" t="s">
        <v>442</v>
      </c>
      <c r="E530" s="10" t="s">
        <v>0</v>
      </c>
      <c r="F530" s="11" t="s">
        <v>1471</v>
      </c>
      <c r="G530" s="11"/>
      <c r="H530" s="11"/>
      <c r="I530" s="11" t="s">
        <v>1010</v>
      </c>
      <c r="J530" s="11" t="s">
        <v>981</v>
      </c>
      <c r="K530" s="15" t="str">
        <f t="shared" ref="K530:K532" si="32">HYPERLINK("https://drive.google.com/open?id=1IDQuQux79NT0xtRrkfgG6JOgxOamY1Vd","АА000036")</f>
        <v>АА000036</v>
      </c>
      <c r="L530" s="15" t="str">
        <f>HYPERLINK("https://drive.google.com/open?id=1aELUpwTVH5g6DB20yiCJ74p_l38W7O2H","Сертифікат")</f>
        <v>Сертифікат</v>
      </c>
      <c r="M530" s="11" t="s">
        <v>20</v>
      </c>
      <c r="N530" s="10">
        <v>3097.4</v>
      </c>
      <c r="O530" s="10">
        <v>9774.7000000000007</v>
      </c>
      <c r="P530" s="10">
        <v>4</v>
      </c>
      <c r="Q530" s="10">
        <v>93.6</v>
      </c>
      <c r="R530" s="10" t="s">
        <v>57</v>
      </c>
      <c r="S530" s="10">
        <v>175.6</v>
      </c>
      <c r="T530" s="10">
        <v>33.200000000000003</v>
      </c>
      <c r="U530" s="29">
        <v>43714</v>
      </c>
      <c r="V530" s="29">
        <v>47366</v>
      </c>
      <c r="W530" s="10" t="s">
        <v>10</v>
      </c>
      <c r="X530" s="10" t="s">
        <v>17</v>
      </c>
    </row>
    <row r="531" spans="1:24" ht="45" customHeight="1" x14ac:dyDescent="0.25">
      <c r="A531" s="10">
        <f t="shared" si="0"/>
        <v>528</v>
      </c>
      <c r="B531" s="11" t="s">
        <v>1472</v>
      </c>
      <c r="C531" s="10" t="s">
        <v>74</v>
      </c>
      <c r="D531" s="10" t="s">
        <v>75</v>
      </c>
      <c r="E531" s="10" t="s">
        <v>0</v>
      </c>
      <c r="F531" s="11" t="s">
        <v>1009</v>
      </c>
      <c r="G531" s="11"/>
      <c r="H531" s="11"/>
      <c r="I531" s="11">
        <v>1962</v>
      </c>
      <c r="J531" s="11" t="s">
        <v>981</v>
      </c>
      <c r="K531" s="15" t="str">
        <f t="shared" si="32"/>
        <v>АА000036</v>
      </c>
      <c r="L531" s="15" t="str">
        <f>HYPERLINK("https://drive.google.com/open?id=1bdkyBJH8-m9cThrYpEab9ZEBryhuil8E","Сертифікат")</f>
        <v>Сертифікат</v>
      </c>
      <c r="M531" s="11" t="s">
        <v>26</v>
      </c>
      <c r="N531" s="10">
        <v>3207.4</v>
      </c>
      <c r="O531" s="10">
        <v>8660</v>
      </c>
      <c r="P531" s="10">
        <v>5</v>
      </c>
      <c r="Q531" s="10">
        <v>293.10000000000002</v>
      </c>
      <c r="R531" s="10" t="s">
        <v>57</v>
      </c>
      <c r="S531" s="10">
        <v>386</v>
      </c>
      <c r="T531" s="10">
        <v>77</v>
      </c>
      <c r="U531" s="29">
        <v>43714</v>
      </c>
      <c r="V531" s="29">
        <v>47366</v>
      </c>
      <c r="W531" s="10" t="s">
        <v>10</v>
      </c>
      <c r="X531" s="10" t="s">
        <v>17</v>
      </c>
    </row>
    <row r="532" spans="1:24" ht="45" customHeight="1" x14ac:dyDescent="0.25">
      <c r="A532" s="10">
        <f t="shared" si="0"/>
        <v>529</v>
      </c>
      <c r="B532" s="11" t="s">
        <v>1473</v>
      </c>
      <c r="C532" s="10" t="s">
        <v>1470</v>
      </c>
      <c r="D532" s="10" t="s">
        <v>442</v>
      </c>
      <c r="E532" s="10" t="s">
        <v>0</v>
      </c>
      <c r="F532" s="11" t="s">
        <v>1471</v>
      </c>
      <c r="G532" s="11"/>
      <c r="H532" s="11"/>
      <c r="I532" s="11" t="s">
        <v>1010</v>
      </c>
      <c r="J532" s="11" t="s">
        <v>981</v>
      </c>
      <c r="K532" s="15" t="str">
        <f t="shared" si="32"/>
        <v>АА000036</v>
      </c>
      <c r="L532" s="15" t="str">
        <f>HYPERLINK("https://drive.google.com/open?id=1BwvCsTZEm5JbaxPSU-_ZYX9EXzZZ6nR4","Сертифікат")</f>
        <v>Сертифікат</v>
      </c>
      <c r="M532" s="11" t="s">
        <v>22</v>
      </c>
      <c r="N532" s="10">
        <v>6199</v>
      </c>
      <c r="O532" s="10">
        <v>19473.400000000001</v>
      </c>
      <c r="P532" s="10">
        <v>10</v>
      </c>
      <c r="Q532" s="10">
        <v>122.4</v>
      </c>
      <c r="R532" s="10" t="s">
        <v>57</v>
      </c>
      <c r="S532" s="10">
        <v>191</v>
      </c>
      <c r="T532" s="10">
        <v>37</v>
      </c>
      <c r="U532" s="29">
        <v>43714</v>
      </c>
      <c r="V532" s="29">
        <v>47366</v>
      </c>
      <c r="W532" s="10" t="s">
        <v>13</v>
      </c>
      <c r="X532" s="10" t="s">
        <v>17</v>
      </c>
    </row>
    <row r="533" spans="1:24" ht="45" customHeight="1" x14ac:dyDescent="0.25">
      <c r="A533" s="10">
        <f t="shared" si="0"/>
        <v>530</v>
      </c>
      <c r="B533" s="11" t="s">
        <v>1474</v>
      </c>
      <c r="C533" s="10" t="s">
        <v>640</v>
      </c>
      <c r="D533" s="10" t="s">
        <v>485</v>
      </c>
      <c r="E533" s="10" t="s">
        <v>0</v>
      </c>
      <c r="F533" s="11" t="s">
        <v>1475</v>
      </c>
      <c r="G533" s="11"/>
      <c r="H533" s="11"/>
      <c r="I533" s="11">
        <v>1960</v>
      </c>
      <c r="J533" s="11" t="s">
        <v>1391</v>
      </c>
      <c r="K533" s="15" t="str">
        <f>HYPERLINK("https://drive.google.com/open?id=1UKZILe7TQdXokj4t4AKCley6c2DMIFTf","ТР-ЕЕ № 0001")</f>
        <v>ТР-ЕЕ № 0001</v>
      </c>
      <c r="L533" s="48" t="str">
        <f>HYPERLINK("https://drive.google.com/open?id=1EYpWaawEhURDwR_W6LcnyTaYt1Y8o7JQ","Сертифікат")</f>
        <v>Сертифікат</v>
      </c>
      <c r="M533" s="11" t="s">
        <v>26</v>
      </c>
      <c r="N533" s="10">
        <v>2831.8</v>
      </c>
      <c r="O533" s="10">
        <v>8495.4</v>
      </c>
      <c r="P533" s="10">
        <v>4</v>
      </c>
      <c r="Q533" s="10">
        <v>236.17</v>
      </c>
      <c r="R533" s="10" t="s">
        <v>57</v>
      </c>
      <c r="S533" s="10">
        <v>302.60000000000002</v>
      </c>
      <c r="T533" s="10">
        <v>59.95</v>
      </c>
      <c r="U533" s="29">
        <v>43716</v>
      </c>
      <c r="V533" s="29">
        <v>47368</v>
      </c>
      <c r="W533" s="10" t="s">
        <v>13</v>
      </c>
      <c r="X533" s="10" t="s">
        <v>17</v>
      </c>
    </row>
    <row r="534" spans="1:24" ht="45" customHeight="1" x14ac:dyDescent="0.25">
      <c r="A534" s="10">
        <f t="shared" si="0"/>
        <v>531</v>
      </c>
      <c r="B534" s="11" t="s">
        <v>1476</v>
      </c>
      <c r="C534" s="10" t="s">
        <v>68</v>
      </c>
      <c r="D534" s="10" t="s">
        <v>69</v>
      </c>
      <c r="E534" s="10" t="s">
        <v>0</v>
      </c>
      <c r="F534" s="11" t="s">
        <v>1477</v>
      </c>
      <c r="G534" s="11"/>
      <c r="H534" s="11"/>
      <c r="I534" s="11">
        <v>2019</v>
      </c>
      <c r="J534" s="10" t="s">
        <v>438</v>
      </c>
      <c r="K534" s="15" t="s">
        <v>708</v>
      </c>
      <c r="L534" s="15" t="str">
        <f>HYPERLINK("https://drive.google.com/open?id=13EBsWYyp0qkOZZRLjpSeVMxu1y_PO6cD","Сертифікат")</f>
        <v>Сертифікат</v>
      </c>
      <c r="M534" s="11" t="s">
        <v>18</v>
      </c>
      <c r="N534" s="10">
        <v>9160</v>
      </c>
      <c r="O534" s="10">
        <v>27572</v>
      </c>
      <c r="P534" s="10">
        <v>10</v>
      </c>
      <c r="Q534" s="10">
        <v>86.8</v>
      </c>
      <c r="R534" s="10" t="s">
        <v>57</v>
      </c>
      <c r="S534" s="10">
        <v>91.2</v>
      </c>
      <c r="T534" s="10">
        <v>17.600000000000001</v>
      </c>
      <c r="U534" s="29">
        <v>43714</v>
      </c>
      <c r="V534" s="29">
        <v>47366</v>
      </c>
      <c r="W534" s="10" t="s">
        <v>10</v>
      </c>
      <c r="X534" s="10" t="s">
        <v>17</v>
      </c>
    </row>
    <row r="535" spans="1:24" ht="45" customHeight="1" x14ac:dyDescent="0.25">
      <c r="A535" s="10">
        <f t="shared" si="0"/>
        <v>532</v>
      </c>
      <c r="B535" s="11" t="s">
        <v>1478</v>
      </c>
      <c r="C535" s="10" t="s">
        <v>52</v>
      </c>
      <c r="D535" s="10" t="s">
        <v>52</v>
      </c>
      <c r="E535" s="10" t="s">
        <v>5</v>
      </c>
      <c r="F535" s="11" t="s">
        <v>1479</v>
      </c>
      <c r="G535" s="11"/>
      <c r="H535" s="11"/>
      <c r="I535" s="11" t="s">
        <v>1480</v>
      </c>
      <c r="J535" s="20" t="s">
        <v>126</v>
      </c>
      <c r="K535" s="15" t="s">
        <v>127</v>
      </c>
      <c r="L535" s="15" t="str">
        <f>HYPERLINK("https://drive.google.com/open?id=1zQ3e3yyJxqjqiXjXqyHL9Wkkjjxhpe-g","Сертифікат")</f>
        <v>Сертифікат</v>
      </c>
      <c r="M535" s="11" t="s">
        <v>18</v>
      </c>
      <c r="N535" s="10">
        <v>23267.7</v>
      </c>
      <c r="O535" s="10">
        <v>90023.4</v>
      </c>
      <c r="P535" s="10" t="s">
        <v>1481</v>
      </c>
      <c r="Q535" s="10">
        <v>54.3</v>
      </c>
      <c r="R535" s="10" t="s">
        <v>66</v>
      </c>
      <c r="S535" s="10">
        <v>395.8</v>
      </c>
      <c r="T535" s="10">
        <v>76.900000000000006</v>
      </c>
      <c r="U535" s="29">
        <v>43717</v>
      </c>
      <c r="V535" s="29">
        <v>47369</v>
      </c>
      <c r="W535" s="10" t="s">
        <v>13</v>
      </c>
      <c r="X535" s="10" t="s">
        <v>17</v>
      </c>
    </row>
    <row r="536" spans="1:24" ht="45" customHeight="1" x14ac:dyDescent="0.25">
      <c r="A536" s="10">
        <f t="shared" si="0"/>
        <v>533</v>
      </c>
      <c r="B536" s="11" t="s">
        <v>1482</v>
      </c>
      <c r="C536" s="10" t="s">
        <v>1483</v>
      </c>
      <c r="D536" s="10" t="s">
        <v>86</v>
      </c>
      <c r="E536" s="10" t="s">
        <v>7</v>
      </c>
      <c r="F536" s="11" t="s">
        <v>1484</v>
      </c>
      <c r="G536" s="11"/>
      <c r="H536" s="11"/>
      <c r="I536" s="11">
        <v>2019</v>
      </c>
      <c r="J536" s="20" t="s">
        <v>1205</v>
      </c>
      <c r="K536" s="15" t="str">
        <f>HYPERLINK("https://drive.google.com/open?id=1AgHhVTxS6GZgfWxgXmp01ENmEAgVKsdV","ОД 02071010/1001-18")</f>
        <v>ОД 02071010/1001-18</v>
      </c>
      <c r="L536" s="15" t="str">
        <f>HYPERLINK("https://drive.google.com/open?id=14549YDw_PI_i-wXxj8TIni39ggMXK91B","Сертифікат")</f>
        <v>Сертифікат</v>
      </c>
      <c r="M536" s="11" t="s">
        <v>18</v>
      </c>
      <c r="N536" s="10">
        <v>1293.05</v>
      </c>
      <c r="O536" s="10">
        <v>5056.71</v>
      </c>
      <c r="P536" s="10">
        <v>2</v>
      </c>
      <c r="Q536" s="10">
        <v>59.85</v>
      </c>
      <c r="R536" s="10" t="s">
        <v>66</v>
      </c>
      <c r="S536" s="10">
        <v>257.10000000000002</v>
      </c>
      <c r="T536" s="10">
        <v>46.95</v>
      </c>
      <c r="U536" s="29">
        <v>43717</v>
      </c>
      <c r="V536" s="29">
        <v>47369</v>
      </c>
      <c r="W536" s="10" t="s">
        <v>10</v>
      </c>
      <c r="X536" s="10" t="s">
        <v>17</v>
      </c>
    </row>
    <row r="537" spans="1:24" ht="45" customHeight="1" x14ac:dyDescent="0.25">
      <c r="A537" s="10">
        <f t="shared" si="0"/>
        <v>534</v>
      </c>
      <c r="B537" s="11" t="s">
        <v>1485</v>
      </c>
      <c r="C537" s="10" t="s">
        <v>52</v>
      </c>
      <c r="D537" s="10" t="s">
        <v>52</v>
      </c>
      <c r="E537" s="10" t="s">
        <v>2</v>
      </c>
      <c r="F537" s="11" t="s">
        <v>1486</v>
      </c>
      <c r="G537" s="11"/>
      <c r="H537" s="11"/>
      <c r="I537" s="11">
        <v>1992</v>
      </c>
      <c r="J537" s="20" t="s">
        <v>432</v>
      </c>
      <c r="K537" s="15" t="s">
        <v>433</v>
      </c>
      <c r="L537" s="15" t="str">
        <f>HYPERLINK("https://drive.google.com/open?id=1905W7hl3ZSeV_BrXxTGhro1NH18k2PEp","Сертифікат")</f>
        <v>Сертифікат</v>
      </c>
      <c r="M537" s="11" t="s">
        <v>22</v>
      </c>
      <c r="N537" s="10">
        <v>2341.6999999999998</v>
      </c>
      <c r="O537" s="10">
        <v>7703.6</v>
      </c>
      <c r="P537" s="10">
        <v>4</v>
      </c>
      <c r="Q537" s="10">
        <v>59.97</v>
      </c>
      <c r="R537" s="10" t="s">
        <v>66</v>
      </c>
      <c r="S537" s="10">
        <v>234.17</v>
      </c>
      <c r="T537" s="10">
        <v>46.26</v>
      </c>
      <c r="U537" s="29">
        <v>43717</v>
      </c>
      <c r="V537" s="29">
        <v>47369</v>
      </c>
      <c r="W537" s="10" t="s">
        <v>10</v>
      </c>
      <c r="X537" s="10" t="s">
        <v>17</v>
      </c>
    </row>
    <row r="538" spans="1:24" ht="45" customHeight="1" x14ac:dyDescent="0.25">
      <c r="A538" s="10">
        <f t="shared" si="0"/>
        <v>535</v>
      </c>
      <c r="B538" s="11" t="s">
        <v>1487</v>
      </c>
      <c r="C538" s="10" t="s">
        <v>85</v>
      </c>
      <c r="D538" s="10" t="s">
        <v>85</v>
      </c>
      <c r="E538" s="10" t="s">
        <v>0</v>
      </c>
      <c r="F538" s="11" t="s">
        <v>1488</v>
      </c>
      <c r="G538" s="11"/>
      <c r="H538" s="11"/>
      <c r="I538" s="11">
        <v>2019</v>
      </c>
      <c r="J538" s="11" t="s">
        <v>992</v>
      </c>
      <c r="K538" s="15" t="str">
        <f t="shared" ref="K538:K539" si="33">HYPERLINK("https://drive.google.com/open?id=1YahV5U6nzJHToaX4SQsiE71O2xlIaiiy","ОД 02071010/0301-19")</f>
        <v>ОД 02071010/0301-19</v>
      </c>
      <c r="L538" s="15" t="str">
        <f>HYPERLINK("https://drive.google.com/open?id=1hANu1hN-Xc76StsBbNkh4BU3N7ccoma9","Сертифікат")</f>
        <v>Сертифікат</v>
      </c>
      <c r="M538" s="11" t="s">
        <v>24</v>
      </c>
      <c r="N538" s="10">
        <v>5664.5</v>
      </c>
      <c r="O538" s="10">
        <v>17149</v>
      </c>
      <c r="P538" s="10">
        <v>10</v>
      </c>
      <c r="Q538" s="10">
        <v>145.9</v>
      </c>
      <c r="R538" s="10" t="s">
        <v>57</v>
      </c>
      <c r="S538" s="10">
        <v>211.9</v>
      </c>
      <c r="T538" s="10">
        <v>41.4</v>
      </c>
      <c r="U538" s="29">
        <v>43710</v>
      </c>
      <c r="V538" s="29">
        <v>47363</v>
      </c>
      <c r="W538" s="10" t="s">
        <v>13</v>
      </c>
      <c r="X538" s="10" t="s">
        <v>17</v>
      </c>
    </row>
    <row r="539" spans="1:24" ht="45" customHeight="1" x14ac:dyDescent="0.25">
      <c r="A539" s="10">
        <f t="shared" si="0"/>
        <v>536</v>
      </c>
      <c r="B539" s="11" t="s">
        <v>1489</v>
      </c>
      <c r="C539" s="47" t="s">
        <v>1490</v>
      </c>
      <c r="D539" s="10" t="s">
        <v>86</v>
      </c>
      <c r="E539" s="10" t="s">
        <v>0</v>
      </c>
      <c r="F539" s="11" t="s">
        <v>1491</v>
      </c>
      <c r="G539" s="11"/>
      <c r="H539" s="11"/>
      <c r="I539" s="11">
        <v>2019</v>
      </c>
      <c r="J539" s="11" t="s">
        <v>992</v>
      </c>
      <c r="K539" s="15" t="str">
        <f t="shared" si="33"/>
        <v>ОД 02071010/0301-19</v>
      </c>
      <c r="L539" s="15" t="str">
        <f>HYPERLINK("https://drive.google.com/open?id=185zHJr6tlw4QwHCrP_OTYczkz6TS31ic","Сертифікат")</f>
        <v>Сертифікат</v>
      </c>
      <c r="M539" s="11" t="s">
        <v>22</v>
      </c>
      <c r="N539" s="10">
        <v>3721.8</v>
      </c>
      <c r="O539" s="10">
        <v>11040.6</v>
      </c>
      <c r="P539" s="10">
        <v>5</v>
      </c>
      <c r="Q539" s="10">
        <v>130.30000000000001</v>
      </c>
      <c r="R539" s="10" t="s">
        <v>57</v>
      </c>
      <c r="S539" s="10">
        <v>187.8</v>
      </c>
      <c r="T539" s="10">
        <v>36.6</v>
      </c>
      <c r="U539" s="29">
        <v>43710</v>
      </c>
      <c r="V539" s="29">
        <v>47363</v>
      </c>
      <c r="W539" s="10" t="s">
        <v>13</v>
      </c>
      <c r="X539" s="10" t="s">
        <v>17</v>
      </c>
    </row>
    <row r="540" spans="1:24" ht="45" customHeight="1" x14ac:dyDescent="0.25">
      <c r="A540" s="10">
        <f t="shared" si="0"/>
        <v>537</v>
      </c>
      <c r="B540" s="11" t="s">
        <v>1492</v>
      </c>
      <c r="C540" s="10" t="s">
        <v>284</v>
      </c>
      <c r="D540" s="10" t="s">
        <v>285</v>
      </c>
      <c r="E540" s="10" t="s">
        <v>3</v>
      </c>
      <c r="F540" s="11" t="s">
        <v>1493</v>
      </c>
      <c r="G540" s="11"/>
      <c r="H540" s="11"/>
      <c r="I540" s="11" t="s">
        <v>1494</v>
      </c>
      <c r="J540" s="27" t="s">
        <v>1495</v>
      </c>
      <c r="K540" s="15" t="str">
        <f>HYPERLINK("https://drive.google.com/open?id=1vlyCwhccEVKB8JaesYs_0B0ztrJci-OK","СБ №0043")</f>
        <v>СБ №0043</v>
      </c>
      <c r="L540" s="15" t="str">
        <f>HYPERLINK("https://drive.google.com/open?id=1ZAca-pgNMNvT8QY3iGRFawgeuEZQVA2F","Сертифікат")</f>
        <v>Сертифікат</v>
      </c>
      <c r="M540" s="11" t="s">
        <v>18</v>
      </c>
      <c r="N540" s="10">
        <v>1312.6</v>
      </c>
      <c r="O540" s="10">
        <v>4160.3999999999996</v>
      </c>
      <c r="P540" s="10">
        <v>3</v>
      </c>
      <c r="Q540" s="10">
        <v>31.6</v>
      </c>
      <c r="R540" s="10" t="s">
        <v>66</v>
      </c>
      <c r="S540" s="10">
        <v>177.8</v>
      </c>
      <c r="T540" s="10">
        <v>34</v>
      </c>
      <c r="U540" s="29">
        <v>43717</v>
      </c>
      <c r="V540" s="29">
        <v>47369</v>
      </c>
      <c r="W540" s="10" t="s">
        <v>13</v>
      </c>
      <c r="X540" s="10" t="s">
        <v>17</v>
      </c>
    </row>
    <row r="541" spans="1:24" ht="45" customHeight="1" x14ac:dyDescent="0.25">
      <c r="A541" s="10">
        <f t="shared" si="0"/>
        <v>538</v>
      </c>
      <c r="B541" s="11" t="s">
        <v>1496</v>
      </c>
      <c r="C541" s="47" t="s">
        <v>1497</v>
      </c>
      <c r="D541" s="10" t="s">
        <v>79</v>
      </c>
      <c r="E541" s="10" t="s">
        <v>2</v>
      </c>
      <c r="F541" s="24" t="s">
        <v>1498</v>
      </c>
      <c r="G541" s="11"/>
      <c r="H541" s="11"/>
      <c r="I541" s="11">
        <v>1978</v>
      </c>
      <c r="J541" s="11" t="s">
        <v>724</v>
      </c>
      <c r="K541" s="15" t="str">
        <f t="shared" ref="K541:K542" si="34">HYPERLINK("https://drive.google.com/open?id=1oKOZor5DyF6OVwkcYZr0z1iqaNRs9ITY","АА000072")</f>
        <v>АА000072</v>
      </c>
      <c r="L541" s="15" t="str">
        <f>HYPERLINK("https://drive.google.com/open?id=1GW7JhZfnmxwyl8YcIBYv5Z2B8gASXHuL","Сертифікат")</f>
        <v>Сертифікат</v>
      </c>
      <c r="M541" s="11" t="s">
        <v>26</v>
      </c>
      <c r="N541" s="10">
        <v>328.8</v>
      </c>
      <c r="O541" s="10">
        <v>973</v>
      </c>
      <c r="P541" s="10">
        <v>1</v>
      </c>
      <c r="Q541" s="10">
        <v>192.1</v>
      </c>
      <c r="R541" s="10" t="s">
        <v>66</v>
      </c>
      <c r="S541" s="10">
        <v>1371</v>
      </c>
      <c r="T541" s="10">
        <v>575.79999999999995</v>
      </c>
      <c r="U541" s="29">
        <v>43718</v>
      </c>
      <c r="V541" s="29">
        <v>47370</v>
      </c>
      <c r="W541" s="10" t="s">
        <v>10</v>
      </c>
      <c r="X541" s="10" t="s">
        <v>17</v>
      </c>
    </row>
    <row r="542" spans="1:24" ht="45" customHeight="1" x14ac:dyDescent="0.25">
      <c r="A542" s="10">
        <f t="shared" si="0"/>
        <v>539</v>
      </c>
      <c r="B542" s="24" t="s">
        <v>1500</v>
      </c>
      <c r="C542" s="10" t="s">
        <v>320</v>
      </c>
      <c r="D542" s="10" t="s">
        <v>79</v>
      </c>
      <c r="E542" s="10" t="s">
        <v>2</v>
      </c>
      <c r="F542" s="10" t="s">
        <v>1501</v>
      </c>
      <c r="G542" s="11"/>
      <c r="H542" s="11"/>
      <c r="I542" s="11">
        <v>1967</v>
      </c>
      <c r="J542" s="11" t="s">
        <v>724</v>
      </c>
      <c r="K542" s="15" t="str">
        <f t="shared" si="34"/>
        <v>АА000072</v>
      </c>
      <c r="L542" s="15" t="str">
        <f>HYPERLINK("https://drive.google.com/open?id=1Mq5ErR_pTntjxkNeBUFnI2R3eKLr-ABv","Сертифікат")</f>
        <v>Сертифікат</v>
      </c>
      <c r="M542" s="11" t="s">
        <v>26</v>
      </c>
      <c r="N542" s="10">
        <v>335.4</v>
      </c>
      <c r="O542" s="10">
        <v>1067</v>
      </c>
      <c r="P542" s="10">
        <v>1</v>
      </c>
      <c r="Q542" s="10">
        <v>218.7</v>
      </c>
      <c r="R542" s="10" t="s">
        <v>66</v>
      </c>
      <c r="S542" s="10">
        <v>839</v>
      </c>
      <c r="T542" s="10">
        <v>202</v>
      </c>
      <c r="U542" s="29">
        <v>43718</v>
      </c>
      <c r="V542" s="29">
        <v>47370</v>
      </c>
      <c r="W542" s="10" t="s">
        <v>10</v>
      </c>
      <c r="X542" s="10" t="s">
        <v>17</v>
      </c>
    </row>
    <row r="543" spans="1:24" ht="45" customHeight="1" x14ac:dyDescent="0.25">
      <c r="A543" s="10">
        <f t="shared" si="0"/>
        <v>540</v>
      </c>
      <c r="B543" s="11" t="s">
        <v>1502</v>
      </c>
      <c r="C543" s="10" t="s">
        <v>773</v>
      </c>
      <c r="D543" s="10" t="s">
        <v>773</v>
      </c>
      <c r="E543" s="10" t="s">
        <v>3</v>
      </c>
      <c r="F543" s="11" t="s">
        <v>1503</v>
      </c>
      <c r="G543" s="11"/>
      <c r="H543" s="11"/>
      <c r="I543" s="11">
        <v>1992</v>
      </c>
      <c r="J543" s="10" t="s">
        <v>1504</v>
      </c>
      <c r="K543" s="51" t="s">
        <v>1505</v>
      </c>
      <c r="L543" s="15" t="str">
        <f>HYPERLINK("https://drive.google.com/open?id=1AEJoI2ZPDSpgmLxOLasGgBizFZCDluJO","Сертифікат")</f>
        <v>Сертифікат</v>
      </c>
      <c r="M543" s="11" t="s">
        <v>26</v>
      </c>
      <c r="N543" s="10">
        <v>1858.1</v>
      </c>
      <c r="O543" s="10">
        <v>8393</v>
      </c>
      <c r="P543" s="10">
        <v>2</v>
      </c>
      <c r="Q543" s="10">
        <v>153.30000000000001</v>
      </c>
      <c r="R543" s="10" t="s">
        <v>66</v>
      </c>
      <c r="S543" s="10">
        <v>927.2</v>
      </c>
      <c r="T543" s="10">
        <v>248.8</v>
      </c>
      <c r="U543" s="29">
        <v>43707</v>
      </c>
      <c r="V543" s="29">
        <v>47359</v>
      </c>
      <c r="W543" s="10" t="s">
        <v>10</v>
      </c>
      <c r="X543" s="10" t="s">
        <v>17</v>
      </c>
    </row>
    <row r="544" spans="1:24" ht="45" customHeight="1" x14ac:dyDescent="0.25">
      <c r="A544" s="10">
        <f t="shared" si="0"/>
        <v>541</v>
      </c>
      <c r="B544" s="11" t="s">
        <v>1506</v>
      </c>
      <c r="C544" s="10" t="s">
        <v>1507</v>
      </c>
      <c r="D544" s="10" t="s">
        <v>1507</v>
      </c>
      <c r="E544" s="10" t="s">
        <v>2</v>
      </c>
      <c r="F544" s="11" t="s">
        <v>1508</v>
      </c>
      <c r="G544" s="11"/>
      <c r="H544" s="11"/>
      <c r="I544" s="11">
        <v>1957</v>
      </c>
      <c r="J544" s="10" t="s">
        <v>1509</v>
      </c>
      <c r="K544" s="51" t="s">
        <v>1510</v>
      </c>
      <c r="L544" s="15" t="str">
        <f>HYPERLINK("https://drive.google.com/open?id=1MHpfSb6nVKx1U2-cBbYSlU8-3SSj_yvo","Сертифікат")</f>
        <v>Сертифікат</v>
      </c>
      <c r="M544" s="11" t="s">
        <v>24</v>
      </c>
      <c r="N544" s="10">
        <v>2278.5</v>
      </c>
      <c r="O544" s="10">
        <v>10054</v>
      </c>
      <c r="P544" s="10">
        <v>3</v>
      </c>
      <c r="Q544" s="10">
        <v>93.71</v>
      </c>
      <c r="R544" s="10" t="s">
        <v>66</v>
      </c>
      <c r="S544" s="10">
        <v>278.2</v>
      </c>
      <c r="T544" s="10">
        <v>55.08</v>
      </c>
      <c r="U544" s="11" t="s">
        <v>862</v>
      </c>
      <c r="V544" s="29">
        <v>47370</v>
      </c>
      <c r="W544" s="10" t="s">
        <v>13</v>
      </c>
      <c r="X544" s="10" t="s">
        <v>14</v>
      </c>
    </row>
    <row r="545" spans="1:24" ht="45" customHeight="1" x14ac:dyDescent="0.25">
      <c r="A545" s="10">
        <f t="shared" si="0"/>
        <v>542</v>
      </c>
      <c r="B545" s="11" t="s">
        <v>1511</v>
      </c>
      <c r="C545" s="10" t="s">
        <v>1512</v>
      </c>
      <c r="D545" s="10" t="s">
        <v>86</v>
      </c>
      <c r="E545" s="10" t="s">
        <v>4</v>
      </c>
      <c r="F545" s="11" t="s">
        <v>1513</v>
      </c>
      <c r="G545" s="11"/>
      <c r="H545" s="11"/>
      <c r="I545" s="11" t="s">
        <v>1514</v>
      </c>
      <c r="J545" s="11" t="s">
        <v>642</v>
      </c>
      <c r="K545" s="15" t="str">
        <f>HYPERLINK("https://drive.google.com/open?id=1cxGxrVWMvCNlS6TwjKIt2Jn85z6h57TB","ЕЕ-036-05-19")</f>
        <v>ЕЕ-036-05-19</v>
      </c>
      <c r="L545" s="15" t="str">
        <f>HYPERLINK("https://drive.google.com/open?id=1GN_9ko5jJgv1VEb5kSrspNcpI6K2-8x8","Сертифікат")</f>
        <v>Сертифікат</v>
      </c>
      <c r="M545" s="11" t="s">
        <v>18</v>
      </c>
      <c r="N545" s="10">
        <v>1696</v>
      </c>
      <c r="O545" s="10">
        <v>5507</v>
      </c>
      <c r="P545" s="10">
        <v>2</v>
      </c>
      <c r="Q545" s="10">
        <v>53.5</v>
      </c>
      <c r="R545" s="10" t="s">
        <v>66</v>
      </c>
      <c r="S545" s="10">
        <v>293</v>
      </c>
      <c r="T545" s="10">
        <v>59</v>
      </c>
      <c r="U545" s="29">
        <v>43718</v>
      </c>
      <c r="V545" s="29">
        <v>47370</v>
      </c>
      <c r="W545" s="10" t="s">
        <v>10</v>
      </c>
      <c r="X545" s="10" t="s">
        <v>17</v>
      </c>
    </row>
    <row r="546" spans="1:24" ht="45" customHeight="1" x14ac:dyDescent="0.25">
      <c r="A546" s="10">
        <f t="shared" si="0"/>
        <v>543</v>
      </c>
      <c r="B546" s="11" t="s">
        <v>1515</v>
      </c>
      <c r="C546" s="10" t="s">
        <v>182</v>
      </c>
      <c r="D546" s="10" t="s">
        <v>174</v>
      </c>
      <c r="E546" s="10" t="s">
        <v>5</v>
      </c>
      <c r="F546" s="11" t="s">
        <v>1516</v>
      </c>
      <c r="G546" s="11"/>
      <c r="H546" s="11"/>
      <c r="I546" s="11" t="s">
        <v>1517</v>
      </c>
      <c r="J546" s="11" t="s">
        <v>724</v>
      </c>
      <c r="K546" s="15" t="str">
        <f>HYPERLINK("https://drive.google.com/open?id=1oKOZor5DyF6OVwkcYZr0z1iqaNRs9ITY","АА000072")</f>
        <v>АА000072</v>
      </c>
      <c r="L546" s="15" t="str">
        <f>HYPERLINK("https://drive.google.com/open?id=1dGgxWq55jIMhTwOwLj0H95vCK3WAjJ1J","Сертифікат")</f>
        <v>Сертифікат</v>
      </c>
      <c r="M546" s="11" t="s">
        <v>26</v>
      </c>
      <c r="N546" s="10">
        <v>8805.5</v>
      </c>
      <c r="O546" s="10">
        <v>28573</v>
      </c>
      <c r="P546" s="10">
        <v>10</v>
      </c>
      <c r="Q546" s="10">
        <v>145.4</v>
      </c>
      <c r="R546" s="10" t="s">
        <v>66</v>
      </c>
      <c r="S546" s="10">
        <v>807.6</v>
      </c>
      <c r="T546" s="10">
        <v>247.9</v>
      </c>
      <c r="U546" s="29">
        <v>43717</v>
      </c>
      <c r="V546" s="29">
        <v>47369</v>
      </c>
      <c r="W546" s="10" t="s">
        <v>10</v>
      </c>
      <c r="X546" s="10" t="s">
        <v>17</v>
      </c>
    </row>
    <row r="547" spans="1:24" ht="45" customHeight="1" x14ac:dyDescent="0.25">
      <c r="A547" s="10">
        <f t="shared" si="0"/>
        <v>544</v>
      </c>
      <c r="B547" s="11" t="s">
        <v>1518</v>
      </c>
      <c r="C547" s="10" t="s">
        <v>1507</v>
      </c>
      <c r="D547" s="10" t="s">
        <v>317</v>
      </c>
      <c r="E547" s="10" t="s">
        <v>2</v>
      </c>
      <c r="F547" s="11" t="s">
        <v>1519</v>
      </c>
      <c r="G547" s="11"/>
      <c r="H547" s="11"/>
      <c r="I547" s="11">
        <v>1984</v>
      </c>
      <c r="J547" s="11" t="s">
        <v>1520</v>
      </c>
      <c r="K547" s="15" t="str">
        <f>HYPERLINK("https://drive.google.com/open?id=1h7SxjX8kLI3GcDpujJYP0DlexJilmQJ7","АР 000071")</f>
        <v>АР 000071</v>
      </c>
      <c r="L547" s="15" t="str">
        <f>HYPERLINK("https://drive.google.com/open?id=1WUJQBM3_gTNufy-azGP9_KYXtANXOzo0","Сертифікат")</f>
        <v>Сертифікат</v>
      </c>
      <c r="M547" s="11" t="s">
        <v>24</v>
      </c>
      <c r="N547" s="10">
        <v>3204.3</v>
      </c>
      <c r="O547" s="10">
        <v>10638</v>
      </c>
      <c r="P547" s="31">
        <v>43526</v>
      </c>
      <c r="Q547" s="10">
        <v>90.83</v>
      </c>
      <c r="R547" s="10" t="s">
        <v>66</v>
      </c>
      <c r="S547" s="10">
        <v>548.4</v>
      </c>
      <c r="T547" s="10">
        <v>105.9</v>
      </c>
      <c r="U547" s="29">
        <v>43712</v>
      </c>
      <c r="V547" s="29">
        <v>47364</v>
      </c>
      <c r="W547" s="10" t="s">
        <v>13</v>
      </c>
      <c r="X547" s="10" t="s">
        <v>17</v>
      </c>
    </row>
    <row r="548" spans="1:24" ht="45" customHeight="1" x14ac:dyDescent="0.25">
      <c r="A548" s="10">
        <f t="shared" si="0"/>
        <v>545</v>
      </c>
      <c r="B548" s="11" t="s">
        <v>1521</v>
      </c>
      <c r="C548" s="10" t="s">
        <v>814</v>
      </c>
      <c r="D548" s="10" t="s">
        <v>815</v>
      </c>
      <c r="E548" s="10" t="s">
        <v>0</v>
      </c>
      <c r="F548" s="11" t="s">
        <v>1522</v>
      </c>
      <c r="G548" s="11"/>
      <c r="H548" s="11"/>
      <c r="I548" s="11">
        <v>2019</v>
      </c>
      <c r="J548" s="11" t="s">
        <v>817</v>
      </c>
      <c r="K548" s="15" t="str">
        <f>HYPERLINK("https://drive.google.com/open?id=195Nt2QyFm2vF_nQatQf2cvvhnudkfcTY","ЕЕ 000020")</f>
        <v>ЕЕ 000020</v>
      </c>
      <c r="L548" s="15" t="str">
        <f>HYPERLINK("https://drive.google.com/open?id=1GvBPm-cmh_uWtg4txl4WESm8VrtXf_sZ","Сертифікат")</f>
        <v>Сертифікат</v>
      </c>
      <c r="M548" s="11" t="s">
        <v>18</v>
      </c>
      <c r="N548" s="10">
        <v>8277.68</v>
      </c>
      <c r="O548" s="10">
        <v>20694.2</v>
      </c>
      <c r="P548" s="10">
        <v>10</v>
      </c>
      <c r="Q548" s="10">
        <v>84.12</v>
      </c>
      <c r="R548" s="10" t="s">
        <v>57</v>
      </c>
      <c r="S548" s="10">
        <v>187.07</v>
      </c>
      <c r="T548" s="10">
        <v>36.03</v>
      </c>
      <c r="U548" s="29">
        <v>43718</v>
      </c>
      <c r="V548" s="29">
        <v>47370</v>
      </c>
      <c r="W548" s="10" t="s">
        <v>10</v>
      </c>
      <c r="X548" s="10" t="s">
        <v>17</v>
      </c>
    </row>
    <row r="549" spans="1:24" ht="45" customHeight="1" x14ac:dyDescent="0.25">
      <c r="A549" s="10">
        <f t="shared" si="0"/>
        <v>546</v>
      </c>
      <c r="B549" s="11" t="s">
        <v>1523</v>
      </c>
      <c r="C549" s="10" t="s">
        <v>1377</v>
      </c>
      <c r="D549" s="10" t="s">
        <v>79</v>
      </c>
      <c r="E549" s="10" t="s">
        <v>2</v>
      </c>
      <c r="F549" s="11" t="s">
        <v>1499</v>
      </c>
      <c r="G549" s="11"/>
      <c r="H549" s="11"/>
      <c r="I549" s="11">
        <v>1981</v>
      </c>
      <c r="J549" s="11" t="s">
        <v>724</v>
      </c>
      <c r="K549" s="15" t="str">
        <f t="shared" ref="K549:K550" si="35">HYPERLINK("https://drive.google.com/open?id=1oKOZor5DyF6OVwkcYZr0z1iqaNRs9ITY","АА000072")</f>
        <v>АА000072</v>
      </c>
      <c r="L549" s="15" t="str">
        <f>HYPERLINK("https://drive.google.com/open?id=1ZCU6HWYHAMy9kpcewlRhBVXRM6L5S_Ns","Сертифікат")</f>
        <v>Сертифікат</v>
      </c>
      <c r="M549" s="11" t="s">
        <v>26</v>
      </c>
      <c r="N549" s="10">
        <v>4652.3</v>
      </c>
      <c r="O549" s="10">
        <v>15188</v>
      </c>
      <c r="P549" s="55" t="s">
        <v>1524</v>
      </c>
      <c r="Q549" s="10">
        <v>118.1</v>
      </c>
      <c r="R549" s="10" t="s">
        <v>66</v>
      </c>
      <c r="S549" s="10">
        <v>594.79999999999995</v>
      </c>
      <c r="T549" s="10">
        <v>175.3</v>
      </c>
      <c r="U549" s="29">
        <v>43718</v>
      </c>
      <c r="V549" s="29">
        <v>47370</v>
      </c>
      <c r="W549" s="10" t="s">
        <v>10</v>
      </c>
      <c r="X549" s="10" t="s">
        <v>17</v>
      </c>
    </row>
    <row r="550" spans="1:24" ht="45" customHeight="1" x14ac:dyDescent="0.25">
      <c r="A550" s="10">
        <f t="shared" si="0"/>
        <v>547</v>
      </c>
      <c r="B550" s="11" t="s">
        <v>1525</v>
      </c>
      <c r="C550" s="10" t="s">
        <v>394</v>
      </c>
      <c r="D550" s="10" t="s">
        <v>79</v>
      </c>
      <c r="E550" s="10" t="s">
        <v>2</v>
      </c>
      <c r="F550" s="11" t="s">
        <v>1526</v>
      </c>
      <c r="G550" s="11"/>
      <c r="H550" s="11"/>
      <c r="I550" s="11">
        <v>1990</v>
      </c>
      <c r="J550" s="11" t="s">
        <v>724</v>
      </c>
      <c r="K550" s="15" t="str">
        <f t="shared" si="35"/>
        <v>АА000072</v>
      </c>
      <c r="L550" s="15" t="str">
        <f>HYPERLINK("https://drive.google.com/open?id=1YIgEqV6Vzvdz1mU0P6x9WKt7SILwLwU7","Сертифікат")</f>
        <v>Сертифікат</v>
      </c>
      <c r="M550" s="11" t="s">
        <v>26</v>
      </c>
      <c r="N550" s="10">
        <v>838.8</v>
      </c>
      <c r="O550" s="10">
        <v>2668</v>
      </c>
      <c r="P550" s="10">
        <v>2</v>
      </c>
      <c r="Q550" s="10">
        <v>148.36000000000001</v>
      </c>
      <c r="R550" s="10" t="s">
        <v>66</v>
      </c>
      <c r="S550" s="10">
        <v>606</v>
      </c>
      <c r="T550" s="10">
        <v>153.80000000000001</v>
      </c>
      <c r="U550" s="29">
        <v>43718</v>
      </c>
      <c r="V550" s="29">
        <v>47370</v>
      </c>
      <c r="W550" s="10" t="s">
        <v>10</v>
      </c>
      <c r="X550" s="10" t="s">
        <v>17</v>
      </c>
    </row>
    <row r="551" spans="1:24" ht="45" customHeight="1" x14ac:dyDescent="0.25">
      <c r="A551" s="10">
        <f t="shared" si="0"/>
        <v>548</v>
      </c>
      <c r="B551" s="11" t="s">
        <v>1527</v>
      </c>
      <c r="C551" s="10" t="s">
        <v>78</v>
      </c>
      <c r="D551" s="10" t="s">
        <v>79</v>
      </c>
      <c r="E551" s="10" t="s">
        <v>0</v>
      </c>
      <c r="F551" s="11" t="s">
        <v>0</v>
      </c>
      <c r="G551" s="11"/>
      <c r="H551" s="11"/>
      <c r="I551" s="11" t="s">
        <v>836</v>
      </c>
      <c r="J551" s="11" t="s">
        <v>1528</v>
      </c>
      <c r="K551" s="15" t="str">
        <f>HYPERLINK("https://drive.google.com/open?id=1XfJBegN4DQbXAeWS09DYw5BBRX3h5SYu","ЕЕБ 000009")</f>
        <v>ЕЕБ 000009</v>
      </c>
      <c r="L551" s="15" t="str">
        <f>HYPERLINK("https://drive.google.com/open?id=19vgdyTgpuYRwCCci_EUSLNHxl4QF-fmH","Сертифікат")</f>
        <v>Сертифікат</v>
      </c>
      <c r="M551" s="11" t="s">
        <v>18</v>
      </c>
      <c r="N551" s="10">
        <v>3806</v>
      </c>
      <c r="O551" s="10">
        <v>10726</v>
      </c>
      <c r="P551" s="10">
        <v>11</v>
      </c>
      <c r="Q551" s="10">
        <v>86.08</v>
      </c>
      <c r="R551" s="10" t="s">
        <v>57</v>
      </c>
      <c r="S551" s="10">
        <v>129.47999999999999</v>
      </c>
      <c r="T551" s="10">
        <v>25.9</v>
      </c>
      <c r="U551" s="29">
        <v>43714</v>
      </c>
      <c r="V551" s="29">
        <v>47366</v>
      </c>
      <c r="W551" s="10" t="s">
        <v>13</v>
      </c>
      <c r="X551" s="10" t="s">
        <v>17</v>
      </c>
    </row>
    <row r="552" spans="1:24" ht="45" customHeight="1" x14ac:dyDescent="0.25">
      <c r="A552" s="10">
        <f t="shared" si="0"/>
        <v>549</v>
      </c>
      <c r="B552" s="11" t="s">
        <v>1529</v>
      </c>
      <c r="C552" s="10" t="s">
        <v>1530</v>
      </c>
      <c r="D552" s="10" t="s">
        <v>69</v>
      </c>
      <c r="E552" s="10" t="s">
        <v>6</v>
      </c>
      <c r="F552" s="11" t="s">
        <v>1531</v>
      </c>
      <c r="G552" s="11"/>
      <c r="H552" s="11"/>
      <c r="I552" s="11" t="s">
        <v>836</v>
      </c>
      <c r="J552" s="11" t="s">
        <v>609</v>
      </c>
      <c r="K552" s="15" t="str">
        <f>HYPERLINK("https://drive.google.com/open?id=1MmGP6rtYcZwVyIqDA-ykUrezieQsOMPg","ОД 000024")</f>
        <v>ОД 000024</v>
      </c>
      <c r="L552" s="15" t="str">
        <f>HYPERLINK("https://drive.google.com/open?id=1p30XZrgRYxH2WGzqUZ9kBaJVsmk81zG8","Сертифікат")</f>
        <v>Сертифікат</v>
      </c>
      <c r="M552" s="11" t="s">
        <v>18</v>
      </c>
      <c r="N552" s="10">
        <v>2659.85</v>
      </c>
      <c r="O552" s="10">
        <v>8299.9</v>
      </c>
      <c r="P552" s="10">
        <v>3</v>
      </c>
      <c r="Q552" s="10">
        <v>110.5</v>
      </c>
      <c r="R552" s="10" t="s">
        <v>66</v>
      </c>
      <c r="S552" s="10">
        <v>262.3</v>
      </c>
      <c r="T552" s="10">
        <v>48.99</v>
      </c>
      <c r="U552" s="29">
        <v>43717</v>
      </c>
      <c r="V552" s="29">
        <v>47369</v>
      </c>
      <c r="W552" s="10" t="s">
        <v>13</v>
      </c>
      <c r="X552" s="10" t="s">
        <v>17</v>
      </c>
    </row>
    <row r="553" spans="1:24" ht="45" customHeight="1" x14ac:dyDescent="0.25">
      <c r="A553" s="10">
        <f t="shared" si="0"/>
        <v>550</v>
      </c>
      <c r="B553" s="11" t="s">
        <v>1532</v>
      </c>
      <c r="C553" s="10" t="s">
        <v>1533</v>
      </c>
      <c r="D553" s="10" t="s">
        <v>142</v>
      </c>
      <c r="E553" s="10" t="s">
        <v>5</v>
      </c>
      <c r="F553" s="11" t="s">
        <v>1534</v>
      </c>
      <c r="G553" s="11"/>
      <c r="H553" s="11"/>
      <c r="I553" s="11" t="s">
        <v>836</v>
      </c>
      <c r="J553" s="11" t="s">
        <v>1168</v>
      </c>
      <c r="K553" s="15" t="str">
        <f>HYPERLINK("https://drive.google.com/open?id=1IAlNZe4csuyp8RH-DTYn3L4-p1-qcHtF","ЕЕ-001-10-18")</f>
        <v>ЕЕ-001-10-18</v>
      </c>
      <c r="L553" s="15" t="str">
        <f>HYPERLINK("https://drive.google.com/open?id=1bA6_0ieTbv50jNmInrmmacRRxV7Eyrst","Сертифікат")</f>
        <v>Сертифікат</v>
      </c>
      <c r="M553" s="11" t="s">
        <v>18</v>
      </c>
      <c r="N553" s="10">
        <v>1757.3</v>
      </c>
      <c r="O553" s="10">
        <v>6134.5</v>
      </c>
      <c r="P553" s="10">
        <v>3</v>
      </c>
      <c r="Q553" s="10">
        <v>55.2</v>
      </c>
      <c r="R553" s="10" t="s">
        <v>66</v>
      </c>
      <c r="S553" s="10">
        <v>398</v>
      </c>
      <c r="T553" s="10">
        <v>76</v>
      </c>
      <c r="U553" s="29">
        <v>43717</v>
      </c>
      <c r="V553" s="29">
        <v>47369</v>
      </c>
      <c r="W553" s="10" t="s">
        <v>13</v>
      </c>
      <c r="X553" s="10" t="s">
        <v>17</v>
      </c>
    </row>
    <row r="554" spans="1:24" ht="45" customHeight="1" x14ac:dyDescent="0.25">
      <c r="A554" s="10">
        <f t="shared" si="0"/>
        <v>551</v>
      </c>
      <c r="B554" s="11" t="s">
        <v>1535</v>
      </c>
      <c r="C554" s="10" t="s">
        <v>374</v>
      </c>
      <c r="D554" s="10" t="s">
        <v>79</v>
      </c>
      <c r="E554" s="10" t="s">
        <v>2</v>
      </c>
      <c r="F554" s="11" t="s">
        <v>1536</v>
      </c>
      <c r="G554" s="11"/>
      <c r="H554" s="11"/>
      <c r="I554" s="11">
        <v>1993</v>
      </c>
      <c r="J554" s="11" t="s">
        <v>724</v>
      </c>
      <c r="K554" s="15" t="str">
        <f t="shared" ref="K554:K555" si="36">HYPERLINK("https://drive.google.com/open?id=1oKOZor5DyF6OVwkcYZr0z1iqaNRs9ITY","АА000072")</f>
        <v>АА000072</v>
      </c>
      <c r="L554" s="15" t="str">
        <f>HYPERLINK("https://drive.google.com/open?id=1S2Z4tMBzaGbeALRAuqi9lOsi4FkBIV8O","Сертифікат")</f>
        <v>Сертифікат</v>
      </c>
      <c r="M554" s="11" t="s">
        <v>26</v>
      </c>
      <c r="N554" s="10">
        <v>951.9</v>
      </c>
      <c r="O554" s="10">
        <v>2916</v>
      </c>
      <c r="P554" s="10">
        <v>3</v>
      </c>
      <c r="Q554" s="10">
        <v>125.4</v>
      </c>
      <c r="R554" s="10" t="s">
        <v>66</v>
      </c>
      <c r="S554" s="10">
        <v>594.1</v>
      </c>
      <c r="T554" s="10">
        <v>175</v>
      </c>
      <c r="U554" s="29">
        <v>43719</v>
      </c>
      <c r="V554" s="29">
        <v>47371</v>
      </c>
      <c r="W554" s="10" t="s">
        <v>10</v>
      </c>
      <c r="X554" s="10" t="s">
        <v>17</v>
      </c>
    </row>
    <row r="555" spans="1:24" ht="45" customHeight="1" x14ac:dyDescent="0.25">
      <c r="A555" s="10">
        <f t="shared" si="0"/>
        <v>552</v>
      </c>
      <c r="B555" s="11" t="s">
        <v>1537</v>
      </c>
      <c r="C555" s="10" t="s">
        <v>345</v>
      </c>
      <c r="D555" s="10" t="s">
        <v>79</v>
      </c>
      <c r="E555" s="10" t="s">
        <v>2</v>
      </c>
      <c r="F555" s="11" t="s">
        <v>1538</v>
      </c>
      <c r="G555" s="11"/>
      <c r="H555" s="11"/>
      <c r="I555" s="11">
        <v>1995</v>
      </c>
      <c r="J555" s="11" t="s">
        <v>724</v>
      </c>
      <c r="K555" s="15" t="str">
        <f t="shared" si="36"/>
        <v>АА000072</v>
      </c>
      <c r="L555" s="15" t="str">
        <f>HYPERLINK("https://drive.google.com/open?id=1rzj7qe2zcUfMLfFjFMpVd5AfxXpeGxBx","Сертифікат")</f>
        <v>Сертифікат</v>
      </c>
      <c r="M555" s="11" t="s">
        <v>26</v>
      </c>
      <c r="N555" s="10">
        <v>578.4</v>
      </c>
      <c r="O555" s="10">
        <v>1747</v>
      </c>
      <c r="P555" s="10">
        <v>1</v>
      </c>
      <c r="Q555" s="10">
        <v>215.1</v>
      </c>
      <c r="R555" s="10" t="s">
        <v>66</v>
      </c>
      <c r="S555" s="10">
        <v>783.6</v>
      </c>
      <c r="T555" s="10">
        <v>191.7</v>
      </c>
      <c r="U555" s="29">
        <v>43719</v>
      </c>
      <c r="V555" s="29">
        <v>47371</v>
      </c>
      <c r="W555" s="10" t="s">
        <v>10</v>
      </c>
      <c r="X555" s="10" t="s">
        <v>17</v>
      </c>
    </row>
    <row r="556" spans="1:24" ht="45" customHeight="1" x14ac:dyDescent="0.25">
      <c r="A556" s="10">
        <f t="shared" si="0"/>
        <v>553</v>
      </c>
      <c r="B556" s="11" t="s">
        <v>1539</v>
      </c>
      <c r="C556" s="10" t="s">
        <v>1540</v>
      </c>
      <c r="D556" s="10" t="s">
        <v>69</v>
      </c>
      <c r="E556" s="10" t="s">
        <v>2</v>
      </c>
      <c r="F556" s="11" t="s">
        <v>1541</v>
      </c>
      <c r="G556" s="11"/>
      <c r="H556" s="11"/>
      <c r="I556" s="11">
        <v>2019</v>
      </c>
      <c r="J556" s="11" t="s">
        <v>448</v>
      </c>
      <c r="K556" s="15" t="str">
        <f>HYPERLINK("https://drive.google.com/open?id=1YFy-QkXteFQ7Qy3y-cGXRmFusNCMcXqN","ОД №000019")</f>
        <v>ОД №000019</v>
      </c>
      <c r="L556" s="15" t="str">
        <f>HYPERLINK("https://drive.google.com/open?id=1VJOG_l0SukH53-J0WtpyiQZSmRAccI7n","Сертифікат")</f>
        <v>Сертифікат</v>
      </c>
      <c r="M556" s="11" t="s">
        <v>18</v>
      </c>
      <c r="N556" s="10">
        <v>1144</v>
      </c>
      <c r="O556" s="10">
        <v>3648</v>
      </c>
      <c r="P556" s="10">
        <v>2</v>
      </c>
      <c r="Q556" s="10">
        <v>57</v>
      </c>
      <c r="R556" s="10" t="s">
        <v>66</v>
      </c>
      <c r="S556" s="10">
        <v>144.96</v>
      </c>
      <c r="T556" s="10">
        <v>27.1</v>
      </c>
      <c r="U556" s="29">
        <v>43714</v>
      </c>
      <c r="V556" s="29">
        <v>47366</v>
      </c>
      <c r="W556" s="10" t="s">
        <v>10</v>
      </c>
      <c r="X556" s="10" t="s">
        <v>17</v>
      </c>
    </row>
    <row r="557" spans="1:24" ht="45" customHeight="1" x14ac:dyDescent="0.25">
      <c r="A557" s="10">
        <f t="shared" si="0"/>
        <v>554</v>
      </c>
      <c r="B557" s="11" t="s">
        <v>1542</v>
      </c>
      <c r="C557" s="10" t="s">
        <v>1543</v>
      </c>
      <c r="D557" s="10" t="s">
        <v>442</v>
      </c>
      <c r="E557" s="10" t="s">
        <v>0</v>
      </c>
      <c r="F557" s="11" t="s">
        <v>1009</v>
      </c>
      <c r="G557" s="11"/>
      <c r="H557" s="11"/>
      <c r="I557" s="11" t="s">
        <v>836</v>
      </c>
      <c r="J557" s="11" t="s">
        <v>1544</v>
      </c>
      <c r="K557" s="15" t="str">
        <f>HYPERLINK("https://drive.google.com/open?id=12fBzNpIyVa6z7CSyxAovcoan-4BQIWDo","ОД №000060")</f>
        <v>ОД №000060</v>
      </c>
      <c r="L557" s="15" t="str">
        <f>HYPERLINK("https://drive.google.com/open?id=1OZurjp4iGicUjN5RqhG5ZAueW-PW0yZw","Сертифікат")</f>
        <v>Сертифікат</v>
      </c>
      <c r="M557" s="11" t="s">
        <v>15</v>
      </c>
      <c r="N557" s="10">
        <v>31476.26</v>
      </c>
      <c r="O557" s="10">
        <v>84986</v>
      </c>
      <c r="P557" s="10" t="s">
        <v>1545</v>
      </c>
      <c r="Q557" s="10">
        <v>51.39</v>
      </c>
      <c r="R557" s="10" t="s">
        <v>57</v>
      </c>
      <c r="S557" s="10">
        <v>107.4</v>
      </c>
      <c r="T557" s="10">
        <v>20.3</v>
      </c>
      <c r="U557" s="29">
        <v>43720</v>
      </c>
      <c r="V557" s="29">
        <v>47372</v>
      </c>
      <c r="W557" s="10" t="s">
        <v>10</v>
      </c>
      <c r="X557" s="10" t="s">
        <v>17</v>
      </c>
    </row>
    <row r="558" spans="1:24" ht="45" customHeight="1" x14ac:dyDescent="0.25">
      <c r="A558" s="10">
        <f t="shared" si="0"/>
        <v>555</v>
      </c>
      <c r="B558" s="11" t="s">
        <v>1546</v>
      </c>
      <c r="C558" s="10" t="s">
        <v>85</v>
      </c>
      <c r="D558" s="10" t="s">
        <v>86</v>
      </c>
      <c r="E558" s="10" t="s">
        <v>0</v>
      </c>
      <c r="F558" s="11" t="s">
        <v>1547</v>
      </c>
      <c r="G558" s="11"/>
      <c r="H558" s="11"/>
      <c r="I558" s="11" t="s">
        <v>836</v>
      </c>
      <c r="J558" s="11" t="s">
        <v>992</v>
      </c>
      <c r="K558" s="15" t="str">
        <f t="shared" ref="K558:K559" si="37">HYPERLINK("https://drive.google.com/open?id=1YahV5U6nzJHToaX4SQsiE71O2xlIaiiy","ОД 02071010/0301-19")</f>
        <v>ОД 02071010/0301-19</v>
      </c>
      <c r="L558" s="15" t="str">
        <f>HYPERLINK("https://drive.google.com/open?id=1YahV5U6nzJHToaX4SQsiE71O2xlIaiiy","Сертифікат")</f>
        <v>Сертифікат</v>
      </c>
      <c r="M558" s="11" t="s">
        <v>18</v>
      </c>
      <c r="N558" s="10">
        <v>10477.799999999999</v>
      </c>
      <c r="O558" s="10">
        <v>30980.3</v>
      </c>
      <c r="P558" s="10">
        <v>9</v>
      </c>
      <c r="Q558" s="10">
        <v>86.6</v>
      </c>
      <c r="R558" s="10" t="s">
        <v>57</v>
      </c>
      <c r="S558" s="10">
        <v>161.69999999999999</v>
      </c>
      <c r="T558" s="10">
        <v>30.8</v>
      </c>
      <c r="U558" s="29">
        <v>43710</v>
      </c>
      <c r="V558" s="29">
        <v>47362</v>
      </c>
      <c r="W558" s="10" t="s">
        <v>10</v>
      </c>
      <c r="X558" s="10" t="s">
        <v>17</v>
      </c>
    </row>
    <row r="559" spans="1:24" ht="45" customHeight="1" x14ac:dyDescent="0.25">
      <c r="A559" s="10">
        <f t="shared" si="0"/>
        <v>556</v>
      </c>
      <c r="B559" s="11" t="s">
        <v>1548</v>
      </c>
      <c r="C559" s="10" t="s">
        <v>85</v>
      </c>
      <c r="D559" s="10" t="s">
        <v>86</v>
      </c>
      <c r="E559" s="10" t="s">
        <v>0</v>
      </c>
      <c r="F559" s="11" t="s">
        <v>1549</v>
      </c>
      <c r="G559" s="11"/>
      <c r="H559" s="11"/>
      <c r="I559" s="11">
        <v>2019</v>
      </c>
      <c r="J559" s="11" t="s">
        <v>992</v>
      </c>
      <c r="K559" s="15" t="str">
        <f t="shared" si="37"/>
        <v>ОД 02071010/0301-19</v>
      </c>
      <c r="L559" s="15" t="str">
        <f>HYPERLINK("https://drive.google.com/open?id=1BWdtsLn4WIO4WuFobMt6vGkY5SQwvFCu","Сертифікат")</f>
        <v>Сертифікат</v>
      </c>
      <c r="M559" s="11" t="s">
        <v>22</v>
      </c>
      <c r="N559" s="10">
        <v>7750.4</v>
      </c>
      <c r="O559" s="10">
        <v>23068.3</v>
      </c>
      <c r="P559" s="10">
        <v>10</v>
      </c>
      <c r="Q559" s="10">
        <v>130.9</v>
      </c>
      <c r="R559" s="10" t="s">
        <v>57</v>
      </c>
      <c r="S559" s="10">
        <v>185.5</v>
      </c>
      <c r="T559" s="10">
        <v>36.299999999999997</v>
      </c>
      <c r="U559" s="29">
        <v>43710</v>
      </c>
      <c r="V559" s="29">
        <v>47362</v>
      </c>
      <c r="W559" s="10" t="s">
        <v>13</v>
      </c>
      <c r="X559" s="10" t="s">
        <v>14</v>
      </c>
    </row>
    <row r="560" spans="1:24" ht="45" customHeight="1" x14ac:dyDescent="0.25">
      <c r="A560" s="10">
        <f t="shared" si="0"/>
        <v>557</v>
      </c>
      <c r="B560" s="11" t="s">
        <v>1550</v>
      </c>
      <c r="C560" s="10" t="s">
        <v>1551</v>
      </c>
      <c r="D560" s="10" t="s">
        <v>648</v>
      </c>
      <c r="E560" s="10" t="s">
        <v>2</v>
      </c>
      <c r="F560" s="11" t="s">
        <v>1552</v>
      </c>
      <c r="G560" s="11"/>
      <c r="H560" s="11"/>
      <c r="I560" s="11" t="s">
        <v>1447</v>
      </c>
      <c r="J560" s="11" t="s">
        <v>724</v>
      </c>
      <c r="K560" s="15" t="str">
        <f t="shared" ref="K560:K561" si="38">HYPERLINK("https://drive.google.com/open?id=1oKOZor5DyF6OVwkcYZr0z1iqaNRs9ITY","№АА000072")</f>
        <v>№АА000072</v>
      </c>
      <c r="L560" s="15" t="str">
        <f>HYPERLINK("https://drive.google.com/open?id=1Mhb1HW4zmdP66PcYC8Gu-vthsMCrQCzs","Сертифікат")</f>
        <v>Сертифікат</v>
      </c>
      <c r="M560" s="11" t="s">
        <v>26</v>
      </c>
      <c r="N560" s="10">
        <v>275</v>
      </c>
      <c r="O560" s="10">
        <v>853</v>
      </c>
      <c r="P560" s="10">
        <v>1</v>
      </c>
      <c r="Q560" s="10">
        <v>228.5</v>
      </c>
      <c r="R560" s="10" t="s">
        <v>66</v>
      </c>
      <c r="S560" s="10">
        <v>839.7</v>
      </c>
      <c r="T560" s="10">
        <v>203.9</v>
      </c>
      <c r="U560" s="29">
        <v>43719</v>
      </c>
      <c r="V560" s="29">
        <v>47371</v>
      </c>
      <c r="W560" s="10" t="s">
        <v>10</v>
      </c>
      <c r="X560" s="10" t="s">
        <v>17</v>
      </c>
    </row>
    <row r="561" spans="1:24" ht="45" customHeight="1" x14ac:dyDescent="0.25">
      <c r="A561" s="10">
        <f t="shared" si="0"/>
        <v>558</v>
      </c>
      <c r="B561" s="11" t="s">
        <v>1553</v>
      </c>
      <c r="C561" s="10" t="s">
        <v>1554</v>
      </c>
      <c r="D561" s="10" t="s">
        <v>648</v>
      </c>
      <c r="E561" s="10" t="s">
        <v>2</v>
      </c>
      <c r="F561" s="11" t="s">
        <v>1555</v>
      </c>
      <c r="G561" s="11"/>
      <c r="H561" s="11"/>
      <c r="I561" s="11">
        <v>1971</v>
      </c>
      <c r="J561" s="11" t="s">
        <v>724</v>
      </c>
      <c r="K561" s="15" t="str">
        <f t="shared" si="38"/>
        <v>№АА000072</v>
      </c>
      <c r="L561" s="15" t="str">
        <f>HYPERLINK("https://drive.google.com/open?id=1CdD8Y0aAE05gB-H7kK_iOK4sUJ0UKNm6","Сертифікат")</f>
        <v>Сертифікат</v>
      </c>
      <c r="M561" s="11" t="s">
        <v>26</v>
      </c>
      <c r="N561" s="10">
        <v>277.7</v>
      </c>
      <c r="O561" s="10">
        <v>850</v>
      </c>
      <c r="P561" s="10">
        <v>1</v>
      </c>
      <c r="Q561" s="10">
        <v>199.8</v>
      </c>
      <c r="R561" s="10" t="s">
        <v>66</v>
      </c>
      <c r="S561" s="10">
        <v>864.2</v>
      </c>
      <c r="T561" s="10">
        <v>240.4</v>
      </c>
      <c r="U561" s="29">
        <v>43719</v>
      </c>
      <c r="V561" s="29">
        <v>47371</v>
      </c>
      <c r="W561" s="10" t="s">
        <v>10</v>
      </c>
      <c r="X561" s="10" t="s">
        <v>17</v>
      </c>
    </row>
    <row r="562" spans="1:24" ht="45" customHeight="1" x14ac:dyDescent="0.25">
      <c r="A562" s="10">
        <f t="shared" si="0"/>
        <v>559</v>
      </c>
      <c r="B562" s="11" t="s">
        <v>1556</v>
      </c>
      <c r="C562" s="10" t="s">
        <v>374</v>
      </c>
      <c r="D562" s="10" t="s">
        <v>79</v>
      </c>
      <c r="E562" s="10" t="s">
        <v>3</v>
      </c>
      <c r="F562" s="11" t="s">
        <v>1557</v>
      </c>
      <c r="G562" s="11"/>
      <c r="H562" s="11"/>
      <c r="I562" s="11">
        <v>1970</v>
      </c>
      <c r="J562" s="11" t="s">
        <v>150</v>
      </c>
      <c r="K562" s="15" t="str">
        <f>HYPERLINK("https://drive.google.com/open?id=1lPaVOdYRv96X1_3N5OYB5TnG02gUybVZ","СБ-0025")</f>
        <v>СБ-0025</v>
      </c>
      <c r="L562" s="15" t="str">
        <f>HYPERLINK("https://drive.google.com/open?id=105Q-ipB5shQ4DJzlure2IzMnm3BsdRqO","Сертифікат")</f>
        <v>Сертифікат</v>
      </c>
      <c r="M562" s="11" t="s">
        <v>26</v>
      </c>
      <c r="N562" s="10">
        <v>1790</v>
      </c>
      <c r="O562" s="10">
        <v>6178</v>
      </c>
      <c r="P562" s="10">
        <v>2</v>
      </c>
      <c r="Q562" s="10">
        <v>64</v>
      </c>
      <c r="R562" s="10" t="s">
        <v>66</v>
      </c>
      <c r="S562" s="10">
        <v>325</v>
      </c>
      <c r="T562" s="10">
        <v>91</v>
      </c>
      <c r="U562" s="29">
        <v>43615</v>
      </c>
      <c r="V562" s="29">
        <v>47267</v>
      </c>
      <c r="W562" s="10" t="s">
        <v>10</v>
      </c>
      <c r="X562" s="10" t="s">
        <v>17</v>
      </c>
    </row>
    <row r="563" spans="1:24" ht="45" customHeight="1" x14ac:dyDescent="0.25">
      <c r="A563" s="10">
        <f t="shared" si="0"/>
        <v>560</v>
      </c>
      <c r="B563" s="11" t="s">
        <v>1558</v>
      </c>
      <c r="C563" s="10" t="s">
        <v>1451</v>
      </c>
      <c r="D563" s="10" t="s">
        <v>142</v>
      </c>
      <c r="E563" s="10" t="s">
        <v>2</v>
      </c>
      <c r="F563" s="11" t="s">
        <v>1559</v>
      </c>
      <c r="G563" s="11"/>
      <c r="H563" s="11"/>
      <c r="I563" s="11">
        <v>1960</v>
      </c>
      <c r="J563" s="11" t="s">
        <v>1458</v>
      </c>
      <c r="K563" s="15" t="str">
        <f>HYPERLINK("https://drive.google.com/open?id=1OUFweNmmdWEHZeEEzNQOhrlfoP8fo4Sl","СБ-0074")</f>
        <v>СБ-0074</v>
      </c>
      <c r="L563" s="15" t="str">
        <f>HYPERLINK("https://drive.google.com/open?id=1LOtCSX29nqWQZjo1ivJZdeZjesnXG1wR","Сертифікат")</f>
        <v>Сертифікат</v>
      </c>
      <c r="M563" s="11" t="s">
        <v>24</v>
      </c>
      <c r="N563" s="10">
        <v>2300</v>
      </c>
      <c r="O563" s="10">
        <v>8511</v>
      </c>
      <c r="P563" s="10">
        <v>2</v>
      </c>
      <c r="Q563" s="10">
        <v>90</v>
      </c>
      <c r="R563" s="10" t="s">
        <v>66</v>
      </c>
      <c r="S563" s="10">
        <v>440</v>
      </c>
      <c r="T563" s="10">
        <v>86</v>
      </c>
      <c r="U563" s="29">
        <v>43713</v>
      </c>
      <c r="V563" s="29">
        <v>47365</v>
      </c>
      <c r="W563" s="10" t="s">
        <v>10</v>
      </c>
      <c r="X563" s="10" t="s">
        <v>17</v>
      </c>
    </row>
    <row r="564" spans="1:24" ht="45" customHeight="1" x14ac:dyDescent="0.25">
      <c r="A564" s="10">
        <f t="shared" si="0"/>
        <v>561</v>
      </c>
      <c r="B564" s="11" t="s">
        <v>1560</v>
      </c>
      <c r="C564" s="10" t="s">
        <v>1561</v>
      </c>
      <c r="D564" s="10" t="s">
        <v>86</v>
      </c>
      <c r="E564" s="10" t="s">
        <v>6</v>
      </c>
      <c r="F564" s="11" t="s">
        <v>1562</v>
      </c>
      <c r="G564" s="11"/>
      <c r="H564" s="11"/>
      <c r="I564" s="11" t="s">
        <v>836</v>
      </c>
      <c r="J564" s="11" t="s">
        <v>1563</v>
      </c>
      <c r="K564" s="15" t="str">
        <f>HYPERLINK("https://drive.google.com/open?id=1VJmNiHGJI5wDP6JjrSiS1D5cHbidmUzw","ЕЕ 00049")</f>
        <v>ЕЕ 00049</v>
      </c>
      <c r="L564" s="15" t="str">
        <f>HYPERLINK("https://drive.google.com/open?id=10HcEM3XXo39UHK4Lmg_mCIwqlzoMn3rI","Сертифікат")</f>
        <v>Сертифікат</v>
      </c>
      <c r="M564" s="11" t="s">
        <v>26</v>
      </c>
      <c r="N564" s="10">
        <v>1828.6</v>
      </c>
      <c r="O564" s="10">
        <v>6115.2</v>
      </c>
      <c r="P564" s="10">
        <v>3</v>
      </c>
      <c r="Q564" s="10">
        <v>215.7</v>
      </c>
      <c r="R564" s="10" t="s">
        <v>57</v>
      </c>
      <c r="S564" s="10">
        <v>174</v>
      </c>
      <c r="T564" s="10">
        <v>32</v>
      </c>
      <c r="U564" s="29">
        <v>43717</v>
      </c>
      <c r="V564" s="29">
        <v>47369</v>
      </c>
      <c r="W564" s="10" t="s">
        <v>10</v>
      </c>
      <c r="X564" s="10" t="s">
        <v>17</v>
      </c>
    </row>
    <row r="565" spans="1:24" ht="45" customHeight="1" x14ac:dyDescent="0.25">
      <c r="A565" s="10">
        <f t="shared" si="0"/>
        <v>562</v>
      </c>
      <c r="B565" s="11" t="s">
        <v>1564</v>
      </c>
      <c r="C565" s="10" t="s">
        <v>52</v>
      </c>
      <c r="D565" s="10" t="s">
        <v>52</v>
      </c>
      <c r="E565" s="10" t="s">
        <v>2</v>
      </c>
      <c r="F565" s="11" t="s">
        <v>1565</v>
      </c>
      <c r="G565" s="11"/>
      <c r="H565" s="11"/>
      <c r="I565" s="11" t="s">
        <v>836</v>
      </c>
      <c r="J565" s="11" t="s">
        <v>981</v>
      </c>
      <c r="K565" s="15" t="str">
        <f>HYPERLINK("https://drive.google.com/open?id=1IDQuQux79NT0xtRrkfgG6JOgxOamY1Vd","АА000036")</f>
        <v>АА000036</v>
      </c>
      <c r="L565" s="15" t="str">
        <f>HYPERLINK("https://drive.google.com/open?id=1XPAHv-Fp19M-wP0Bals_Llp1bOI5dlv1","Сертифікат")</f>
        <v>Сертифікат</v>
      </c>
      <c r="M565" s="11" t="s">
        <v>15</v>
      </c>
      <c r="N565" s="10">
        <v>1217.2</v>
      </c>
      <c r="O565" s="10">
        <v>6834.05</v>
      </c>
      <c r="P565" s="10">
        <v>1</v>
      </c>
      <c r="Q565" s="10">
        <v>37</v>
      </c>
      <c r="R565" s="10" t="s">
        <v>66</v>
      </c>
      <c r="S565" s="10">
        <v>687.8</v>
      </c>
      <c r="T565" s="10">
        <v>125.6</v>
      </c>
      <c r="U565" s="29">
        <v>43719</v>
      </c>
      <c r="V565" s="29">
        <v>47371</v>
      </c>
      <c r="W565" s="10" t="s">
        <v>13</v>
      </c>
      <c r="X565" s="10" t="s">
        <v>14</v>
      </c>
    </row>
    <row r="566" spans="1:24" ht="45" customHeight="1" x14ac:dyDescent="0.25">
      <c r="A566" s="10">
        <f t="shared" si="0"/>
        <v>563</v>
      </c>
      <c r="B566" s="11" t="s">
        <v>1566</v>
      </c>
      <c r="C566" s="47" t="s">
        <v>1543</v>
      </c>
      <c r="D566" s="10" t="s">
        <v>442</v>
      </c>
      <c r="E566" s="10" t="s">
        <v>0</v>
      </c>
      <c r="F566" s="11" t="s">
        <v>1567</v>
      </c>
      <c r="G566" s="11"/>
      <c r="H566" s="11"/>
      <c r="I566" s="11" t="s">
        <v>836</v>
      </c>
      <c r="J566" s="11" t="s">
        <v>1568</v>
      </c>
      <c r="K566" s="51" t="s">
        <v>1569</v>
      </c>
      <c r="L566" s="15" t="str">
        <f>HYPERLINK("https://drive.google.com/open?id=1_flOYn8pzCSIOtZS6F93rMtxxkfMz0Er","Сертифікат")</f>
        <v>Сертифікат</v>
      </c>
      <c r="M566" s="11" t="s">
        <v>15</v>
      </c>
      <c r="N566" s="10">
        <v>18859.400000000001</v>
      </c>
      <c r="O566" s="10">
        <v>50920</v>
      </c>
      <c r="P566" s="10">
        <v>11</v>
      </c>
      <c r="Q566" s="10">
        <v>76.47</v>
      </c>
      <c r="R566" s="10" t="s">
        <v>57</v>
      </c>
      <c r="S566" s="10">
        <v>156.9</v>
      </c>
      <c r="T566" s="10">
        <v>25.7</v>
      </c>
      <c r="U566" s="29">
        <v>43721</v>
      </c>
      <c r="V566" s="29">
        <v>47373</v>
      </c>
      <c r="W566" s="10" t="s">
        <v>10</v>
      </c>
      <c r="X566" s="10" t="s">
        <v>17</v>
      </c>
    </row>
    <row r="567" spans="1:24" ht="45" customHeight="1" x14ac:dyDescent="0.25">
      <c r="A567" s="10">
        <f t="shared" si="0"/>
        <v>564</v>
      </c>
      <c r="B567" s="11" t="s">
        <v>1570</v>
      </c>
      <c r="C567" s="10" t="s">
        <v>243</v>
      </c>
      <c r="D567" s="10" t="s">
        <v>243</v>
      </c>
      <c r="E567" s="10" t="s">
        <v>0</v>
      </c>
      <c r="F567" s="11" t="s">
        <v>1345</v>
      </c>
      <c r="G567" s="11"/>
      <c r="H567" s="11"/>
      <c r="I567" s="11" t="s">
        <v>836</v>
      </c>
      <c r="J567" s="10" t="s">
        <v>843</v>
      </c>
      <c r="K567" s="15" t="s">
        <v>844</v>
      </c>
      <c r="L567" s="15" t="str">
        <f>HYPERLINK("https://drive.google.com/open?id=1AyV-I7Wx1U1sxmAYzIy97JQsyb5VQomO","Сертифікат")</f>
        <v>Сертифікат</v>
      </c>
      <c r="M567" s="11" t="s">
        <v>18</v>
      </c>
      <c r="N567" s="10">
        <v>5163.1000000000004</v>
      </c>
      <c r="O567" s="10">
        <v>20034.8</v>
      </c>
      <c r="P567" s="10">
        <v>9</v>
      </c>
      <c r="Q567" s="10">
        <v>85.71</v>
      </c>
      <c r="R567" s="10" t="s">
        <v>57</v>
      </c>
      <c r="S567" s="10">
        <v>226.5</v>
      </c>
      <c r="T567" s="10">
        <v>41.4</v>
      </c>
      <c r="U567" s="29">
        <v>43720</v>
      </c>
      <c r="V567" s="29">
        <v>47372</v>
      </c>
      <c r="W567" s="10" t="s">
        <v>10</v>
      </c>
      <c r="X567" s="10" t="s">
        <v>17</v>
      </c>
    </row>
    <row r="568" spans="1:24" ht="45" customHeight="1" x14ac:dyDescent="0.25">
      <c r="A568" s="10">
        <f t="shared" si="0"/>
        <v>565</v>
      </c>
      <c r="B568" s="11" t="s">
        <v>1571</v>
      </c>
      <c r="C568" s="10" t="s">
        <v>85</v>
      </c>
      <c r="D568" s="10" t="s">
        <v>86</v>
      </c>
      <c r="E568" s="10" t="s">
        <v>0</v>
      </c>
      <c r="F568" s="11" t="s">
        <v>1572</v>
      </c>
      <c r="G568" s="11"/>
      <c r="H568" s="11"/>
      <c r="I568" s="11">
        <v>1979</v>
      </c>
      <c r="J568" s="11" t="s">
        <v>428</v>
      </c>
      <c r="K568" s="15" t="str">
        <f>HYPERLINK("https://drive.google.com/open?id=1hMtmxpZ4W6wrP5aiVQWYvgqVgVLRX8-4","ОД 02071010/0934-18")</f>
        <v>ОД 02071010/0934-18</v>
      </c>
      <c r="L568" s="15" t="str">
        <f>HYPERLINK("https://drive.google.com/open?id=19IMQUyjXqENoZe1AhmO3zOTQoyRpe63v","Сертифікат")</f>
        <v>Сертифікат</v>
      </c>
      <c r="M568" s="11" t="s">
        <v>26</v>
      </c>
      <c r="N568" s="10">
        <v>17681</v>
      </c>
      <c r="O568" s="10">
        <v>56580</v>
      </c>
      <c r="P568" s="10">
        <v>9</v>
      </c>
      <c r="Q568" s="10">
        <v>181.99</v>
      </c>
      <c r="R568" s="10" t="s">
        <v>57</v>
      </c>
      <c r="S568" s="10">
        <v>202.79</v>
      </c>
      <c r="T568" s="10">
        <v>45.2</v>
      </c>
      <c r="U568" s="29">
        <v>43718</v>
      </c>
      <c r="V568" s="29">
        <v>47370</v>
      </c>
      <c r="W568" s="10" t="s">
        <v>13</v>
      </c>
      <c r="X568" s="10" t="s">
        <v>17</v>
      </c>
    </row>
    <row r="569" spans="1:24" ht="45" customHeight="1" x14ac:dyDescent="0.25">
      <c r="A569" s="10">
        <f t="shared" si="0"/>
        <v>566</v>
      </c>
      <c r="B569" s="11" t="s">
        <v>1573</v>
      </c>
      <c r="C569" s="47" t="s">
        <v>687</v>
      </c>
      <c r="D569" s="10" t="s">
        <v>142</v>
      </c>
      <c r="E569" s="10" t="s">
        <v>0</v>
      </c>
      <c r="F569" s="11" t="s">
        <v>1574</v>
      </c>
      <c r="G569" s="11"/>
      <c r="H569" s="11"/>
      <c r="I569" s="11">
        <v>1967</v>
      </c>
      <c r="J569" s="10" t="s">
        <v>1371</v>
      </c>
      <c r="K569" s="51" t="s">
        <v>1372</v>
      </c>
      <c r="L569" s="15" t="str">
        <f>HYPERLINK("https://drive.google.com/open?id=1IAAvCeqOUELDf7N8-jBFG8ekyUNqUmWW","Сертифікат")</f>
        <v>Сертифікат</v>
      </c>
      <c r="M569" s="11" t="s">
        <v>24</v>
      </c>
      <c r="N569" s="10">
        <v>88.7</v>
      </c>
      <c r="O569" s="10">
        <v>234</v>
      </c>
      <c r="P569" s="10">
        <v>2</v>
      </c>
      <c r="Q569" s="10">
        <v>230.48</v>
      </c>
      <c r="R569" s="10" t="s">
        <v>57</v>
      </c>
      <c r="S569" s="10">
        <v>283.17</v>
      </c>
      <c r="T569" s="10">
        <v>53.9</v>
      </c>
      <c r="U569" s="29">
        <v>43721</v>
      </c>
      <c r="V569" s="29">
        <v>47373</v>
      </c>
      <c r="W569" s="10" t="s">
        <v>13</v>
      </c>
      <c r="X569" s="10" t="s">
        <v>17</v>
      </c>
    </row>
    <row r="570" spans="1:24" ht="45" customHeight="1" x14ac:dyDescent="0.25">
      <c r="A570" s="10">
        <f t="shared" si="0"/>
        <v>567</v>
      </c>
      <c r="B570" s="11" t="s">
        <v>1575</v>
      </c>
      <c r="C570" s="10" t="s">
        <v>1576</v>
      </c>
      <c r="D570" s="10" t="s">
        <v>69</v>
      </c>
      <c r="E570" s="10" t="s">
        <v>2</v>
      </c>
      <c r="F570" s="24" t="s">
        <v>1577</v>
      </c>
      <c r="G570" s="11"/>
      <c r="H570" s="11"/>
      <c r="I570" s="11">
        <v>1989</v>
      </c>
      <c r="J570" s="10" t="s">
        <v>438</v>
      </c>
      <c r="K570" s="15" t="s">
        <v>439</v>
      </c>
      <c r="L570" s="15" t="str">
        <f>HYPERLINK("https://drive.google.com/open?id=1KYXmR76CJhrFH1b_S0D_-1u6Exz-BPv4","Сертифікат")</f>
        <v>Сертифікат</v>
      </c>
      <c r="M570" s="11" t="s">
        <v>18</v>
      </c>
      <c r="N570" s="10">
        <v>818.3</v>
      </c>
      <c r="O570" s="10">
        <v>4907.2</v>
      </c>
      <c r="P570" s="10">
        <v>2</v>
      </c>
      <c r="Q570" s="10">
        <v>55.2</v>
      </c>
      <c r="R570" s="10" t="s">
        <v>66</v>
      </c>
      <c r="S570" s="10">
        <v>430.1</v>
      </c>
      <c r="T570" s="10">
        <v>84.7</v>
      </c>
      <c r="U570" s="29">
        <v>43721</v>
      </c>
      <c r="V570" s="29">
        <v>47373</v>
      </c>
      <c r="W570" s="10" t="s">
        <v>10</v>
      </c>
      <c r="X570" s="10" t="s">
        <v>17</v>
      </c>
    </row>
    <row r="571" spans="1:24" ht="45" customHeight="1" x14ac:dyDescent="0.25">
      <c r="A571" s="10">
        <f t="shared" si="0"/>
        <v>568</v>
      </c>
      <c r="B571" s="11" t="s">
        <v>1578</v>
      </c>
      <c r="C571" s="10" t="s">
        <v>1507</v>
      </c>
      <c r="D571" s="10" t="s">
        <v>317</v>
      </c>
      <c r="E571" s="10" t="s">
        <v>2</v>
      </c>
      <c r="F571" s="11" t="s">
        <v>1579</v>
      </c>
      <c r="G571" s="11"/>
      <c r="H571" s="11"/>
      <c r="I571" s="11">
        <v>1988</v>
      </c>
      <c r="J571" s="43" t="s">
        <v>642</v>
      </c>
      <c r="K571" s="15" t="s">
        <v>643</v>
      </c>
      <c r="L571" s="15" t="str">
        <f>HYPERLINK("https://drive.google.com/open?id=1aNl9GX8L_1Oz1dXaEYnNJurGX4KGgMAB","Сертифікат")</f>
        <v>Сертифікат</v>
      </c>
      <c r="M571" s="11" t="s">
        <v>22</v>
      </c>
      <c r="N571" s="10">
        <v>10962</v>
      </c>
      <c r="O571" s="10">
        <v>29303</v>
      </c>
      <c r="P571" s="10">
        <v>9</v>
      </c>
      <c r="Q571" s="10">
        <v>61.7</v>
      </c>
      <c r="R571" s="10" t="s">
        <v>66</v>
      </c>
      <c r="S571" s="10">
        <v>247</v>
      </c>
      <c r="T571" s="10">
        <v>48</v>
      </c>
      <c r="U571" s="29">
        <v>43721</v>
      </c>
      <c r="V571" s="29">
        <v>47373</v>
      </c>
      <c r="W571" s="10" t="s">
        <v>10</v>
      </c>
      <c r="X571" s="10" t="s">
        <v>17</v>
      </c>
    </row>
    <row r="572" spans="1:24" ht="45" customHeight="1" x14ac:dyDescent="0.25">
      <c r="A572" s="10">
        <f t="shared" si="0"/>
        <v>569</v>
      </c>
      <c r="B572" s="11" t="s">
        <v>1580</v>
      </c>
      <c r="C572" s="10" t="s">
        <v>1581</v>
      </c>
      <c r="D572" s="10" t="s">
        <v>86</v>
      </c>
      <c r="E572" s="10" t="s">
        <v>0</v>
      </c>
      <c r="F572" s="11" t="s">
        <v>1582</v>
      </c>
      <c r="G572" s="11"/>
      <c r="H572" s="11"/>
      <c r="I572" s="11">
        <v>2019</v>
      </c>
      <c r="J572" s="10" t="s">
        <v>739</v>
      </c>
      <c r="K572" s="15" t="s">
        <v>740</v>
      </c>
      <c r="L572" s="15" t="str">
        <f>HYPERLINK("https://drive.google.com/open?id=18KVhKGUcNBPqZKN-DnNLIqE4SYuga0-Z","Сертифікат")</f>
        <v>Сертифікат</v>
      </c>
      <c r="M572" s="11" t="s">
        <v>15</v>
      </c>
      <c r="N572" s="10">
        <v>6560.1</v>
      </c>
      <c r="O572" s="10">
        <v>19680</v>
      </c>
      <c r="P572" s="10">
        <v>7</v>
      </c>
      <c r="Q572" s="10">
        <v>78.19</v>
      </c>
      <c r="R572" s="10" t="s">
        <v>57</v>
      </c>
      <c r="S572" s="10">
        <v>113.07</v>
      </c>
      <c r="T572" s="10">
        <v>20.81</v>
      </c>
      <c r="U572" s="29">
        <v>43721</v>
      </c>
      <c r="V572" s="29">
        <v>47373</v>
      </c>
      <c r="W572" s="10" t="s">
        <v>13</v>
      </c>
      <c r="X572" s="10" t="s">
        <v>17</v>
      </c>
    </row>
    <row r="573" spans="1:24" ht="45" customHeight="1" x14ac:dyDescent="0.25">
      <c r="A573" s="10">
        <f t="shared" si="0"/>
        <v>570</v>
      </c>
      <c r="B573" s="11" t="s">
        <v>1583</v>
      </c>
      <c r="C573" s="10" t="s">
        <v>773</v>
      </c>
      <c r="D573" s="10" t="s">
        <v>247</v>
      </c>
      <c r="E573" s="10" t="s">
        <v>5</v>
      </c>
      <c r="F573" s="11" t="s">
        <v>1225</v>
      </c>
      <c r="G573" s="11"/>
      <c r="H573" s="11"/>
      <c r="I573" s="11" t="s">
        <v>1584</v>
      </c>
      <c r="J573" s="11" t="s">
        <v>209</v>
      </c>
      <c r="K573" s="15" t="str">
        <f>HYPERLINK("https://drive.google.com/open?id=1nFSy5k_5dEpHD1r7NrzhyR0bvCdUEIlN","СБ-0033")</f>
        <v>СБ-0033</v>
      </c>
      <c r="L573" s="15" t="str">
        <f>HYPERLINK("https://drive.google.com/open?id=1dAQXGimjJO78mFhH0joXLhRwjgY2OK2b","Сертифікат")</f>
        <v>Сертифікат</v>
      </c>
      <c r="M573" s="11" t="s">
        <v>20</v>
      </c>
      <c r="N573" s="10">
        <v>15224</v>
      </c>
      <c r="O573" s="10">
        <v>44758</v>
      </c>
      <c r="P573" s="10">
        <v>5</v>
      </c>
      <c r="Q573" s="10">
        <v>66</v>
      </c>
      <c r="R573" s="10" t="s">
        <v>66</v>
      </c>
      <c r="S573" s="10">
        <v>389</v>
      </c>
      <c r="T573" s="10">
        <v>75</v>
      </c>
      <c r="U573" s="29">
        <v>43721</v>
      </c>
      <c r="V573" s="29">
        <v>47373</v>
      </c>
      <c r="W573" s="10" t="s">
        <v>13</v>
      </c>
      <c r="X573" s="10" t="s">
        <v>17</v>
      </c>
    </row>
    <row r="574" spans="1:24" ht="45" customHeight="1" x14ac:dyDescent="0.25">
      <c r="A574" s="10">
        <f t="shared" si="0"/>
        <v>571</v>
      </c>
      <c r="B574" s="11" t="s">
        <v>1585</v>
      </c>
      <c r="C574" s="10" t="s">
        <v>814</v>
      </c>
      <c r="D574" s="10" t="s">
        <v>815</v>
      </c>
      <c r="E574" s="10" t="s">
        <v>4</v>
      </c>
      <c r="F574" s="11" t="s">
        <v>1586</v>
      </c>
      <c r="G574" s="11"/>
      <c r="H574" s="27"/>
      <c r="I574" s="11" t="s">
        <v>1587</v>
      </c>
      <c r="J574" s="11" t="s">
        <v>1094</v>
      </c>
      <c r="K574" s="15" t="str">
        <f>HYPERLINK("https://drive.google.com/open?id=1Qlik4TIJLPoTQ6woAYUYpDbbA-PfyWE1","АА000059")</f>
        <v>АА000059</v>
      </c>
      <c r="L574" s="15" t="str">
        <f>HYPERLINK("https://drive.google.com/open?id=1BiHo--OQe2-ixlSw1Q6sQZ_d2BEB3c9y","Сертифікат")</f>
        <v>Сертифікат</v>
      </c>
      <c r="M574" s="11" t="s">
        <v>22</v>
      </c>
      <c r="N574" s="10">
        <v>1116</v>
      </c>
      <c r="O574" s="10">
        <v>3625</v>
      </c>
      <c r="P574" s="10">
        <v>2</v>
      </c>
      <c r="Q574" s="10">
        <v>74.8</v>
      </c>
      <c r="R574" s="10" t="s">
        <v>66</v>
      </c>
      <c r="S574" s="10">
        <v>356</v>
      </c>
      <c r="T574" s="10">
        <v>70</v>
      </c>
      <c r="U574" s="29">
        <v>43724</v>
      </c>
      <c r="V574" s="29">
        <v>47376</v>
      </c>
      <c r="W574" s="10" t="s">
        <v>10</v>
      </c>
      <c r="X574" s="10" t="s">
        <v>17</v>
      </c>
    </row>
    <row r="575" spans="1:24" ht="45" customHeight="1" x14ac:dyDescent="0.25">
      <c r="A575" s="10">
        <f t="shared" si="0"/>
        <v>572</v>
      </c>
      <c r="B575" s="11" t="s">
        <v>1588</v>
      </c>
      <c r="C575" s="10" t="s">
        <v>1589</v>
      </c>
      <c r="D575" s="10" t="s">
        <v>485</v>
      </c>
      <c r="E575" s="10" t="s">
        <v>0</v>
      </c>
      <c r="F575" s="27" t="s">
        <v>1590</v>
      </c>
      <c r="G575" s="11"/>
      <c r="H575" s="11"/>
      <c r="I575" s="11">
        <v>2019</v>
      </c>
      <c r="J575" s="20" t="s">
        <v>1591</v>
      </c>
      <c r="K575" s="56" t="str">
        <f>HYPERLINK("https://drive.google.com/open?id=1Eu3b-SQR6QMzDrWPm53uhmGYQaQSos-l","KPI-CE № 000011")</f>
        <v>KPI-CE № 000011</v>
      </c>
      <c r="L575" s="15" t="str">
        <f>HYPERLINK("https://drive.google.com/open?id=1FcrpzaDL4FawWBdc6hRVEmnImKlB-t65","Сертифікат")</f>
        <v>Сертифікат</v>
      </c>
      <c r="M575" s="11" t="s">
        <v>18</v>
      </c>
      <c r="N575" s="10">
        <v>6377</v>
      </c>
      <c r="O575" s="10">
        <v>17856</v>
      </c>
      <c r="P575" s="10">
        <v>10</v>
      </c>
      <c r="Q575" s="10">
        <v>86.23</v>
      </c>
      <c r="R575" s="10" t="s">
        <v>57</v>
      </c>
      <c r="S575" s="10">
        <v>99.36</v>
      </c>
      <c r="T575" s="10">
        <v>22.8</v>
      </c>
      <c r="U575" s="29">
        <v>43724</v>
      </c>
      <c r="V575" s="29">
        <v>47376</v>
      </c>
      <c r="W575" s="10" t="s">
        <v>13</v>
      </c>
      <c r="X575" s="10" t="s">
        <v>17</v>
      </c>
    </row>
    <row r="576" spans="1:24" ht="45" customHeight="1" x14ac:dyDescent="0.25">
      <c r="A576" s="10">
        <f t="shared" si="0"/>
        <v>573</v>
      </c>
      <c r="B576" s="11" t="s">
        <v>1592</v>
      </c>
      <c r="C576" s="10" t="s">
        <v>1593</v>
      </c>
      <c r="D576" s="10" t="s">
        <v>86</v>
      </c>
      <c r="E576" s="10" t="s">
        <v>2</v>
      </c>
      <c r="F576" s="11" t="s">
        <v>1594</v>
      </c>
      <c r="G576" s="11"/>
      <c r="H576" s="11"/>
      <c r="I576" s="11" t="s">
        <v>836</v>
      </c>
      <c r="J576" s="11" t="s">
        <v>428</v>
      </c>
      <c r="K576" s="15" t="str">
        <f>HYPERLINK("https://drive.google.com/open?id=1hMtmxpZ4W6wrP5aiVQWYvgqVgVLRX8-4","ОД 02071010/0934-18")</f>
        <v>ОД 02071010/0934-18</v>
      </c>
      <c r="L576" s="15" t="str">
        <f>HYPERLINK("https://drive.google.com/open?id=1tThUCcJy7cOEdMIxlrFw7CWSEDR3C0gS","Сертифікат")</f>
        <v>Сертифікат</v>
      </c>
      <c r="M576" s="11" t="s">
        <v>18</v>
      </c>
      <c r="N576" s="10">
        <v>678</v>
      </c>
      <c r="O576" s="10">
        <v>2033</v>
      </c>
      <c r="P576" s="10">
        <v>2</v>
      </c>
      <c r="Q576" s="10">
        <v>58.45</v>
      </c>
      <c r="R576" s="10" t="s">
        <v>66</v>
      </c>
      <c r="S576" s="10">
        <v>151.87</v>
      </c>
      <c r="T576" s="10">
        <v>63.8</v>
      </c>
      <c r="U576" s="29">
        <v>43724</v>
      </c>
      <c r="V576" s="29">
        <v>47376</v>
      </c>
      <c r="W576" s="10" t="s">
        <v>13</v>
      </c>
      <c r="X576" s="10" t="s">
        <v>17</v>
      </c>
    </row>
    <row r="577" spans="1:24" ht="45" customHeight="1" x14ac:dyDescent="0.25">
      <c r="A577" s="10">
        <f t="shared" si="0"/>
        <v>574</v>
      </c>
      <c r="B577" s="11" t="s">
        <v>1595</v>
      </c>
      <c r="C577" s="10" t="s">
        <v>357</v>
      </c>
      <c r="D577" s="10" t="s">
        <v>1596</v>
      </c>
      <c r="E577" s="10" t="s">
        <v>5</v>
      </c>
      <c r="F577" s="11" t="s">
        <v>1597</v>
      </c>
      <c r="G577" s="11"/>
      <c r="H577" s="11"/>
      <c r="I577" s="11"/>
      <c r="J577" s="11" t="s">
        <v>1458</v>
      </c>
      <c r="K577" s="15" t="str">
        <f>HYPERLINK("https://drive.google.com/open?id=1OUFweNmmdWEHZeEEzNQOhrlfoP8fo4Sl","СБ-0074")</f>
        <v>СБ-0074</v>
      </c>
      <c r="L577" s="15" t="str">
        <f>HYPERLINK("https://drive.google.com/open?id=1-f7u9PdkOoLVGUZYRGXKWzqkPYgZr5TA","Сертифікат")</f>
        <v>Сертифікат</v>
      </c>
      <c r="M577" s="11" t="s">
        <v>26</v>
      </c>
      <c r="N577" s="10">
        <v>1190</v>
      </c>
      <c r="O577" s="10">
        <v>3569</v>
      </c>
      <c r="P577" s="10">
        <v>1</v>
      </c>
      <c r="Q577" s="10">
        <v>116</v>
      </c>
      <c r="R577" s="10" t="s">
        <v>66</v>
      </c>
      <c r="S577" s="10">
        <v>920</v>
      </c>
      <c r="T577" s="10">
        <v>175</v>
      </c>
      <c r="U577" s="29">
        <v>43717</v>
      </c>
      <c r="V577" s="29">
        <v>47369</v>
      </c>
      <c r="W577" s="10" t="s">
        <v>13</v>
      </c>
      <c r="X577" s="10" t="s">
        <v>17</v>
      </c>
    </row>
    <row r="578" spans="1:24" ht="45" customHeight="1" x14ac:dyDescent="0.25">
      <c r="A578" s="10">
        <f t="shared" si="0"/>
        <v>575</v>
      </c>
      <c r="B578" s="11" t="s">
        <v>1598</v>
      </c>
      <c r="C578" s="10" t="s">
        <v>1589</v>
      </c>
      <c r="D578" s="10" t="s">
        <v>485</v>
      </c>
      <c r="E578" s="10" t="s">
        <v>0</v>
      </c>
      <c r="F578" s="27" t="s">
        <v>1590</v>
      </c>
      <c r="G578" s="11"/>
      <c r="H578" s="11"/>
      <c r="I578" s="11">
        <v>2019</v>
      </c>
      <c r="J578" s="20" t="s">
        <v>1591</v>
      </c>
      <c r="K578" s="56" t="str">
        <f>HYPERLINK("https://drive.google.com/open?id=1Eu3b-SQR6QMzDrWPm53uhmGYQaQSos-l","KPI-CE № 000011")</f>
        <v>KPI-CE № 000011</v>
      </c>
      <c r="L578" s="15" t="str">
        <f>HYPERLINK("https://drive.google.com/open?id=1FN9sibD1RVMqaA4cGJ-RRI21ZPoF-yfQ","Сертифікат")</f>
        <v>Сертифікат</v>
      </c>
      <c r="M578" s="11" t="s">
        <v>18</v>
      </c>
      <c r="N578" s="10">
        <v>7363</v>
      </c>
      <c r="O578" s="10">
        <v>20303</v>
      </c>
      <c r="P578" s="31">
        <v>43747</v>
      </c>
      <c r="Q578" s="10">
        <v>85.99</v>
      </c>
      <c r="R578" s="10" t="s">
        <v>57</v>
      </c>
      <c r="S578" s="10">
        <v>98.35</v>
      </c>
      <c r="T578" s="10">
        <v>22.4</v>
      </c>
      <c r="U578" s="29">
        <v>43724</v>
      </c>
      <c r="V578" s="29">
        <v>47376</v>
      </c>
      <c r="W578" s="10" t="s">
        <v>10</v>
      </c>
      <c r="X578" s="10" t="s">
        <v>17</v>
      </c>
    </row>
    <row r="579" spans="1:24" ht="45" customHeight="1" x14ac:dyDescent="0.25">
      <c r="A579" s="10">
        <f t="shared" si="0"/>
        <v>576</v>
      </c>
      <c r="B579" s="11" t="s">
        <v>1599</v>
      </c>
      <c r="C579" s="10" t="s">
        <v>1600</v>
      </c>
      <c r="D579" s="10" t="s">
        <v>571</v>
      </c>
      <c r="E579" s="10" t="s">
        <v>3</v>
      </c>
      <c r="F579" s="11" t="s">
        <v>1601</v>
      </c>
      <c r="G579" s="11"/>
      <c r="H579" s="11"/>
      <c r="I579" s="11">
        <v>2019</v>
      </c>
      <c r="J579" s="11" t="s">
        <v>432</v>
      </c>
      <c r="K579" s="15" t="s">
        <v>433</v>
      </c>
      <c r="L579" s="15" t="str">
        <f>HYPERLINK("https://drive.google.com/open?id=1N4Mx4raQUXuQfykSPgpByXiBI7oiS8WK","Сертифікат")</f>
        <v>Сертифікат</v>
      </c>
      <c r="M579" s="11" t="s">
        <v>18</v>
      </c>
      <c r="N579" s="10">
        <v>5655.5</v>
      </c>
      <c r="O579" s="10">
        <v>16992</v>
      </c>
      <c r="P579" s="10">
        <v>3</v>
      </c>
      <c r="Q579" s="10">
        <v>31.32</v>
      </c>
      <c r="R579" s="10" t="s">
        <v>66</v>
      </c>
      <c r="S579" s="10">
        <v>126.45</v>
      </c>
      <c r="T579" s="10">
        <v>25.13</v>
      </c>
      <c r="U579" s="29">
        <v>43721</v>
      </c>
      <c r="V579" s="29">
        <v>47373</v>
      </c>
      <c r="W579" s="10" t="s">
        <v>10</v>
      </c>
      <c r="X579" s="10" t="s">
        <v>17</v>
      </c>
    </row>
    <row r="580" spans="1:24" ht="45" customHeight="1" x14ac:dyDescent="0.25">
      <c r="A580" s="10">
        <f t="shared" si="0"/>
        <v>577</v>
      </c>
      <c r="B580" s="11" t="s">
        <v>1602</v>
      </c>
      <c r="C580" s="10" t="s">
        <v>243</v>
      </c>
      <c r="D580" s="10" t="s">
        <v>238</v>
      </c>
      <c r="E580" s="10" t="s">
        <v>0</v>
      </c>
      <c r="F580" s="11" t="s">
        <v>1009</v>
      </c>
      <c r="G580" s="11"/>
      <c r="H580" s="11"/>
      <c r="I580" s="11">
        <v>1966</v>
      </c>
      <c r="J580" s="11" t="s">
        <v>432</v>
      </c>
      <c r="K580" s="15" t="s">
        <v>433</v>
      </c>
      <c r="L580" s="15" t="str">
        <f>HYPERLINK("https://drive.google.com/open?id=1s_2_26x6LKj1AKybXxUtTaK34GbTHsKg","Сертифікат")</f>
        <v>Сертифікат</v>
      </c>
      <c r="M580" s="11" t="s">
        <v>26</v>
      </c>
      <c r="N580" s="10">
        <v>2738.8</v>
      </c>
      <c r="O580" s="10">
        <v>7504.51</v>
      </c>
      <c r="P580" s="10">
        <v>5</v>
      </c>
      <c r="Q580" s="10">
        <v>155.21</v>
      </c>
      <c r="R580" s="10" t="s">
        <v>57</v>
      </c>
      <c r="S580" s="10">
        <v>204.4</v>
      </c>
      <c r="T580" s="10">
        <v>40.770000000000003</v>
      </c>
      <c r="U580" s="29">
        <v>43724</v>
      </c>
      <c r="V580" s="29">
        <v>47376</v>
      </c>
      <c r="W580" s="10" t="s">
        <v>10</v>
      </c>
      <c r="X580" s="10" t="s">
        <v>17</v>
      </c>
    </row>
    <row r="581" spans="1:24" ht="45" customHeight="1" x14ac:dyDescent="0.25">
      <c r="A581" s="10">
        <f t="shared" si="0"/>
        <v>578</v>
      </c>
      <c r="B581" s="11" t="s">
        <v>1603</v>
      </c>
      <c r="C581" s="10" t="s">
        <v>243</v>
      </c>
      <c r="D581" s="10" t="s">
        <v>238</v>
      </c>
      <c r="E581" s="10" t="s">
        <v>0</v>
      </c>
      <c r="F581" s="11" t="s">
        <v>1604</v>
      </c>
      <c r="G581" s="11"/>
      <c r="H581" s="11"/>
      <c r="I581" s="11">
        <v>1966</v>
      </c>
      <c r="J581" s="11" t="s">
        <v>432</v>
      </c>
      <c r="K581" s="15" t="s">
        <v>433</v>
      </c>
      <c r="L581" s="15" t="str">
        <f>HYPERLINK("https://drive.google.com/open?id=1A1TmestbPKwmJC0v1CpBDBqlYFiGigyG","Сертифікат")</f>
        <v>Сертифікат</v>
      </c>
      <c r="M581" s="11" t="s">
        <v>26</v>
      </c>
      <c r="N581" s="10">
        <v>2839.38</v>
      </c>
      <c r="O581" s="10">
        <v>7783.41</v>
      </c>
      <c r="P581" s="10">
        <v>5</v>
      </c>
      <c r="Q581" s="10">
        <v>163.66</v>
      </c>
      <c r="R581" s="10" t="s">
        <v>57</v>
      </c>
      <c r="S581" s="10">
        <v>215.43</v>
      </c>
      <c r="T581" s="10">
        <v>42.98</v>
      </c>
      <c r="U581" s="29">
        <v>43724</v>
      </c>
      <c r="V581" s="29">
        <v>47376</v>
      </c>
      <c r="W581" s="10" t="s">
        <v>10</v>
      </c>
      <c r="X581" s="10" t="s">
        <v>17</v>
      </c>
    </row>
    <row r="582" spans="1:24" ht="45" customHeight="1" x14ac:dyDescent="0.25">
      <c r="A582" s="10">
        <f t="shared" si="0"/>
        <v>579</v>
      </c>
      <c r="B582" s="11" t="s">
        <v>1605</v>
      </c>
      <c r="C582" s="10" t="s">
        <v>1606</v>
      </c>
      <c r="D582" s="10" t="s">
        <v>69</v>
      </c>
      <c r="E582" s="10" t="s">
        <v>3</v>
      </c>
      <c r="F582" s="11" t="s">
        <v>1607</v>
      </c>
      <c r="G582" s="11"/>
      <c r="H582" s="11"/>
      <c r="I582" s="11">
        <v>1975</v>
      </c>
      <c r="J582" s="11" t="s">
        <v>668</v>
      </c>
      <c r="K582" s="15" t="str">
        <f>HYPERLINK("https://drive.google.com/open?id=1NSlpy3KnsggBDFhLrg81QLR2deMl7d6Q","АА000077")</f>
        <v>АА000077</v>
      </c>
      <c r="L582" s="15" t="str">
        <f>HYPERLINK("https://drive.google.com/open?id=1r3lBAmvsDqN14Y-kn4CBl3oYRAFKEXug","Сертифікат")</f>
        <v>Сертифікат</v>
      </c>
      <c r="M582" s="11" t="s">
        <v>26</v>
      </c>
      <c r="N582" s="10">
        <v>1989.7</v>
      </c>
      <c r="O582" s="10">
        <v>7440</v>
      </c>
      <c r="P582" s="10">
        <v>2</v>
      </c>
      <c r="Q582" s="10">
        <v>176.4</v>
      </c>
      <c r="R582" s="10" t="s">
        <v>66</v>
      </c>
      <c r="S582" s="10">
        <v>770.5</v>
      </c>
      <c r="T582" s="10">
        <v>273.60000000000002</v>
      </c>
      <c r="U582" s="29">
        <v>43725</v>
      </c>
      <c r="V582" s="29">
        <v>47377</v>
      </c>
      <c r="W582" s="10" t="s">
        <v>10</v>
      </c>
      <c r="X582" s="10" t="s">
        <v>17</v>
      </c>
    </row>
    <row r="583" spans="1:24" ht="45" customHeight="1" x14ac:dyDescent="0.25">
      <c r="A583" s="10">
        <f t="shared" si="0"/>
        <v>580</v>
      </c>
      <c r="B583" s="11" t="s">
        <v>1608</v>
      </c>
      <c r="C583" s="10" t="s">
        <v>68</v>
      </c>
      <c r="D583" s="10" t="s">
        <v>69</v>
      </c>
      <c r="E583" s="10" t="s">
        <v>2</v>
      </c>
      <c r="F583" s="11" t="s">
        <v>1609</v>
      </c>
      <c r="G583" s="11"/>
      <c r="H583" s="11"/>
      <c r="I583" s="11">
        <v>2019</v>
      </c>
      <c r="J583" s="10" t="s">
        <v>438</v>
      </c>
      <c r="K583" s="15" t="s">
        <v>439</v>
      </c>
      <c r="L583" s="15" t="str">
        <f>HYPERLINK("https://drive.google.com/open?id=1YjiRqg36vENvMKYN5jk1p6X17MNhbmBn","Сертифікат")</f>
        <v>Сертифікат</v>
      </c>
      <c r="M583" s="11" t="s">
        <v>18</v>
      </c>
      <c r="N583" s="10">
        <v>1864</v>
      </c>
      <c r="O583" s="10">
        <v>6392.9</v>
      </c>
      <c r="P583" s="10">
        <v>5</v>
      </c>
      <c r="Q583" s="10">
        <v>40.6</v>
      </c>
      <c r="R583" s="10" t="s">
        <v>66</v>
      </c>
      <c r="S583" s="10">
        <v>253.3</v>
      </c>
      <c r="T583" s="10">
        <v>49.1</v>
      </c>
      <c r="U583" s="29">
        <v>43714</v>
      </c>
      <c r="V583" s="29">
        <v>47366</v>
      </c>
      <c r="W583" s="10" t="s">
        <v>10</v>
      </c>
      <c r="X583" s="10" t="s">
        <v>17</v>
      </c>
    </row>
    <row r="584" spans="1:24" ht="45" customHeight="1" x14ac:dyDescent="0.25">
      <c r="A584" s="10">
        <f t="shared" si="0"/>
        <v>581</v>
      </c>
      <c r="B584" s="11" t="s">
        <v>551</v>
      </c>
      <c r="C584" s="10" t="s">
        <v>552</v>
      </c>
      <c r="D584" s="10" t="s">
        <v>541</v>
      </c>
      <c r="E584" s="10" t="s">
        <v>5</v>
      </c>
      <c r="F584" s="10" t="s">
        <v>553</v>
      </c>
      <c r="G584" s="11"/>
      <c r="H584" s="11"/>
      <c r="I584" s="11">
        <v>1977</v>
      </c>
      <c r="J584" s="20" t="s">
        <v>209</v>
      </c>
      <c r="K584" s="15" t="s">
        <v>210</v>
      </c>
      <c r="L584" s="15" t="str">
        <f>HYPERLINK("https://drive.google.com/open?id=1MocCKHOSI0ypevEQaBgEPWQ0dOkA__TM","Сертифікат")</f>
        <v>Сертифікат</v>
      </c>
      <c r="M584" s="11" t="s">
        <v>24</v>
      </c>
      <c r="N584" s="10">
        <v>1315</v>
      </c>
      <c r="O584" s="10">
        <v>4604</v>
      </c>
      <c r="P584" s="10">
        <v>2</v>
      </c>
      <c r="Q584" s="10">
        <v>95</v>
      </c>
      <c r="R584" s="10" t="s">
        <v>66</v>
      </c>
      <c r="S584" s="10">
        <v>520</v>
      </c>
      <c r="T584" s="10">
        <v>102</v>
      </c>
      <c r="U584" s="29">
        <v>43719</v>
      </c>
      <c r="V584" s="29">
        <v>47371</v>
      </c>
      <c r="W584" s="10" t="s">
        <v>10</v>
      </c>
      <c r="X584" s="10" t="s">
        <v>17</v>
      </c>
    </row>
    <row r="585" spans="1:24" ht="45" customHeight="1" x14ac:dyDescent="0.25">
      <c r="A585" s="10">
        <f t="shared" si="0"/>
        <v>582</v>
      </c>
      <c r="B585" s="11" t="s">
        <v>1610</v>
      </c>
      <c r="C585" s="10" t="s">
        <v>1611</v>
      </c>
      <c r="D585" s="10" t="s">
        <v>317</v>
      </c>
      <c r="E585" s="10" t="s">
        <v>4</v>
      </c>
      <c r="F585" s="11" t="s">
        <v>1612</v>
      </c>
      <c r="G585" s="11"/>
      <c r="H585" s="11"/>
      <c r="I585" s="11">
        <v>1988</v>
      </c>
      <c r="J585" s="20" t="s">
        <v>1591</v>
      </c>
      <c r="K585" s="56" t="str">
        <f>HYPERLINK("https://drive.google.com/open?id=1Eu3b-SQR6QMzDrWPm53uhmGYQaQSos-l","KPI-CE № 000011")</f>
        <v>KPI-CE № 000011</v>
      </c>
      <c r="L585" s="15" t="str">
        <f>HYPERLINK("https://drive.google.com/open?id=1BeSizx7FWftyVIKFjSZHT3cE43SwQpCb","Сертифікат")</f>
        <v>Сертифікат</v>
      </c>
      <c r="M585" s="11" t="s">
        <v>24</v>
      </c>
      <c r="N585" s="10">
        <v>714</v>
      </c>
      <c r="O585" s="10">
        <v>2142</v>
      </c>
      <c r="P585" s="10">
        <v>2</v>
      </c>
      <c r="Q585" s="10">
        <v>88.74</v>
      </c>
      <c r="R585" s="10" t="s">
        <v>66</v>
      </c>
      <c r="S585" s="10">
        <v>319.44</v>
      </c>
      <c r="T585" s="10">
        <v>79.2</v>
      </c>
      <c r="U585" s="29">
        <v>43725</v>
      </c>
      <c r="V585" s="29">
        <v>47377</v>
      </c>
      <c r="W585" s="10" t="s">
        <v>10</v>
      </c>
      <c r="X585" s="10" t="s">
        <v>17</v>
      </c>
    </row>
    <row r="586" spans="1:24" ht="45" customHeight="1" x14ac:dyDescent="0.25">
      <c r="A586" s="10">
        <f t="shared" si="0"/>
        <v>583</v>
      </c>
      <c r="B586" s="11" t="s">
        <v>1613</v>
      </c>
      <c r="C586" s="47" t="s">
        <v>345</v>
      </c>
      <c r="D586" s="52" t="s">
        <v>79</v>
      </c>
      <c r="E586" s="10" t="s">
        <v>0</v>
      </c>
      <c r="F586" s="11" t="s">
        <v>0</v>
      </c>
      <c r="G586" s="11"/>
      <c r="H586" s="11"/>
      <c r="I586" s="11">
        <v>1982</v>
      </c>
      <c r="J586" s="20" t="s">
        <v>209</v>
      </c>
      <c r="K586" s="15" t="s">
        <v>210</v>
      </c>
      <c r="L586" s="15" t="str">
        <f>HYPERLINK("https://drive.google.com/open?id=1Futngb_oCWYzNMafkfhT14_BJASRulTy","Сертифікат")</f>
        <v>Сертифікат</v>
      </c>
      <c r="M586" s="11" t="s">
        <v>24</v>
      </c>
      <c r="N586" s="10">
        <v>4498</v>
      </c>
      <c r="O586" s="10">
        <v>12594</v>
      </c>
      <c r="P586" s="10">
        <v>9</v>
      </c>
      <c r="Q586" s="10">
        <v>137</v>
      </c>
      <c r="R586" s="10" t="s">
        <v>57</v>
      </c>
      <c r="S586" s="10">
        <v>227</v>
      </c>
      <c r="T586" s="10">
        <v>31</v>
      </c>
      <c r="U586" s="29">
        <v>43724</v>
      </c>
      <c r="V586" s="29">
        <v>47376</v>
      </c>
      <c r="W586" s="10" t="s">
        <v>10</v>
      </c>
      <c r="X586" s="10" t="s">
        <v>17</v>
      </c>
    </row>
    <row r="587" spans="1:24" ht="45" customHeight="1" x14ac:dyDescent="0.25">
      <c r="A587" s="10">
        <f t="shared" si="0"/>
        <v>584</v>
      </c>
      <c r="B587" s="27" t="s">
        <v>1614</v>
      </c>
      <c r="C587" s="52" t="s">
        <v>1615</v>
      </c>
      <c r="D587" s="10" t="s">
        <v>75</v>
      </c>
      <c r="E587" s="10" t="s">
        <v>4</v>
      </c>
      <c r="F587" s="27" t="s">
        <v>1616</v>
      </c>
      <c r="G587" s="11"/>
      <c r="H587" s="11"/>
      <c r="I587" s="11">
        <v>2019</v>
      </c>
      <c r="J587" s="11" t="s">
        <v>1617</v>
      </c>
      <c r="K587" s="15" t="str">
        <f>HYPERLINK("https://drive.google.com/open?id=1gVjK7Kms_vZzDIaxyBi5Lt_7GawMSOWj","АА000052")</f>
        <v>АА000052</v>
      </c>
      <c r="L587" s="15" t="str">
        <f>HYPERLINK("https://drive.google.com/open?id=1VQeI0gW8BQJVlk-MJ1ke9gNWTv3GSDkb","Сертифікат")</f>
        <v>Сертифікат</v>
      </c>
      <c r="M587" s="11" t="s">
        <v>18</v>
      </c>
      <c r="N587" s="10">
        <v>987.32</v>
      </c>
      <c r="O587" s="10">
        <v>2961.96</v>
      </c>
      <c r="P587" s="10">
        <v>2</v>
      </c>
      <c r="Q587" s="10">
        <v>55.06</v>
      </c>
      <c r="R587" s="10" t="s">
        <v>66</v>
      </c>
      <c r="S587" s="10">
        <v>226.66</v>
      </c>
      <c r="T587" s="10">
        <v>41.963999999999999</v>
      </c>
      <c r="U587" s="29">
        <v>43725</v>
      </c>
      <c r="V587" s="29">
        <v>47377</v>
      </c>
      <c r="W587" s="10" t="s">
        <v>13</v>
      </c>
      <c r="X587" s="10" t="s">
        <v>17</v>
      </c>
    </row>
    <row r="588" spans="1:24" ht="45" customHeight="1" x14ac:dyDescent="0.25">
      <c r="A588" s="10">
        <f t="shared" si="0"/>
        <v>585</v>
      </c>
      <c r="B588" s="11" t="s">
        <v>1618</v>
      </c>
      <c r="C588" s="10" t="s">
        <v>357</v>
      </c>
      <c r="D588" s="10" t="s">
        <v>142</v>
      </c>
      <c r="E588" s="10" t="s">
        <v>0</v>
      </c>
      <c r="F588" s="11" t="s">
        <v>1619</v>
      </c>
      <c r="G588" s="11"/>
      <c r="H588" s="11"/>
      <c r="I588" s="11" t="s">
        <v>836</v>
      </c>
      <c r="J588" s="11" t="s">
        <v>93</v>
      </c>
      <c r="K588" s="15" t="str">
        <f>HYPERLINK("https://drive.google.com/open?id=16knL7rF64EXtCB0-Ch1v5DtfiE2GYjkB","№ ЕЕ-002-10-18")</f>
        <v>№ ЕЕ-002-10-18</v>
      </c>
      <c r="L588" s="15" t="str">
        <f>HYPERLINK("https://drive.google.com/open?id=1iahihHCr2sBOtWvrWuvE3HnxIy431woy","Сертифікат")</f>
        <v>Сертифікат</v>
      </c>
      <c r="M588" s="11" t="s">
        <v>18</v>
      </c>
      <c r="N588" s="10">
        <v>17536.8</v>
      </c>
      <c r="O588" s="10">
        <v>53168.3</v>
      </c>
      <c r="P588" s="10">
        <v>11</v>
      </c>
      <c r="Q588" s="10">
        <v>86.4</v>
      </c>
      <c r="R588" s="10" t="s">
        <v>57</v>
      </c>
      <c r="S588" s="10">
        <v>145</v>
      </c>
      <c r="T588" s="10">
        <v>29</v>
      </c>
      <c r="U588" s="29">
        <v>43724</v>
      </c>
      <c r="V588" s="29">
        <v>47376</v>
      </c>
      <c r="W588" s="10" t="s">
        <v>13</v>
      </c>
      <c r="X588" s="10" t="s">
        <v>17</v>
      </c>
    </row>
    <row r="589" spans="1:24" ht="45" customHeight="1" x14ac:dyDescent="0.25">
      <c r="A589" s="10">
        <f t="shared" si="0"/>
        <v>586</v>
      </c>
      <c r="B589" s="11" t="s">
        <v>1620</v>
      </c>
      <c r="C589" s="10" t="s">
        <v>68</v>
      </c>
      <c r="D589" s="10" t="s">
        <v>69</v>
      </c>
      <c r="E589" s="10" t="s">
        <v>0</v>
      </c>
      <c r="F589" s="11" t="s">
        <v>1621</v>
      </c>
      <c r="G589" s="11"/>
      <c r="H589" s="11"/>
      <c r="I589" s="11">
        <v>2002</v>
      </c>
      <c r="J589" s="11" t="s">
        <v>1622</v>
      </c>
      <c r="K589" s="15" t="str">
        <f>HYPERLINK("https://drive.google.com/open?id=1YFy-QkXteFQ7Qy3y-cGXRmFusNCMcXqN","ОД №000019")</f>
        <v>ОД №000019</v>
      </c>
      <c r="L589" s="15" t="str">
        <f>HYPERLINK("https://drive.google.com/open?id=1fvdF0F2DdH35UdCGsDhxCZx3qwMzCY46","Сертифікат")</f>
        <v>Сертифікат</v>
      </c>
      <c r="M589" s="11" t="s">
        <v>26</v>
      </c>
      <c r="N589" s="10">
        <v>6781.2</v>
      </c>
      <c r="O589" s="10">
        <v>18791</v>
      </c>
      <c r="P589" s="10">
        <v>16</v>
      </c>
      <c r="Q589" s="10">
        <v>207.3</v>
      </c>
      <c r="R589" s="10" t="s">
        <v>57</v>
      </c>
      <c r="S589" s="10" t="s">
        <v>1623</v>
      </c>
      <c r="T589" s="10">
        <v>63.5</v>
      </c>
      <c r="U589" s="29">
        <v>43726</v>
      </c>
      <c r="V589" s="29">
        <v>47378</v>
      </c>
      <c r="W589" s="10" t="s">
        <v>10</v>
      </c>
      <c r="X589" s="10" t="s">
        <v>17</v>
      </c>
    </row>
    <row r="590" spans="1:24" ht="45" customHeight="1" x14ac:dyDescent="0.25">
      <c r="A590" s="10">
        <f t="shared" si="0"/>
        <v>587</v>
      </c>
      <c r="B590" s="11" t="s">
        <v>1624</v>
      </c>
      <c r="C590" s="10" t="s">
        <v>1625</v>
      </c>
      <c r="D590" s="10" t="s">
        <v>142</v>
      </c>
      <c r="E590" s="10" t="s">
        <v>4</v>
      </c>
      <c r="F590" s="11" t="s">
        <v>1626</v>
      </c>
      <c r="G590" s="11"/>
      <c r="H590" s="11"/>
      <c r="I590" s="11">
        <v>1990</v>
      </c>
      <c r="J590" s="11" t="s">
        <v>1285</v>
      </c>
      <c r="K590" s="15" t="str">
        <f t="shared" ref="K590:K591" si="39">HYPERLINK("https://drive.google.com/open?id=1VvGfORJ6L6VwYRUDV8aJ3Nq6jB6_9anA","СБ-0065")</f>
        <v>СБ-0065</v>
      </c>
      <c r="L590" s="15" t="str">
        <f>HYPERLINK("https://drive.google.com/open?id=1PlUVTOOae66VjFbPEPOlxi2rf9WAPXwj","Сертифікат")</f>
        <v>Сертифікат</v>
      </c>
      <c r="M590" s="11" t="s">
        <v>26</v>
      </c>
      <c r="N590" s="10">
        <v>2736</v>
      </c>
      <c r="O590" s="10">
        <v>8209</v>
      </c>
      <c r="P590" s="10">
        <v>2</v>
      </c>
      <c r="Q590" s="10">
        <v>103</v>
      </c>
      <c r="R590" s="10" t="s">
        <v>66</v>
      </c>
      <c r="S590" s="10">
        <v>458</v>
      </c>
      <c r="T590" s="10">
        <v>90</v>
      </c>
      <c r="U590" s="29">
        <v>43720</v>
      </c>
      <c r="V590" s="29">
        <v>47372</v>
      </c>
      <c r="W590" s="10" t="s">
        <v>10</v>
      </c>
      <c r="X590" s="10" t="s">
        <v>17</v>
      </c>
    </row>
    <row r="591" spans="1:24" ht="45" customHeight="1" x14ac:dyDescent="0.25">
      <c r="A591" s="10">
        <f t="shared" si="0"/>
        <v>588</v>
      </c>
      <c r="B591" s="11" t="s">
        <v>1624</v>
      </c>
      <c r="C591" s="10" t="s">
        <v>1625</v>
      </c>
      <c r="D591" s="10" t="s">
        <v>142</v>
      </c>
      <c r="E591" s="10" t="s">
        <v>3</v>
      </c>
      <c r="F591" s="11" t="s">
        <v>1627</v>
      </c>
      <c r="G591" s="11"/>
      <c r="H591" s="11"/>
      <c r="I591" s="11">
        <v>1979</v>
      </c>
      <c r="J591" s="11" t="s">
        <v>1285</v>
      </c>
      <c r="K591" s="15" t="str">
        <f t="shared" si="39"/>
        <v>СБ-0065</v>
      </c>
      <c r="L591" s="15" t="str">
        <f>HYPERLINK("https://drive.google.com/open?id=1F3ZCfLIr19U4xL3Jl4BuD4Jblivkr2Z4https://drive.google.com/open?id=1F3ZCfLIr19U4xL3Jl4BuD4Jblivkr2Z4","Сертифікат")</f>
        <v>Сертифікат</v>
      </c>
      <c r="M591" s="11" t="s">
        <v>26</v>
      </c>
      <c r="N591" s="10">
        <v>3104</v>
      </c>
      <c r="O591" s="10">
        <v>9313</v>
      </c>
      <c r="P591" s="10">
        <v>2</v>
      </c>
      <c r="Q591" s="10">
        <v>76</v>
      </c>
      <c r="R591" s="10" t="s">
        <v>66</v>
      </c>
      <c r="S591" s="10">
        <v>364</v>
      </c>
      <c r="T591" s="10">
        <v>71</v>
      </c>
      <c r="U591" s="29">
        <v>43720</v>
      </c>
      <c r="V591" s="29">
        <v>47372</v>
      </c>
      <c r="W591" s="10" t="s">
        <v>10</v>
      </c>
      <c r="X591" s="10" t="s">
        <v>17</v>
      </c>
    </row>
    <row r="592" spans="1:24" ht="45" customHeight="1" x14ac:dyDescent="0.25">
      <c r="A592" s="10">
        <f t="shared" si="0"/>
        <v>589</v>
      </c>
      <c r="B592" s="11" t="s">
        <v>1628</v>
      </c>
      <c r="C592" s="10" t="s">
        <v>647</v>
      </c>
      <c r="D592" s="10" t="s">
        <v>648</v>
      </c>
      <c r="E592" s="10" t="s">
        <v>4</v>
      </c>
      <c r="F592" s="11" t="s">
        <v>1629</v>
      </c>
      <c r="G592" s="11"/>
      <c r="H592" s="11"/>
      <c r="I592" s="11" t="s">
        <v>836</v>
      </c>
      <c r="J592" s="11" t="s">
        <v>1381</v>
      </c>
      <c r="K592" s="15" t="str">
        <f>HYPERLINK("https://drive.google.com/open?id=1Jwi9wW1YRgL-f0u7oA9ZfZ8Ukp8KpYye","№ АА000101")</f>
        <v>№ АА000101</v>
      </c>
      <c r="L592" s="15" t="str">
        <f>HYPERLINK("https://drive.google.com/open?id=1yMzz2pnCo9lcAsXaV3IVWb_rUvUnh2iW","Сертифікат")</f>
        <v>Сертифікат</v>
      </c>
      <c r="M592" s="11" t="s">
        <v>15</v>
      </c>
      <c r="N592" s="10">
        <v>957</v>
      </c>
      <c r="O592" s="10">
        <v>2989</v>
      </c>
      <c r="P592" s="10">
        <v>2</v>
      </c>
      <c r="Q592" s="10">
        <v>44.6</v>
      </c>
      <c r="R592" s="10" t="s">
        <v>66</v>
      </c>
      <c r="S592" s="10">
        <v>263.39999999999998</v>
      </c>
      <c r="T592" s="10">
        <v>50.7</v>
      </c>
      <c r="U592" s="29">
        <v>43720</v>
      </c>
      <c r="V592" s="29">
        <v>47372</v>
      </c>
      <c r="W592" s="10" t="s">
        <v>10</v>
      </c>
      <c r="X592" s="10" t="s">
        <v>17</v>
      </c>
    </row>
    <row r="593" spans="1:24" ht="45" customHeight="1" x14ac:dyDescent="0.25">
      <c r="A593" s="10">
        <f t="shared" si="0"/>
        <v>590</v>
      </c>
      <c r="B593" s="11" t="s">
        <v>1630</v>
      </c>
      <c r="C593" s="57" t="s">
        <v>1631</v>
      </c>
      <c r="D593" s="52" t="s">
        <v>1632</v>
      </c>
      <c r="E593" s="10" t="s">
        <v>3</v>
      </c>
      <c r="F593" s="27" t="s">
        <v>1633</v>
      </c>
      <c r="G593" s="11"/>
      <c r="H593" s="11"/>
      <c r="I593" s="11">
        <v>1974</v>
      </c>
      <c r="J593" s="27" t="s">
        <v>1634</v>
      </c>
      <c r="K593" s="15" t="str">
        <f>HYPERLINK("https://drive.google.com/open?id=1CF150nPtc6NMKZg6foJ30-_Ho5ob3M2l","ОД 02071010/1001-18")</f>
        <v>ОД 02071010/1001-18</v>
      </c>
      <c r="L593" s="15" t="str">
        <f>HYPERLINK("https://drive.google.com/open?id=1sEZdli3pTHN1BPbkTdGgXfp5f5NaHC6i","Сертифікат")</f>
        <v>Сертифікат</v>
      </c>
      <c r="M593" s="11" t="s">
        <v>26</v>
      </c>
      <c r="N593" s="10">
        <v>1640.8</v>
      </c>
      <c r="O593" s="10">
        <v>10829.3</v>
      </c>
      <c r="P593" s="10">
        <v>2</v>
      </c>
      <c r="Q593" s="10">
        <v>119.38</v>
      </c>
      <c r="R593" s="10" t="s">
        <v>66</v>
      </c>
      <c r="S593" s="10">
        <v>108.92</v>
      </c>
      <c r="T593" s="10">
        <v>21.58</v>
      </c>
      <c r="U593" s="29">
        <v>43721</v>
      </c>
      <c r="V593" s="29">
        <v>47373</v>
      </c>
      <c r="W593" s="10" t="s">
        <v>10</v>
      </c>
      <c r="X593" s="10" t="s">
        <v>17</v>
      </c>
    </row>
    <row r="594" spans="1:24" ht="45" customHeight="1" x14ac:dyDescent="0.25">
      <c r="A594" s="10">
        <f t="shared" si="0"/>
        <v>591</v>
      </c>
      <c r="B594" s="11" t="s">
        <v>1635</v>
      </c>
      <c r="C594" s="10" t="s">
        <v>52</v>
      </c>
      <c r="D594" s="10" t="s">
        <v>52</v>
      </c>
      <c r="E594" s="10" t="s">
        <v>3</v>
      </c>
      <c r="F594" s="11" t="s">
        <v>1636</v>
      </c>
      <c r="G594" s="11"/>
      <c r="H594" s="11"/>
      <c r="I594" s="11" t="s">
        <v>282</v>
      </c>
      <c r="J594" s="11" t="s">
        <v>1504</v>
      </c>
      <c r="K594" s="15" t="str">
        <f>HYPERLINK("https://drive.google.com/open?id=1cNdHo19T35eklBUZY_qj1BVJ98P3D_u8","АА000071")</f>
        <v>АА000071</v>
      </c>
      <c r="L594" s="15" t="str">
        <f>HYPERLINK("https://drive.google.com/open?id=1s0t94leNW65dJwkZ57Q-3Jt9mrziWS0M","Сертифікат")</f>
        <v>Сертифікат</v>
      </c>
      <c r="M594" s="11" t="s">
        <v>26</v>
      </c>
      <c r="N594" s="10">
        <v>6667.3</v>
      </c>
      <c r="O594" s="10">
        <v>21082</v>
      </c>
      <c r="P594" s="10">
        <v>3</v>
      </c>
      <c r="Q594" s="10">
        <v>124.7</v>
      </c>
      <c r="R594" s="10" t="s">
        <v>66</v>
      </c>
      <c r="S594" s="10">
        <v>595.1</v>
      </c>
      <c r="T594" s="10">
        <v>170.4</v>
      </c>
      <c r="U594" s="29">
        <v>43725</v>
      </c>
      <c r="V594" s="29">
        <v>47377</v>
      </c>
      <c r="W594" s="10" t="s">
        <v>13</v>
      </c>
      <c r="X594" s="10" t="s">
        <v>17</v>
      </c>
    </row>
    <row r="595" spans="1:24" ht="45" customHeight="1" x14ac:dyDescent="0.25">
      <c r="A595" s="10">
        <f t="shared" si="0"/>
        <v>592</v>
      </c>
      <c r="B595" s="11" t="s">
        <v>1637</v>
      </c>
      <c r="C595" s="10" t="s">
        <v>1638</v>
      </c>
      <c r="D595" s="10" t="s">
        <v>69</v>
      </c>
      <c r="E595" s="10" t="s">
        <v>3</v>
      </c>
      <c r="F595" s="11" t="s">
        <v>1639</v>
      </c>
      <c r="G595" s="11"/>
      <c r="H595" s="11"/>
      <c r="I595" s="11">
        <v>1948</v>
      </c>
      <c r="J595" s="11" t="s">
        <v>668</v>
      </c>
      <c r="K595" s="15" t="str">
        <f t="shared" ref="K595:K597" si="40">HYPERLINK("https://drive.google.com/open?id=1NSlpy3KnsggBDFhLrg81QLR2deMl7d6Q","АА000077")</f>
        <v>АА000077</v>
      </c>
      <c r="L595" s="15" t="str">
        <f>HYPERLINK("https://drive.google.com/open?id=1n10l1p9Vz2PrTpVtwkZJJMj275y2i9qy","Сертифікат")</f>
        <v>Сертифікат</v>
      </c>
      <c r="M595" s="11" t="s">
        <v>26</v>
      </c>
      <c r="N595" s="10">
        <v>1770.4</v>
      </c>
      <c r="O595" s="10">
        <v>7789</v>
      </c>
      <c r="P595" s="10">
        <v>1</v>
      </c>
      <c r="Q595" s="10">
        <v>215.2</v>
      </c>
      <c r="R595" s="10" t="s">
        <v>66</v>
      </c>
      <c r="S595" s="10">
        <v>1080.8</v>
      </c>
      <c r="T595" s="10">
        <v>381.8</v>
      </c>
      <c r="U595" s="29">
        <v>43725</v>
      </c>
      <c r="V595" s="29">
        <v>47377</v>
      </c>
      <c r="W595" s="10" t="s">
        <v>10</v>
      </c>
      <c r="X595" s="10" t="s">
        <v>17</v>
      </c>
    </row>
    <row r="596" spans="1:24" ht="45" customHeight="1" x14ac:dyDescent="0.25">
      <c r="A596" s="10">
        <f t="shared" si="0"/>
        <v>593</v>
      </c>
      <c r="B596" s="11" t="s">
        <v>1640</v>
      </c>
      <c r="C596" s="10" t="s">
        <v>1641</v>
      </c>
      <c r="D596" s="10" t="s">
        <v>142</v>
      </c>
      <c r="E596" s="10" t="s">
        <v>3</v>
      </c>
      <c r="F596" s="11" t="s">
        <v>1642</v>
      </c>
      <c r="G596" s="11"/>
      <c r="H596" s="11"/>
      <c r="I596" s="11" t="s">
        <v>282</v>
      </c>
      <c r="J596" s="11" t="s">
        <v>668</v>
      </c>
      <c r="K596" s="15" t="str">
        <f t="shared" si="40"/>
        <v>АА000077</v>
      </c>
      <c r="L596" s="15" t="str">
        <f>HYPERLINK("https://drive.google.com/open?id=1kv_VuEwX2KYoW1SqI4H1buMU4HXFMnX0","Сертифікат")</f>
        <v>Сертифікат</v>
      </c>
      <c r="M596" s="11" t="s">
        <v>26</v>
      </c>
      <c r="N596" s="10">
        <v>5083.6000000000004</v>
      </c>
      <c r="O596" s="10">
        <v>20271</v>
      </c>
      <c r="P596" s="31">
        <v>43586</v>
      </c>
      <c r="Q596" s="10">
        <v>241</v>
      </c>
      <c r="R596" s="10" t="s">
        <v>66</v>
      </c>
      <c r="S596" s="10">
        <v>1286.7</v>
      </c>
      <c r="T596" s="10">
        <v>342.6</v>
      </c>
      <c r="U596" s="29">
        <v>43727</v>
      </c>
      <c r="V596" s="29">
        <v>47379</v>
      </c>
      <c r="W596" s="10" t="s">
        <v>13</v>
      </c>
      <c r="X596" s="10" t="s">
        <v>17</v>
      </c>
    </row>
    <row r="597" spans="1:24" ht="45" customHeight="1" x14ac:dyDescent="0.25">
      <c r="A597" s="10">
        <f t="shared" si="0"/>
        <v>594</v>
      </c>
      <c r="B597" s="11" t="s">
        <v>1643</v>
      </c>
      <c r="C597" s="10" t="s">
        <v>1644</v>
      </c>
      <c r="D597" s="10" t="s">
        <v>142</v>
      </c>
      <c r="E597" s="10" t="s">
        <v>0</v>
      </c>
      <c r="F597" s="11" t="s">
        <v>1645</v>
      </c>
      <c r="G597" s="11"/>
      <c r="H597" s="11"/>
      <c r="I597" s="11" t="s">
        <v>282</v>
      </c>
      <c r="J597" s="11" t="s">
        <v>668</v>
      </c>
      <c r="K597" s="15" t="str">
        <f t="shared" si="40"/>
        <v>АА000077</v>
      </c>
      <c r="L597" s="15" t="str">
        <f>HYPERLINK("https://drive.google.com/open?id=1VtBqek2SI0COQaLI2ZFYqm3qo7SKH-Ep","Сертифікат")</f>
        <v>Сертифікат</v>
      </c>
      <c r="M597" s="11" t="s">
        <v>26</v>
      </c>
      <c r="N597" s="10">
        <v>3017</v>
      </c>
      <c r="O597" s="10">
        <v>10121</v>
      </c>
      <c r="P597" s="10">
        <v>4</v>
      </c>
      <c r="Q597" s="10">
        <v>308.60000000000002</v>
      </c>
      <c r="R597" s="10" t="s">
        <v>57</v>
      </c>
      <c r="S597" s="10">
        <v>448.9</v>
      </c>
      <c r="T597" s="10">
        <v>124.3</v>
      </c>
      <c r="U597" s="29">
        <v>43727</v>
      </c>
      <c r="V597" s="29">
        <v>47379</v>
      </c>
      <c r="W597" s="10" t="s">
        <v>13</v>
      </c>
      <c r="X597" s="10" t="s">
        <v>17</v>
      </c>
    </row>
    <row r="598" spans="1:24" ht="45" customHeight="1" x14ac:dyDescent="0.25">
      <c r="A598" s="10">
        <f t="shared" si="0"/>
        <v>595</v>
      </c>
      <c r="B598" s="11" t="s">
        <v>1646</v>
      </c>
      <c r="C598" s="10" t="s">
        <v>68</v>
      </c>
      <c r="D598" s="10" t="s">
        <v>69</v>
      </c>
      <c r="E598" s="10" t="s">
        <v>2</v>
      </c>
      <c r="F598" s="11" t="s">
        <v>1647</v>
      </c>
      <c r="G598" s="11"/>
      <c r="H598" s="11"/>
      <c r="I598" s="11">
        <v>1968</v>
      </c>
      <c r="J598" s="11" t="s">
        <v>609</v>
      </c>
      <c r="K598" s="15" t="str">
        <f>HYPERLINK("https://drive.google.com/open?id=1MmGP6rtYcZwVyIqDA-ykUrezieQsOMPg","ОД № 000024")</f>
        <v>ОД № 000024</v>
      </c>
      <c r="L598" s="15" t="str">
        <f>HYPERLINK("https://drive.google.com/open?id=1zxGusgnM3I7Db8erJ2df4ghF8dtLIEtF","Сертифікат")</f>
        <v>Сертифікат</v>
      </c>
      <c r="M598" s="11" t="s">
        <v>24</v>
      </c>
      <c r="N598" s="10">
        <v>2750</v>
      </c>
      <c r="O598" s="10">
        <v>8415</v>
      </c>
      <c r="P598" s="10">
        <v>4</v>
      </c>
      <c r="Q598" s="10">
        <v>66.5</v>
      </c>
      <c r="R598" s="10" t="s">
        <v>66</v>
      </c>
      <c r="S598" s="10">
        <v>126.97</v>
      </c>
      <c r="T598" s="10">
        <v>23.8</v>
      </c>
      <c r="U598" s="29">
        <v>43727</v>
      </c>
      <c r="V598" s="29">
        <v>47379</v>
      </c>
      <c r="W598" s="10" t="s">
        <v>10</v>
      </c>
      <c r="X598" s="10" t="s">
        <v>17</v>
      </c>
    </row>
    <row r="599" spans="1:24" ht="45" customHeight="1" x14ac:dyDescent="0.25">
      <c r="A599" s="10">
        <f t="shared" si="0"/>
        <v>596</v>
      </c>
      <c r="B599" s="11" t="s">
        <v>1648</v>
      </c>
      <c r="C599" s="10" t="s">
        <v>441</v>
      </c>
      <c r="D599" s="10" t="s">
        <v>442</v>
      </c>
      <c r="E599" s="10" t="s">
        <v>0</v>
      </c>
      <c r="F599" s="11" t="s">
        <v>1649</v>
      </c>
      <c r="G599" s="11"/>
      <c r="H599" s="11"/>
      <c r="I599" s="11">
        <v>1989</v>
      </c>
      <c r="J599" s="11" t="s">
        <v>287</v>
      </c>
      <c r="K599" s="15" t="s">
        <v>288</v>
      </c>
      <c r="L599" s="15" t="str">
        <f>HYPERLINK("https://drive.google.com/open?id=1KWD_QbhRP1HLb2Krx6TBLs5_To8yF99o","Сертифікат")</f>
        <v>Сертифікат</v>
      </c>
      <c r="M599" s="11" t="s">
        <v>26</v>
      </c>
      <c r="N599" s="10">
        <v>4186</v>
      </c>
      <c r="O599" s="10">
        <v>12055.7</v>
      </c>
      <c r="P599" s="10">
        <v>10</v>
      </c>
      <c r="Q599" s="10">
        <v>222.1</v>
      </c>
      <c r="R599" s="10" t="s">
        <v>57</v>
      </c>
      <c r="S599" s="10">
        <v>353.8</v>
      </c>
      <c r="T599" s="10">
        <v>68.7</v>
      </c>
      <c r="U599" s="29">
        <v>43728</v>
      </c>
      <c r="V599" s="29">
        <v>47380</v>
      </c>
      <c r="W599" s="10" t="s">
        <v>10</v>
      </c>
      <c r="X599" s="10" t="s">
        <v>17</v>
      </c>
    </row>
    <row r="600" spans="1:24" ht="45" customHeight="1" x14ac:dyDescent="0.25">
      <c r="A600" s="10">
        <f t="shared" si="0"/>
        <v>597</v>
      </c>
      <c r="B600" s="10" t="s">
        <v>1650</v>
      </c>
      <c r="C600" s="10" t="s">
        <v>1651</v>
      </c>
      <c r="D600" s="10" t="s">
        <v>142</v>
      </c>
      <c r="E600" s="10" t="s">
        <v>2</v>
      </c>
      <c r="F600" s="11" t="s">
        <v>1652</v>
      </c>
      <c r="G600" s="11"/>
      <c r="H600" s="11"/>
      <c r="I600" s="11">
        <v>1982</v>
      </c>
      <c r="J600" s="11" t="s">
        <v>1285</v>
      </c>
      <c r="K600" s="15" t="str">
        <f>HYPERLINK("https://drive.google.com/open?id=1VvGfORJ6L6VwYRUDV8aJ3Nq6jB6_9anA","СБ-0065")</f>
        <v>СБ-0065</v>
      </c>
      <c r="L600" s="15" t="str">
        <f>HYPERLINK("https://drive.google.com/open?id=184ijR_DY2H2MDBEVelWhEO7b8hYpOFys","Сертифікат")</f>
        <v>Сертифікат</v>
      </c>
      <c r="M600" s="11" t="s">
        <v>26</v>
      </c>
      <c r="N600" s="10">
        <v>748</v>
      </c>
      <c r="O600" s="10">
        <v>2243</v>
      </c>
      <c r="P600" s="10">
        <v>2</v>
      </c>
      <c r="Q600" s="10">
        <v>127</v>
      </c>
      <c r="R600" s="10" t="s">
        <v>66</v>
      </c>
      <c r="S600" s="10">
        <v>479</v>
      </c>
      <c r="T600" s="10">
        <v>95</v>
      </c>
      <c r="U600" s="29">
        <v>43728</v>
      </c>
      <c r="V600" s="29">
        <v>43752</v>
      </c>
      <c r="W600" s="10" t="s">
        <v>10</v>
      </c>
      <c r="X600" s="10" t="s">
        <v>17</v>
      </c>
    </row>
    <row r="601" spans="1:24" ht="45" customHeight="1" x14ac:dyDescent="0.25">
      <c r="A601" s="10">
        <f t="shared" si="0"/>
        <v>598</v>
      </c>
      <c r="B601" s="10" t="s">
        <v>1653</v>
      </c>
      <c r="C601" s="10" t="s">
        <v>1654</v>
      </c>
      <c r="D601" s="10" t="s">
        <v>69</v>
      </c>
      <c r="E601" s="10" t="s">
        <v>3</v>
      </c>
      <c r="F601" s="11" t="s">
        <v>1655</v>
      </c>
      <c r="G601" s="11"/>
      <c r="H601" s="11"/>
      <c r="I601" s="11">
        <v>1970</v>
      </c>
      <c r="J601" s="11" t="s">
        <v>668</v>
      </c>
      <c r="K601" s="15" t="str">
        <f>HYPERLINK("https://drive.google.com/open?id=1NSlpy3KnsggBDFhLrg81QLR2deMl7d6Q","АА000077")</f>
        <v>АА000077</v>
      </c>
      <c r="L601" s="15" t="str">
        <f>HYPERLINK("https://drive.google.com/open?id=1G4ow1emZy2XE4znRiiT1BRsJhbX_6_pb","Сертифікат")</f>
        <v>Сертифікат</v>
      </c>
      <c r="M601" s="11" t="s">
        <v>26</v>
      </c>
      <c r="N601" s="10">
        <v>2767.8</v>
      </c>
      <c r="O601" s="10">
        <v>9328</v>
      </c>
      <c r="P601" s="10">
        <v>2</v>
      </c>
      <c r="Q601" s="10">
        <v>178.7</v>
      </c>
      <c r="R601" s="10" t="s">
        <v>66</v>
      </c>
      <c r="S601" s="10">
        <v>683.2</v>
      </c>
      <c r="T601" s="10">
        <v>241.4</v>
      </c>
      <c r="U601" s="29">
        <v>43731</v>
      </c>
      <c r="V601" s="29">
        <v>47383</v>
      </c>
      <c r="W601" s="10" t="s">
        <v>10</v>
      </c>
      <c r="X601" s="10" t="s">
        <v>17</v>
      </c>
    </row>
    <row r="602" spans="1:24" ht="45" customHeight="1" x14ac:dyDescent="0.25">
      <c r="A602" s="10">
        <f t="shared" si="0"/>
        <v>599</v>
      </c>
      <c r="B602" s="10" t="s">
        <v>1656</v>
      </c>
      <c r="C602" s="10" t="s">
        <v>719</v>
      </c>
      <c r="D602" s="10" t="s">
        <v>69</v>
      </c>
      <c r="E602" s="10" t="s">
        <v>2</v>
      </c>
      <c r="F602" s="11" t="s">
        <v>1657</v>
      </c>
      <c r="G602" s="11"/>
      <c r="H602" s="11"/>
      <c r="I602" s="11">
        <v>2019</v>
      </c>
      <c r="J602" s="11" t="s">
        <v>438</v>
      </c>
      <c r="K602" s="15" t="s">
        <v>439</v>
      </c>
      <c r="L602" s="15" t="str">
        <f>HYPERLINK("https://drive.google.com/open?id=16Mc2oGbVZdqB9f6k29gFAUPay6JoMJ2a","Сертифікат")</f>
        <v>Сертифікат</v>
      </c>
      <c r="M602" s="11" t="s">
        <v>18</v>
      </c>
      <c r="N602" s="10">
        <v>1882.4</v>
      </c>
      <c r="O602" s="10">
        <v>9860</v>
      </c>
      <c r="P602" s="10">
        <v>2</v>
      </c>
      <c r="Q602" s="10">
        <v>58.8</v>
      </c>
      <c r="R602" s="10" t="s">
        <v>66</v>
      </c>
      <c r="S602" s="10">
        <v>122.3</v>
      </c>
      <c r="T602" s="10">
        <v>22.3</v>
      </c>
      <c r="U602" s="29">
        <v>43725</v>
      </c>
      <c r="V602" s="29">
        <v>47377</v>
      </c>
      <c r="W602" s="10" t="s">
        <v>13</v>
      </c>
      <c r="X602" s="10" t="s">
        <v>17</v>
      </c>
    </row>
    <row r="603" spans="1:24" ht="45" customHeight="1" x14ac:dyDescent="0.25">
      <c r="A603" s="10">
        <f t="shared" si="0"/>
        <v>600</v>
      </c>
      <c r="B603" s="11" t="s">
        <v>1658</v>
      </c>
      <c r="C603" s="10" t="s">
        <v>1145</v>
      </c>
      <c r="D603" s="58" t="s">
        <v>1295</v>
      </c>
      <c r="E603" s="10" t="s">
        <v>4</v>
      </c>
      <c r="F603" s="11" t="s">
        <v>1659</v>
      </c>
      <c r="G603" s="11"/>
      <c r="H603" s="11"/>
      <c r="I603" s="11" t="s">
        <v>836</v>
      </c>
      <c r="J603" s="27" t="s">
        <v>1660</v>
      </c>
      <c r="K603" s="15" t="str">
        <f>HYPERLINK("https://drive.google.com/open?id=1oLEtNwc-cHUiCjT6H-8zpZIM41iqf7Hj","ХМ 02071234/001")</f>
        <v>ХМ 02071234/001</v>
      </c>
      <c r="L603" s="15" t="str">
        <f>HYPERLINK("https://drive.google.com/open?id=1SFCT7n8kB400kzu2FLGs437xISn2kAL2","Сертифікат")</f>
        <v>Сертифікат</v>
      </c>
      <c r="M603" s="11" t="s">
        <v>15</v>
      </c>
      <c r="N603" s="10">
        <v>3405</v>
      </c>
      <c r="O603" s="10">
        <v>10896</v>
      </c>
      <c r="P603" s="10">
        <v>3</v>
      </c>
      <c r="Q603" s="10">
        <v>48.77</v>
      </c>
      <c r="R603" s="10" t="s">
        <v>66</v>
      </c>
      <c r="S603" s="10">
        <v>236</v>
      </c>
      <c r="T603" s="10">
        <v>45.9</v>
      </c>
      <c r="U603" s="29">
        <v>43715</v>
      </c>
      <c r="V603" s="29">
        <v>47367</v>
      </c>
      <c r="W603" s="10" t="s">
        <v>10</v>
      </c>
      <c r="X603" s="10" t="s">
        <v>17</v>
      </c>
    </row>
    <row r="604" spans="1:24" ht="45" customHeight="1" x14ac:dyDescent="0.25">
      <c r="A604" s="10">
        <f t="shared" si="0"/>
        <v>601</v>
      </c>
      <c r="B604" s="11" t="s">
        <v>1661</v>
      </c>
      <c r="C604" s="10" t="s">
        <v>1662</v>
      </c>
      <c r="D604" s="10" t="s">
        <v>174</v>
      </c>
      <c r="E604" s="10" t="s">
        <v>7</v>
      </c>
      <c r="F604" s="11" t="s">
        <v>1663</v>
      </c>
      <c r="G604" s="11"/>
      <c r="H604" s="11"/>
      <c r="I604" s="11" t="s">
        <v>1664</v>
      </c>
      <c r="J604" s="10" t="s">
        <v>1337</v>
      </c>
      <c r="K604" s="51" t="s">
        <v>1338</v>
      </c>
      <c r="L604" s="15" t="str">
        <f>HYPERLINK("https://drive.google.com/open?id=1Q3eu4K1Q2J7ZI3ijF_j0m-elPcqfxmuF","Сертифікат")</f>
        <v>Сертифікат</v>
      </c>
      <c r="M604" s="11" t="s">
        <v>18</v>
      </c>
      <c r="N604" s="10">
        <v>1088.49</v>
      </c>
      <c r="O604" s="10">
        <v>6360</v>
      </c>
      <c r="P604" s="10">
        <v>1</v>
      </c>
      <c r="Q604" s="10">
        <v>56.28</v>
      </c>
      <c r="R604" s="10" t="s">
        <v>66</v>
      </c>
      <c r="S604" s="10">
        <v>958.49</v>
      </c>
      <c r="T604" s="10">
        <v>175.03</v>
      </c>
      <c r="U604" s="29">
        <v>43731</v>
      </c>
      <c r="V604" s="29">
        <v>47383</v>
      </c>
      <c r="W604" s="10" t="s">
        <v>10</v>
      </c>
      <c r="X604" s="10" t="s">
        <v>17</v>
      </c>
    </row>
    <row r="605" spans="1:24" ht="45" customHeight="1" x14ac:dyDescent="0.25">
      <c r="A605" s="10">
        <f t="shared" si="0"/>
        <v>602</v>
      </c>
      <c r="B605" s="11" t="s">
        <v>1665</v>
      </c>
      <c r="C605" s="10" t="s">
        <v>52</v>
      </c>
      <c r="D605" s="10" t="s">
        <v>52</v>
      </c>
      <c r="E605" s="10" t="s">
        <v>2</v>
      </c>
      <c r="F605" s="11" t="s">
        <v>1666</v>
      </c>
      <c r="G605" s="11"/>
      <c r="H605" s="11"/>
      <c r="I605" s="11">
        <v>2003</v>
      </c>
      <c r="J605" s="11" t="s">
        <v>432</v>
      </c>
      <c r="K605" s="15" t="s">
        <v>433</v>
      </c>
      <c r="L605" s="15" t="str">
        <f>HYPERLINK("https://drive.google.com/open?id=1Xm2C0KJj5MrzIDOgX0ywt6y9DUKW6a7_","Сертифікат")</f>
        <v>Сертифікат</v>
      </c>
      <c r="M605" s="11" t="s">
        <v>22</v>
      </c>
      <c r="N605" s="10">
        <v>213.8</v>
      </c>
      <c r="O605" s="10">
        <v>753.2</v>
      </c>
      <c r="P605" s="10">
        <v>2</v>
      </c>
      <c r="Q605" s="10">
        <v>86.25</v>
      </c>
      <c r="R605" s="10" t="s">
        <v>66</v>
      </c>
      <c r="S605" s="10">
        <v>338.8</v>
      </c>
      <c r="T605" s="10">
        <v>67.27</v>
      </c>
      <c r="U605" s="29">
        <v>43726</v>
      </c>
      <c r="V605" s="29">
        <v>47378</v>
      </c>
      <c r="W605" s="10" t="s">
        <v>10</v>
      </c>
      <c r="X605" s="10" t="s">
        <v>17</v>
      </c>
    </row>
    <row r="606" spans="1:24" ht="45" customHeight="1" x14ac:dyDescent="0.25">
      <c r="A606" s="10">
        <f t="shared" si="0"/>
        <v>603</v>
      </c>
      <c r="B606" s="11" t="s">
        <v>1667</v>
      </c>
      <c r="C606" s="10" t="s">
        <v>74</v>
      </c>
      <c r="D606" s="10" t="s">
        <v>75</v>
      </c>
      <c r="E606" s="10" t="s">
        <v>0</v>
      </c>
      <c r="F606" s="11" t="s">
        <v>1668</v>
      </c>
      <c r="G606" s="11"/>
      <c r="H606" s="11"/>
      <c r="I606" s="11">
        <v>1978</v>
      </c>
      <c r="J606" s="11" t="s">
        <v>1669</v>
      </c>
      <c r="K606" s="15" t="str">
        <f>HYPERLINK("https://drive.google.com/open?id=14_qskx_ZYDoTXDVxRKWfdxfsW0V3qVQP","СБ 0067")</f>
        <v>СБ 0067</v>
      </c>
      <c r="L606" s="15" t="str">
        <f>HYPERLINK("https://drive.google.com/open?id=1kz-9jvodWmp_GVHlwzD7SugPHq1EbU4u","Сертифікат")</f>
        <v>Сертифікат</v>
      </c>
      <c r="M606" s="11" t="s">
        <v>20</v>
      </c>
      <c r="N606" s="10">
        <v>2799.1</v>
      </c>
      <c r="O606" s="10">
        <v>7803.8</v>
      </c>
      <c r="P606" s="10">
        <v>5</v>
      </c>
      <c r="Q606" s="10">
        <v>93.9</v>
      </c>
      <c r="R606" s="10" t="s">
        <v>57</v>
      </c>
      <c r="S606" s="10">
        <v>239.7</v>
      </c>
      <c r="T606" s="10">
        <v>47.3</v>
      </c>
      <c r="U606" s="29">
        <v>43728</v>
      </c>
      <c r="V606" s="29">
        <v>47380</v>
      </c>
      <c r="W606" s="10" t="s">
        <v>10</v>
      </c>
      <c r="X606" s="10" t="s">
        <v>17</v>
      </c>
    </row>
    <row r="607" spans="1:24" ht="45" customHeight="1" x14ac:dyDescent="0.25">
      <c r="A607" s="10">
        <f t="shared" si="0"/>
        <v>604</v>
      </c>
      <c r="B607" s="11" t="s">
        <v>1670</v>
      </c>
      <c r="C607" s="10" t="s">
        <v>1030</v>
      </c>
      <c r="D607" s="10" t="s">
        <v>75</v>
      </c>
      <c r="E607" s="10" t="s">
        <v>2</v>
      </c>
      <c r="F607" s="11" t="s">
        <v>1671</v>
      </c>
      <c r="G607" s="11"/>
      <c r="H607" s="11"/>
      <c r="I607" s="11">
        <v>1811</v>
      </c>
      <c r="J607" s="11" t="s">
        <v>981</v>
      </c>
      <c r="K607" s="15" t="str">
        <f t="shared" ref="K607:K608" si="41">HYPERLINK("https://drive.google.com/open?id=1IDQuQux79NT0xtRrkfgG6JOgxOamY1Vd","АА000036")</f>
        <v>АА000036</v>
      </c>
      <c r="L607" s="15" t="str">
        <f>HYPERLINK("https://drive.google.com/open?id=1dxIwCJYhAo7u7rirFUv1yDcyWrD22MUN","Сертифікат")</f>
        <v>Сертифікат</v>
      </c>
      <c r="M607" s="11" t="s">
        <v>26</v>
      </c>
      <c r="N607" s="10">
        <v>497.1</v>
      </c>
      <c r="O607" s="10">
        <v>1981</v>
      </c>
      <c r="P607" s="10">
        <v>2</v>
      </c>
      <c r="Q607" s="10">
        <v>158.5</v>
      </c>
      <c r="R607" s="10" t="s">
        <v>66</v>
      </c>
      <c r="S607" s="10">
        <v>773</v>
      </c>
      <c r="T607" s="10">
        <v>153</v>
      </c>
      <c r="U607" s="29">
        <v>43728</v>
      </c>
      <c r="V607" s="29">
        <v>47380</v>
      </c>
      <c r="W607" s="10" t="s">
        <v>10</v>
      </c>
      <c r="X607" s="10" t="s">
        <v>17</v>
      </c>
    </row>
    <row r="608" spans="1:24" ht="45" customHeight="1" x14ac:dyDescent="0.25">
      <c r="A608" s="10">
        <f t="shared" si="0"/>
        <v>605</v>
      </c>
      <c r="B608" s="11" t="s">
        <v>1672</v>
      </c>
      <c r="C608" s="10" t="s">
        <v>1673</v>
      </c>
      <c r="D608" s="10" t="s">
        <v>75</v>
      </c>
      <c r="E608" s="10" t="s">
        <v>2</v>
      </c>
      <c r="F608" s="11" t="s">
        <v>1674</v>
      </c>
      <c r="G608" s="11"/>
      <c r="H608" s="11"/>
      <c r="I608" s="11">
        <v>1976</v>
      </c>
      <c r="J608" s="11" t="s">
        <v>981</v>
      </c>
      <c r="K608" s="15" t="str">
        <f t="shared" si="41"/>
        <v>АА000036</v>
      </c>
      <c r="L608" s="15" t="str">
        <f>HYPERLINK("https://drive.google.com/open?id=1DU_wZRztc4hLExZqcrrJy3MAHNmMcqh6","Сертифікат")</f>
        <v>Сертифікат</v>
      </c>
      <c r="M608" s="11" t="s">
        <v>22</v>
      </c>
      <c r="N608" s="10">
        <v>547.79999999999995</v>
      </c>
      <c r="O608" s="10">
        <v>2097</v>
      </c>
      <c r="P608" s="10">
        <v>2</v>
      </c>
      <c r="Q608" s="10">
        <v>85.1</v>
      </c>
      <c r="R608" s="10" t="s">
        <v>66</v>
      </c>
      <c r="S608" s="10">
        <v>802</v>
      </c>
      <c r="T608" s="10">
        <v>146</v>
      </c>
      <c r="U608" s="29">
        <v>43728</v>
      </c>
      <c r="V608" s="29">
        <v>47380</v>
      </c>
      <c r="W608" s="10" t="s">
        <v>10</v>
      </c>
      <c r="X608" s="10" t="s">
        <v>17</v>
      </c>
    </row>
    <row r="609" spans="1:24" ht="45" customHeight="1" x14ac:dyDescent="0.25">
      <c r="A609" s="10">
        <f t="shared" si="0"/>
        <v>606</v>
      </c>
      <c r="B609" s="27" t="s">
        <v>1675</v>
      </c>
      <c r="C609" s="52" t="s">
        <v>1374</v>
      </c>
      <c r="D609" s="10" t="s">
        <v>79</v>
      </c>
      <c r="E609" s="10" t="s">
        <v>5</v>
      </c>
      <c r="F609" s="27" t="s">
        <v>1676</v>
      </c>
      <c r="G609" s="11"/>
      <c r="H609" s="11"/>
      <c r="I609" s="11">
        <v>1979</v>
      </c>
      <c r="J609" s="24" t="s">
        <v>1677</v>
      </c>
      <c r="K609" s="59" t="str">
        <f>HYPERLINK("https://drive.google.com/open?id=1vhmYWFG6BawczER5DQ2Zg0Q4W3ZOpJqS","ЕА-05408289/019")</f>
        <v>ЕА-05408289/019</v>
      </c>
      <c r="L609" s="14" t="str">
        <f>HYPERLINK("https://drive.google.com/open?id=10qXyDPrBNAYyQmxjbEJs-do4tbtSd-Hr","Сертифікат")</f>
        <v>Сертифікат</v>
      </c>
      <c r="M609" s="11" t="s">
        <v>22</v>
      </c>
      <c r="N609" s="10">
        <v>995.2</v>
      </c>
      <c r="O609" s="10">
        <v>3611.86</v>
      </c>
      <c r="P609" s="10">
        <v>1</v>
      </c>
      <c r="Q609" s="10">
        <v>84.4</v>
      </c>
      <c r="R609" s="10" t="s">
        <v>57</v>
      </c>
      <c r="S609" s="10">
        <v>176.46</v>
      </c>
      <c r="T609" s="10">
        <v>52.9</v>
      </c>
      <c r="U609" s="60">
        <v>43729</v>
      </c>
      <c r="V609" s="45">
        <v>47381</v>
      </c>
      <c r="W609" s="10" t="s">
        <v>10</v>
      </c>
      <c r="X609" s="10" t="s">
        <v>17</v>
      </c>
    </row>
    <row r="610" spans="1:24" ht="45" customHeight="1" x14ac:dyDescent="0.25">
      <c r="A610" s="10">
        <f t="shared" si="0"/>
        <v>607</v>
      </c>
      <c r="B610" s="11" t="s">
        <v>1678</v>
      </c>
      <c r="C610" s="10" t="s">
        <v>243</v>
      </c>
      <c r="D610" s="10" t="s">
        <v>238</v>
      </c>
      <c r="E610" s="10" t="s">
        <v>0</v>
      </c>
      <c r="F610" s="11" t="s">
        <v>1679</v>
      </c>
      <c r="G610" s="11"/>
      <c r="H610" s="11"/>
      <c r="I610" s="11" t="s">
        <v>1010</v>
      </c>
      <c r="J610" s="11" t="s">
        <v>843</v>
      </c>
      <c r="K610" s="15" t="str">
        <f>HYPERLINK("https://drive.google.com/open?id=17KtRSyjmLaDiewjK-BWiyP5RCeXuyEaI","ХР 000013")</f>
        <v>ХР 000013</v>
      </c>
      <c r="L610" s="15" t="str">
        <f>HYPERLINK("https://drive.google.com/open?id=1axRNqJ5FeVe1T5dzaEjTk852ayotLnsY","Сертифікат")</f>
        <v>Сертифікат</v>
      </c>
      <c r="M610" s="11" t="s">
        <v>18</v>
      </c>
      <c r="N610" s="10">
        <v>5023</v>
      </c>
      <c r="O610" s="10">
        <v>15069</v>
      </c>
      <c r="P610" s="10">
        <v>10</v>
      </c>
      <c r="Q610" s="10">
        <v>79.47</v>
      </c>
      <c r="R610" s="10" t="s">
        <v>57</v>
      </c>
      <c r="S610" s="10">
        <v>116.7</v>
      </c>
      <c r="T610" s="10">
        <v>22.8</v>
      </c>
      <c r="U610" s="29">
        <v>43728</v>
      </c>
      <c r="V610" s="29">
        <v>47380</v>
      </c>
      <c r="W610" s="10" t="s">
        <v>10</v>
      </c>
      <c r="X610" s="10" t="s">
        <v>17</v>
      </c>
    </row>
    <row r="611" spans="1:24" ht="45" customHeight="1" x14ac:dyDescent="0.25">
      <c r="A611" s="10">
        <f t="shared" si="0"/>
        <v>608</v>
      </c>
      <c r="B611" s="11" t="s">
        <v>1680</v>
      </c>
      <c r="C611" s="10" t="s">
        <v>1451</v>
      </c>
      <c r="D611" s="10" t="s">
        <v>142</v>
      </c>
      <c r="E611" s="10" t="s">
        <v>3</v>
      </c>
      <c r="F611" s="11" t="s">
        <v>1681</v>
      </c>
      <c r="G611" s="11"/>
      <c r="H611" s="11"/>
      <c r="I611" s="11">
        <v>1965</v>
      </c>
      <c r="J611" s="11" t="s">
        <v>1458</v>
      </c>
      <c r="K611" s="15" t="str">
        <f>HYPERLINK("https://drive.google.com/open?id=1OUFweNmmdWEHZeEEzNQOhrlfoP8fo4Sl","СБ-0074")</f>
        <v>СБ-0074</v>
      </c>
      <c r="L611" s="15" t="str">
        <f>HYPERLINK("https://drive.google.com/open?id=1GyB_LWgfX-BMFSWzUa0QtRCQ4QbA12rF","Сертифікат")</f>
        <v>Сертифікат</v>
      </c>
      <c r="M611" s="11" t="s">
        <v>26</v>
      </c>
      <c r="N611" s="10">
        <v>274</v>
      </c>
      <c r="O611" s="10">
        <v>834</v>
      </c>
      <c r="P611" s="10">
        <v>2</v>
      </c>
      <c r="Q611" s="10">
        <v>82</v>
      </c>
      <c r="R611" s="10" t="s">
        <v>66</v>
      </c>
      <c r="S611" s="10">
        <v>312</v>
      </c>
      <c r="T611" s="10">
        <v>61</v>
      </c>
      <c r="U611" s="29">
        <v>43724</v>
      </c>
      <c r="V611" s="29">
        <v>47376</v>
      </c>
      <c r="W611" s="10" t="s">
        <v>10</v>
      </c>
      <c r="X611" s="10" t="s">
        <v>17</v>
      </c>
    </row>
    <row r="612" spans="1:24" ht="45" customHeight="1" x14ac:dyDescent="0.25">
      <c r="A612" s="10">
        <f t="shared" si="0"/>
        <v>609</v>
      </c>
      <c r="B612" s="11" t="s">
        <v>1682</v>
      </c>
      <c r="C612" s="10" t="s">
        <v>1683</v>
      </c>
      <c r="D612" s="10" t="s">
        <v>86</v>
      </c>
      <c r="E612" s="10" t="s">
        <v>0</v>
      </c>
      <c r="F612" s="11" t="s">
        <v>1572</v>
      </c>
      <c r="G612" s="11"/>
      <c r="H612" s="11"/>
      <c r="I612" s="11">
        <v>1988</v>
      </c>
      <c r="J612" s="11" t="s">
        <v>428</v>
      </c>
      <c r="K612" s="15" t="str">
        <f>HYPERLINK("https://drive.google.com/open?id=1hMtmxpZ4W6wrP5aiVQWYvgqVgVLRX8-4","ОД 02071010/0934-18")</f>
        <v>ОД 02071010/0934-18</v>
      </c>
      <c r="L612" s="15" t="str">
        <f>HYPERLINK("https://drive.google.com/open?id=1HLK_4Z9xtELZ_4avwgIkzTexpLXemsD5","Сертифікат")</f>
        <v>Сертифікат</v>
      </c>
      <c r="M612" s="11" t="s">
        <v>26</v>
      </c>
      <c r="N612" s="10">
        <v>9293</v>
      </c>
      <c r="O612" s="10">
        <v>27878</v>
      </c>
      <c r="P612" s="10">
        <v>9</v>
      </c>
      <c r="Q612" s="10">
        <v>245.75</v>
      </c>
      <c r="R612" s="10" t="s">
        <v>57</v>
      </c>
      <c r="S612" s="10">
        <v>274.60000000000002</v>
      </c>
      <c r="T612" s="10">
        <v>61.5</v>
      </c>
      <c r="U612" s="29">
        <v>43731</v>
      </c>
      <c r="V612" s="29">
        <v>47383</v>
      </c>
      <c r="W612" s="10" t="s">
        <v>10</v>
      </c>
      <c r="X612" s="10" t="s">
        <v>17</v>
      </c>
    </row>
    <row r="613" spans="1:24" ht="45" customHeight="1" x14ac:dyDescent="0.25">
      <c r="A613" s="10">
        <f t="shared" si="0"/>
        <v>610</v>
      </c>
      <c r="B613" s="11" t="s">
        <v>1684</v>
      </c>
      <c r="C613" s="10" t="s">
        <v>85</v>
      </c>
      <c r="D613" s="10" t="s">
        <v>86</v>
      </c>
      <c r="E613" s="10" t="s">
        <v>4</v>
      </c>
      <c r="F613" s="11" t="s">
        <v>1685</v>
      </c>
      <c r="G613" s="11"/>
      <c r="H613" s="11"/>
      <c r="I613" s="11">
        <v>2019</v>
      </c>
      <c r="J613" s="11" t="s">
        <v>1686</v>
      </c>
      <c r="K613" s="15" t="str">
        <f>HYPERLINK("https://drive.google.com/open?id=1kcSobogn-MfTmwbIlnCLOKwOxGp89q3N","ЕЕ 00031")</f>
        <v>ЕЕ 00031</v>
      </c>
      <c r="L613" s="15" t="str">
        <f>HYPERLINK("https://drive.google.com/open?id=1CS43iznYdOeJxtnRWYQ6x5-UNX9Lxq5m","Сертифікат")</f>
        <v>Сертифікат</v>
      </c>
      <c r="M613" s="11" t="s">
        <v>12</v>
      </c>
      <c r="N613" s="10">
        <v>1754.4</v>
      </c>
      <c r="O613" s="10">
        <v>6018.52</v>
      </c>
      <c r="P613" s="10">
        <v>2</v>
      </c>
      <c r="Q613" s="10">
        <v>8.3000000000000007</v>
      </c>
      <c r="R613" s="10" t="s">
        <v>66</v>
      </c>
      <c r="S613" s="10">
        <v>149.9</v>
      </c>
      <c r="T613" s="10">
        <v>27.4</v>
      </c>
      <c r="U613" s="29">
        <v>43726</v>
      </c>
      <c r="V613" s="29">
        <v>47378</v>
      </c>
      <c r="W613" s="10" t="s">
        <v>13</v>
      </c>
      <c r="X613" s="10" t="s">
        <v>17</v>
      </c>
    </row>
    <row r="614" spans="1:24" ht="45" customHeight="1" x14ac:dyDescent="0.25">
      <c r="A614" s="10">
        <f t="shared" si="0"/>
        <v>611</v>
      </c>
      <c r="B614" s="27" t="s">
        <v>1687</v>
      </c>
      <c r="C614" s="52" t="s">
        <v>1688</v>
      </c>
      <c r="D614" s="52" t="s">
        <v>1632</v>
      </c>
      <c r="E614" s="10" t="s">
        <v>4</v>
      </c>
      <c r="F614" s="11" t="s">
        <v>1689</v>
      </c>
      <c r="G614" s="11"/>
      <c r="H614" s="11"/>
      <c r="I614" s="11">
        <v>1988</v>
      </c>
      <c r="J614" s="11" t="s">
        <v>1690</v>
      </c>
      <c r="K614" s="61" t="str">
        <f>HYPERLINK("https://drive.google.com/open?id=1TE4jVZBZCRbSD2VYoISPLh8Au66nBZh8","ОД 02071010/0933-18")</f>
        <v>ОД 02071010/0933-18</v>
      </c>
      <c r="L614" s="15" t="str">
        <f>HYPERLINK("https://drive.google.com/open?id=1hc5_DbRKFPatew2VebD7qfRnr_KB5LB7","Сертифікат")</f>
        <v>Сертифікат</v>
      </c>
      <c r="M614" s="11" t="s">
        <v>18</v>
      </c>
      <c r="N614" s="10">
        <v>2960</v>
      </c>
      <c r="O614" s="10">
        <v>9184</v>
      </c>
      <c r="P614" s="10">
        <v>2</v>
      </c>
      <c r="Q614" s="10">
        <v>53.2</v>
      </c>
      <c r="R614" s="10" t="s">
        <v>66</v>
      </c>
      <c r="S614" s="10">
        <v>230</v>
      </c>
      <c r="T614" s="10">
        <v>45</v>
      </c>
      <c r="U614" s="29">
        <v>43726</v>
      </c>
      <c r="V614" s="29">
        <v>47378</v>
      </c>
      <c r="W614" s="10" t="s">
        <v>10</v>
      </c>
      <c r="X614" s="10" t="s">
        <v>17</v>
      </c>
    </row>
    <row r="615" spans="1:24" ht="45" customHeight="1" x14ac:dyDescent="0.25">
      <c r="A615" s="10">
        <f t="shared" si="0"/>
        <v>612</v>
      </c>
      <c r="B615" s="11" t="s">
        <v>1691</v>
      </c>
      <c r="C615" s="10" t="s">
        <v>1692</v>
      </c>
      <c r="D615" s="10" t="s">
        <v>86</v>
      </c>
      <c r="E615" s="10" t="s">
        <v>5</v>
      </c>
      <c r="F615" s="11" t="s">
        <v>1693</v>
      </c>
      <c r="G615" s="11"/>
      <c r="H615" s="11"/>
      <c r="I615" s="11">
        <v>1981</v>
      </c>
      <c r="J615" s="11" t="s">
        <v>88</v>
      </c>
      <c r="K615" s="15" t="str">
        <f>HYPERLINK("https://drive.google.com/open?id=1XopdzYwEcMagOaa2WB28BzUzzCLgbDlr","АР 000037")</f>
        <v>АР 000037</v>
      </c>
      <c r="L615" s="15" t="str">
        <f>HYPERLINK("https://drive.google.com/open?id=1H_4anPaaaV0Q3jIuFwX_N2Mg2SiQWkms","Сертифікат")</f>
        <v>Сертифікат</v>
      </c>
      <c r="M615" s="11" t="s">
        <v>22</v>
      </c>
      <c r="N615" s="10">
        <v>4525.1499999999996</v>
      </c>
      <c r="O615" s="10">
        <v>14661.49</v>
      </c>
      <c r="P615" s="10">
        <v>5</v>
      </c>
      <c r="Q615" s="10">
        <v>81.400000000000006</v>
      </c>
      <c r="R615" s="10" t="s">
        <v>66</v>
      </c>
      <c r="S615" s="10">
        <v>424.4</v>
      </c>
      <c r="T615" s="10">
        <v>126.3</v>
      </c>
      <c r="U615" s="29">
        <v>43732</v>
      </c>
      <c r="V615" s="29">
        <v>47384</v>
      </c>
      <c r="W615" s="10" t="s">
        <v>10</v>
      </c>
      <c r="X615" s="10" t="s">
        <v>17</v>
      </c>
    </row>
    <row r="616" spans="1:24" ht="45" customHeight="1" x14ac:dyDescent="0.25">
      <c r="A616" s="10">
        <f t="shared" si="0"/>
        <v>613</v>
      </c>
      <c r="B616" s="11" t="s">
        <v>1694</v>
      </c>
      <c r="C616" s="10" t="s">
        <v>1695</v>
      </c>
      <c r="D616" s="10" t="s">
        <v>148</v>
      </c>
      <c r="E616" s="10" t="s">
        <v>0</v>
      </c>
      <c r="F616" s="11" t="s">
        <v>1696</v>
      </c>
      <c r="G616" s="11"/>
      <c r="H616" s="11"/>
      <c r="I616" s="11">
        <v>1990</v>
      </c>
      <c r="J616" s="11" t="s">
        <v>110</v>
      </c>
      <c r="K616" s="15" t="str">
        <f>HYPERLINK("https://drive.google.com/open?id=1hysLLNyTDspucV_3Tt8ScCWEgMedd8bv","1/010")</f>
        <v>1/010</v>
      </c>
      <c r="L616" s="15" t="str">
        <f>HYPERLINK("https://drive.google.com/open?id=1AgrViVxylc9zlquGuZ55jlcOxwDR38cv","Сертифікат")</f>
        <v>Сертифікат</v>
      </c>
      <c r="M616" s="11" t="s">
        <v>26</v>
      </c>
      <c r="N616" s="10">
        <v>4654.6000000000004</v>
      </c>
      <c r="O616" s="10">
        <v>13245</v>
      </c>
      <c r="P616" s="10">
        <v>9</v>
      </c>
      <c r="Q616" s="10">
        <v>215.58</v>
      </c>
      <c r="R616" s="10" t="s">
        <v>57</v>
      </c>
      <c r="S616" s="10">
        <v>285.60000000000002</v>
      </c>
      <c r="T616" s="10">
        <v>56.22</v>
      </c>
      <c r="U616" s="29">
        <v>43732</v>
      </c>
      <c r="V616" s="29">
        <v>47384</v>
      </c>
      <c r="W616" s="10" t="s">
        <v>10</v>
      </c>
      <c r="X616" s="10" t="s">
        <v>17</v>
      </c>
    </row>
    <row r="617" spans="1:24" ht="45" customHeight="1" x14ac:dyDescent="0.25">
      <c r="A617" s="10">
        <f t="shared" si="0"/>
        <v>614</v>
      </c>
      <c r="B617" s="11" t="s">
        <v>1697</v>
      </c>
      <c r="C617" s="10" t="s">
        <v>1698</v>
      </c>
      <c r="D617" s="10" t="s">
        <v>86</v>
      </c>
      <c r="E617" s="10" t="s">
        <v>0</v>
      </c>
      <c r="F617" s="11" t="s">
        <v>1699</v>
      </c>
      <c r="G617" s="11"/>
      <c r="H617" s="11"/>
      <c r="I617" s="11" t="s">
        <v>836</v>
      </c>
      <c r="J617" s="11" t="s">
        <v>668</v>
      </c>
      <c r="K617" s="15" t="str">
        <f>HYPERLINK("https://drive.google.com/open?id=1NSlpy3KnsggBDFhLrg81QLR2deMl7d6Q","АА000077")</f>
        <v>АА000077</v>
      </c>
      <c r="L617" s="15" t="str">
        <f>HYPERLINK("https://drive.google.com/open?id=1ltjU1DLYT5L5oR1zEiJebbjTVFwCIij9","Сертифікат")</f>
        <v>Сертифікат</v>
      </c>
      <c r="M617" s="11" t="s">
        <v>18</v>
      </c>
      <c r="N617" s="10">
        <v>4223.3999999999996</v>
      </c>
      <c r="O617" s="10">
        <v>12288</v>
      </c>
      <c r="P617" s="10">
        <v>9</v>
      </c>
      <c r="Q617" s="10">
        <v>86.4</v>
      </c>
      <c r="R617" s="10" t="s">
        <v>57</v>
      </c>
      <c r="S617" s="10">
        <v>139.30000000000001</v>
      </c>
      <c r="T617" s="10">
        <v>39.700000000000003</v>
      </c>
      <c r="U617" s="29">
        <v>43733</v>
      </c>
      <c r="V617" s="29">
        <v>47385</v>
      </c>
      <c r="W617" s="10" t="s">
        <v>13</v>
      </c>
      <c r="X617" s="10" t="s">
        <v>17</v>
      </c>
    </row>
    <row r="618" spans="1:24" ht="45" customHeight="1" x14ac:dyDescent="0.25">
      <c r="A618" s="10">
        <f t="shared" si="0"/>
        <v>615</v>
      </c>
      <c r="B618" s="11" t="s">
        <v>1700</v>
      </c>
      <c r="C618" s="11" t="s">
        <v>1451</v>
      </c>
      <c r="D618" s="11" t="s">
        <v>142</v>
      </c>
      <c r="E618" s="10" t="s">
        <v>0</v>
      </c>
      <c r="F618" s="11" t="s">
        <v>1701</v>
      </c>
      <c r="G618" s="11"/>
      <c r="H618" s="11"/>
      <c r="I618" s="11">
        <v>1982</v>
      </c>
      <c r="J618" s="11" t="s">
        <v>1458</v>
      </c>
      <c r="K618" s="15" t="str">
        <f t="shared" ref="K618:K619" si="42">HYPERLINK("https://drive.google.com/open?id=1OUFweNmmdWEHZeEEzNQOhrlfoP8fo4Sl","СБ-0074")</f>
        <v>СБ-0074</v>
      </c>
      <c r="L618" s="15" t="str">
        <f>HYPERLINK("https://drive.google.com/open?id=1d8g-yNoWT3rRhyfTfQLbjsGJbv-ebvQD","Сертифікат")</f>
        <v>Сертифікат</v>
      </c>
      <c r="M618" s="11" t="s">
        <v>26</v>
      </c>
      <c r="N618" s="10">
        <v>3081</v>
      </c>
      <c r="O618" s="10">
        <v>8011</v>
      </c>
      <c r="P618" s="10">
        <v>5</v>
      </c>
      <c r="Q618" s="10">
        <v>186</v>
      </c>
      <c r="R618" s="10" t="s">
        <v>57</v>
      </c>
      <c r="S618" s="10">
        <v>296</v>
      </c>
      <c r="T618" s="10">
        <v>57</v>
      </c>
      <c r="U618" s="29">
        <v>43731</v>
      </c>
      <c r="V618" s="29">
        <v>47383</v>
      </c>
      <c r="W618" s="10" t="s">
        <v>10</v>
      </c>
      <c r="X618" s="10" t="s">
        <v>17</v>
      </c>
    </row>
    <row r="619" spans="1:24" ht="45" customHeight="1" x14ac:dyDescent="0.25">
      <c r="A619" s="10">
        <f t="shared" si="0"/>
        <v>616</v>
      </c>
      <c r="B619" s="11" t="s">
        <v>1700</v>
      </c>
      <c r="C619" s="11" t="s">
        <v>1451</v>
      </c>
      <c r="D619" s="11" t="s">
        <v>142</v>
      </c>
      <c r="E619" s="10" t="s">
        <v>0</v>
      </c>
      <c r="F619" s="11" t="s">
        <v>1702</v>
      </c>
      <c r="G619" s="11"/>
      <c r="H619" s="11"/>
      <c r="I619" s="11">
        <v>1982</v>
      </c>
      <c r="J619" s="11" t="s">
        <v>1458</v>
      </c>
      <c r="K619" s="15" t="str">
        <f t="shared" si="42"/>
        <v>СБ-0074</v>
      </c>
      <c r="L619" s="15" t="str">
        <f>HYPERLINK("https://drive.google.com/open?id=1epatgJ82BsbKMJRl8NF9hZzAxlgBMXFF","Сертифікат")</f>
        <v>Сертифікат</v>
      </c>
      <c r="M619" s="11" t="s">
        <v>26</v>
      </c>
      <c r="N619" s="10">
        <v>2675</v>
      </c>
      <c r="O619" s="10">
        <v>6955</v>
      </c>
      <c r="P619" s="10">
        <v>5</v>
      </c>
      <c r="Q619" s="10">
        <v>188</v>
      </c>
      <c r="R619" s="10" t="s">
        <v>57</v>
      </c>
      <c r="S619" s="10">
        <v>298</v>
      </c>
      <c r="T619" s="10">
        <v>57</v>
      </c>
      <c r="U619" s="29">
        <v>43731</v>
      </c>
      <c r="V619" s="29">
        <v>47383</v>
      </c>
      <c r="W619" s="10" t="s">
        <v>10</v>
      </c>
      <c r="X619" s="10" t="s">
        <v>17</v>
      </c>
    </row>
    <row r="620" spans="1:24" ht="34.5" customHeight="1" x14ac:dyDescent="0.25">
      <c r="A620" s="10">
        <f t="shared" si="0"/>
        <v>617</v>
      </c>
      <c r="B620" s="11" t="s">
        <v>1703</v>
      </c>
      <c r="C620" s="10" t="s">
        <v>1704</v>
      </c>
      <c r="D620" s="10" t="s">
        <v>815</v>
      </c>
      <c r="E620" s="10" t="s">
        <v>4</v>
      </c>
      <c r="F620" s="11" t="s">
        <v>1705</v>
      </c>
      <c r="G620" s="11"/>
      <c r="H620" s="11"/>
      <c r="I620" s="11">
        <v>1958</v>
      </c>
      <c r="J620" s="11" t="s">
        <v>110</v>
      </c>
      <c r="K620" s="15" t="str">
        <f>HYPERLINK("https://drive.google.com/open?id=1hysLLNyTDspucV_3Tt8ScCWEgMedd8bv","1/010")</f>
        <v>1/010</v>
      </c>
      <c r="L620" s="15" t="str">
        <f>HYPERLINK("https://drive.google.com/open?id=186WeIE_6PEY3LvKvkkijDmTo4b61RvAc","Сертифікат")</f>
        <v>Сертифікат</v>
      </c>
      <c r="M620" s="11" t="s">
        <v>26</v>
      </c>
      <c r="N620" s="10">
        <v>594.20000000000005</v>
      </c>
      <c r="O620" s="10">
        <v>1693.5</v>
      </c>
      <c r="P620" s="10">
        <v>1</v>
      </c>
      <c r="Q620" s="10">
        <v>128.54</v>
      </c>
      <c r="R620" s="10" t="s">
        <v>66</v>
      </c>
      <c r="S620" s="10">
        <v>447.38</v>
      </c>
      <c r="T620" s="10">
        <v>88.18</v>
      </c>
      <c r="U620" s="29">
        <v>43733</v>
      </c>
      <c r="V620" s="29">
        <v>47385</v>
      </c>
      <c r="W620" s="10" t="s">
        <v>13</v>
      </c>
      <c r="X620" s="10" t="s">
        <v>17</v>
      </c>
    </row>
    <row r="621" spans="1:24" ht="34.5" customHeight="1" x14ac:dyDescent="0.25">
      <c r="A621" s="10">
        <f t="shared" si="0"/>
        <v>618</v>
      </c>
      <c r="B621" s="11" t="s">
        <v>1706</v>
      </c>
      <c r="C621" s="10" t="s">
        <v>85</v>
      </c>
      <c r="D621" s="10" t="s">
        <v>86</v>
      </c>
      <c r="E621" s="10" t="s">
        <v>0</v>
      </c>
      <c r="F621" s="11" t="s">
        <v>1707</v>
      </c>
      <c r="G621" s="11"/>
      <c r="H621" s="11"/>
      <c r="I621" s="11">
        <v>2019</v>
      </c>
      <c r="J621" s="11" t="s">
        <v>992</v>
      </c>
      <c r="K621" s="15" t="str">
        <f t="shared" ref="K621:K623" si="43">HYPERLINK("https://drive.google.com/open?id=1YahV5U6nzJHToaX4SQsiE71O2xlIaiiy","ОД 02071010/0301-19")</f>
        <v>ОД 02071010/0301-19</v>
      </c>
      <c r="L621" s="15" t="str">
        <f>HYPERLINK("https://drive.google.com/open?id=1jmPb6NZSg_tys7NOidX6K59JBCunUSdG","Сертифікат")</f>
        <v>Сертифікат</v>
      </c>
      <c r="M621" s="11" t="s">
        <v>18</v>
      </c>
      <c r="N621" s="10">
        <v>24349.3</v>
      </c>
      <c r="O621" s="10">
        <v>79715.5</v>
      </c>
      <c r="P621" s="10" t="s">
        <v>1708</v>
      </c>
      <c r="Q621" s="10">
        <v>86.9</v>
      </c>
      <c r="R621" s="10" t="s">
        <v>57</v>
      </c>
      <c r="S621" s="10">
        <v>143.19999999999999</v>
      </c>
      <c r="T621" s="10">
        <v>27.8</v>
      </c>
      <c r="U621" s="29">
        <v>43734</v>
      </c>
      <c r="V621" s="29">
        <v>47386</v>
      </c>
      <c r="W621" s="10" t="s">
        <v>10</v>
      </c>
      <c r="X621" s="10" t="s">
        <v>17</v>
      </c>
    </row>
    <row r="622" spans="1:24" ht="57.75" customHeight="1" x14ac:dyDescent="0.25">
      <c r="A622" s="10">
        <f t="shared" si="0"/>
        <v>619</v>
      </c>
      <c r="B622" s="11" t="s">
        <v>1709</v>
      </c>
      <c r="C622" s="10" t="s">
        <v>85</v>
      </c>
      <c r="D622" s="10" t="s">
        <v>86</v>
      </c>
      <c r="E622" s="10" t="s">
        <v>2</v>
      </c>
      <c r="F622" s="11" t="s">
        <v>1710</v>
      </c>
      <c r="G622" s="11"/>
      <c r="H622" s="11"/>
      <c r="I622" s="11" t="s">
        <v>836</v>
      </c>
      <c r="J622" s="11" t="s">
        <v>992</v>
      </c>
      <c r="K622" s="15" t="str">
        <f t="shared" si="43"/>
        <v>ОД 02071010/0301-19</v>
      </c>
      <c r="L622" s="15" t="str">
        <f>HYPERLINK("https://drive.google.com/open?id=1V056yU6jVIQLA9YUHkjD8Cp063FJS2Hk","Сертифікат")</f>
        <v>Сертифікат</v>
      </c>
      <c r="M622" s="11" t="s">
        <v>15</v>
      </c>
      <c r="N622" s="10">
        <v>15677.4</v>
      </c>
      <c r="O622" s="10">
        <v>56663.199999999997</v>
      </c>
      <c r="P622" s="10">
        <v>14</v>
      </c>
      <c r="Q622" s="10">
        <v>32</v>
      </c>
      <c r="R622" s="62"/>
      <c r="S622" s="10">
        <v>298.3</v>
      </c>
      <c r="T622" s="10" t="s">
        <v>1711</v>
      </c>
      <c r="U622" s="29">
        <v>43724</v>
      </c>
      <c r="V622" s="29">
        <v>47376</v>
      </c>
      <c r="W622" s="10" t="s">
        <v>13</v>
      </c>
      <c r="X622" s="10" t="s">
        <v>17</v>
      </c>
    </row>
    <row r="623" spans="1:24" ht="57.75" customHeight="1" x14ac:dyDescent="0.25">
      <c r="A623" s="10">
        <f t="shared" si="0"/>
        <v>620</v>
      </c>
      <c r="B623" s="11" t="s">
        <v>1712</v>
      </c>
      <c r="C623" s="10" t="s">
        <v>374</v>
      </c>
      <c r="D623" s="10" t="s">
        <v>79</v>
      </c>
      <c r="E623" s="10" t="s">
        <v>0</v>
      </c>
      <c r="F623" s="11" t="s">
        <v>1713</v>
      </c>
      <c r="G623" s="11"/>
      <c r="H623" s="11"/>
      <c r="I623" s="11" t="s">
        <v>836</v>
      </c>
      <c r="J623" s="11" t="s">
        <v>992</v>
      </c>
      <c r="K623" s="15" t="str">
        <f t="shared" si="43"/>
        <v>ОД 02071010/0301-19</v>
      </c>
      <c r="L623" s="15" t="str">
        <f>HYPERLINK("https://drive.google.com/open?id=1FVsSUiC-wZ7yJlqT6B4CnzaRtuchMWbI","Сертифікат")</f>
        <v>Сертифікат</v>
      </c>
      <c r="M623" s="11" t="s">
        <v>20</v>
      </c>
      <c r="N623" s="10">
        <v>5596</v>
      </c>
      <c r="O623" s="10">
        <v>18856</v>
      </c>
      <c r="P623" s="10">
        <v>9</v>
      </c>
      <c r="Q623" s="10">
        <v>88.9</v>
      </c>
      <c r="R623" s="10" t="s">
        <v>57</v>
      </c>
      <c r="S623" s="10">
        <v>187</v>
      </c>
      <c r="T623" s="10">
        <v>34.700000000000003</v>
      </c>
      <c r="U623" s="29">
        <v>43710</v>
      </c>
      <c r="V623" s="29">
        <v>47362</v>
      </c>
      <c r="W623" s="10" t="s">
        <v>10</v>
      </c>
      <c r="X623" s="10" t="s">
        <v>17</v>
      </c>
    </row>
    <row r="624" spans="1:24" ht="57.75" customHeight="1" x14ac:dyDescent="0.25">
      <c r="A624" s="10">
        <f t="shared" si="0"/>
        <v>621</v>
      </c>
      <c r="B624" s="11" t="s">
        <v>1714</v>
      </c>
      <c r="C624" s="10" t="s">
        <v>1507</v>
      </c>
      <c r="D624" s="10" t="s">
        <v>317</v>
      </c>
      <c r="E624" s="10" t="s">
        <v>3</v>
      </c>
      <c r="F624" s="11" t="s">
        <v>1715</v>
      </c>
      <c r="G624" s="11"/>
      <c r="H624" s="11"/>
      <c r="I624" s="11">
        <v>1991</v>
      </c>
      <c r="J624" s="11" t="s">
        <v>1520</v>
      </c>
      <c r="K624" s="15" t="str">
        <f>HYPERLINK("https://drive.google.com/open?id=1h7SxjX8kLI3GcDpujJYP0DlexJilmQJ7","АР 000071")</f>
        <v>АР 000071</v>
      </c>
      <c r="L624" s="15" t="str">
        <f>HYPERLINK("https://drive.google.com/open?id=196WFbp2CWRI8mZstaJQ5MHWLZtj22VMX","Сертифікат")</f>
        <v>Сертифікат</v>
      </c>
      <c r="M624" s="11" t="s">
        <v>20</v>
      </c>
      <c r="N624" s="10">
        <v>1280.1500000000001</v>
      </c>
      <c r="O624" s="10">
        <v>3990</v>
      </c>
      <c r="P624" s="10">
        <v>3</v>
      </c>
      <c r="Q624" s="10">
        <v>33.4</v>
      </c>
      <c r="R624" s="10" t="s">
        <v>66</v>
      </c>
      <c r="S624" s="10" t="s">
        <v>1716</v>
      </c>
      <c r="T624" s="10">
        <v>52.3</v>
      </c>
      <c r="U624" s="29">
        <v>43734</v>
      </c>
      <c r="V624" s="29">
        <v>47386</v>
      </c>
      <c r="W624" s="10" t="s">
        <v>13</v>
      </c>
      <c r="X624" s="10" t="s">
        <v>17</v>
      </c>
    </row>
    <row r="625" spans="1:24" ht="57.75" customHeight="1" x14ac:dyDescent="0.25">
      <c r="A625" s="10">
        <f t="shared" si="0"/>
        <v>622</v>
      </c>
      <c r="B625" s="27" t="s">
        <v>1717</v>
      </c>
      <c r="C625" s="52" t="s">
        <v>814</v>
      </c>
      <c r="D625" s="10" t="s">
        <v>815</v>
      </c>
      <c r="E625" s="10" t="s">
        <v>4</v>
      </c>
      <c r="F625" s="11" t="s">
        <v>1718</v>
      </c>
      <c r="G625" s="11"/>
      <c r="H625" s="11"/>
      <c r="I625" s="11" t="s">
        <v>1719</v>
      </c>
      <c r="J625" s="11" t="s">
        <v>1094</v>
      </c>
      <c r="K625" s="15" t="str">
        <f>HYPERLINK("https://drive.google.com/open?id=1Qlik4TIJLPoTQ6woAYUYpDbbA-PfyWE1","АА000059 ")</f>
        <v xml:space="preserve">АА000059 </v>
      </c>
      <c r="L625" s="15" t="str">
        <f>HYPERLINK("https://drive.google.com/open?id=1IxoVYpzMg7C2BlYt9s_Q9EzybkYQbHst","Сертифікат")</f>
        <v>Сертифікат</v>
      </c>
      <c r="M625" s="11" t="s">
        <v>22</v>
      </c>
      <c r="N625" s="10">
        <v>2257</v>
      </c>
      <c r="O625" s="10">
        <v>7675</v>
      </c>
      <c r="P625" s="10">
        <v>2</v>
      </c>
      <c r="Q625" s="10">
        <v>83.7</v>
      </c>
      <c r="R625" s="10" t="s">
        <v>66</v>
      </c>
      <c r="S625" s="10">
        <v>416</v>
      </c>
      <c r="T625" s="10">
        <v>82</v>
      </c>
      <c r="U625" s="29">
        <v>43734</v>
      </c>
      <c r="V625" s="29">
        <v>47386</v>
      </c>
      <c r="W625" s="10" t="s">
        <v>10</v>
      </c>
      <c r="X625" s="10" t="s">
        <v>17</v>
      </c>
    </row>
    <row r="626" spans="1:24" ht="57.75" customHeight="1" x14ac:dyDescent="0.25">
      <c r="A626" s="10">
        <f t="shared" si="0"/>
        <v>623</v>
      </c>
      <c r="B626" s="11" t="s">
        <v>1720</v>
      </c>
      <c r="C626" s="47" t="s">
        <v>1507</v>
      </c>
      <c r="D626" s="10" t="s">
        <v>317</v>
      </c>
      <c r="E626" s="10" t="s">
        <v>3</v>
      </c>
      <c r="F626" s="11" t="s">
        <v>1721</v>
      </c>
      <c r="G626" s="11"/>
      <c r="H626" s="11"/>
      <c r="I626" s="11">
        <v>1936</v>
      </c>
      <c r="J626" s="27" t="s">
        <v>1509</v>
      </c>
      <c r="K626" s="15" t="str">
        <f>HYPERLINK("https://drive.google.com/open?id=1xjvbubZ6C8eI0z8-eUIdnd7AelssdqYB","ЕЕ00004")</f>
        <v>ЕЕ00004</v>
      </c>
      <c r="L626" s="15" t="str">
        <f>HYPERLINK("https://drive.google.com/open?id=1hJTkdFPZ26dtcKKq42SehuywpsdkfdIC","Сертифікат")</f>
        <v>Сертифікат</v>
      </c>
      <c r="M626" s="11" t="s">
        <v>24</v>
      </c>
      <c r="N626" s="10">
        <v>3869.1</v>
      </c>
      <c r="O626" s="10">
        <v>17406.5</v>
      </c>
      <c r="P626" s="10">
        <v>3</v>
      </c>
      <c r="Q626" s="10">
        <v>51.3</v>
      </c>
      <c r="R626" s="10" t="s">
        <v>66</v>
      </c>
      <c r="S626" s="10">
        <v>285</v>
      </c>
      <c r="T626" s="10">
        <v>19.11</v>
      </c>
      <c r="U626" s="29">
        <v>43732</v>
      </c>
      <c r="V626" s="29">
        <v>47384</v>
      </c>
      <c r="W626" s="10" t="s">
        <v>10</v>
      </c>
      <c r="X626" s="10" t="s">
        <v>17</v>
      </c>
    </row>
    <row r="627" spans="1:24" ht="57.75" customHeight="1" x14ac:dyDescent="0.25">
      <c r="A627" s="10">
        <f t="shared" si="0"/>
        <v>624</v>
      </c>
      <c r="B627" s="11" t="s">
        <v>1722</v>
      </c>
      <c r="C627" s="10" t="s">
        <v>1723</v>
      </c>
      <c r="D627" s="10" t="s">
        <v>142</v>
      </c>
      <c r="E627" s="10" t="s">
        <v>0</v>
      </c>
      <c r="F627" s="11" t="s">
        <v>1724</v>
      </c>
      <c r="G627" s="11"/>
      <c r="H627" s="11"/>
      <c r="I627" s="11">
        <v>1964</v>
      </c>
      <c r="J627" s="11" t="s">
        <v>1458</v>
      </c>
      <c r="K627" s="15" t="str">
        <f>HYPERLINK("https://drive.google.com/open?id=1OUFweNmmdWEHZeEEzNQOhrlfoP8fo4Sl","СБ-0074")</f>
        <v>СБ-0074</v>
      </c>
      <c r="L627" s="15" t="str">
        <f>HYPERLINK("https://drive.google.com/open?id=1i6uXwdCtZSxRejhnEtm3h1VcTgDnRyHm","Сертифікат")</f>
        <v>Сертифікат</v>
      </c>
      <c r="M627" s="11" t="s">
        <v>26</v>
      </c>
      <c r="N627" s="10">
        <v>1848</v>
      </c>
      <c r="O627" s="10">
        <v>4805</v>
      </c>
      <c r="P627" s="10">
        <v>4</v>
      </c>
      <c r="Q627" s="10">
        <v>189</v>
      </c>
      <c r="R627" s="10" t="s">
        <v>57</v>
      </c>
      <c r="S627" s="10">
        <v>303</v>
      </c>
      <c r="T627" s="10">
        <v>58</v>
      </c>
      <c r="U627" s="29">
        <v>43731</v>
      </c>
      <c r="V627" s="29">
        <v>47383</v>
      </c>
      <c r="W627" s="10" t="s">
        <v>10</v>
      </c>
      <c r="X627" s="10" t="s">
        <v>17</v>
      </c>
    </row>
    <row r="628" spans="1:24" ht="57.75" customHeight="1" x14ac:dyDescent="0.25">
      <c r="A628" s="10">
        <f t="shared" si="0"/>
        <v>625</v>
      </c>
      <c r="B628" s="11" t="s">
        <v>1725</v>
      </c>
      <c r="C628" s="10" t="s">
        <v>153</v>
      </c>
      <c r="D628" s="10" t="s">
        <v>86</v>
      </c>
      <c r="E628" s="10" t="s">
        <v>0</v>
      </c>
      <c r="F628" s="11" t="s">
        <v>1726</v>
      </c>
      <c r="G628" s="11"/>
      <c r="H628" s="11"/>
      <c r="I628" s="11" t="s">
        <v>1010</v>
      </c>
      <c r="J628" s="11" t="s">
        <v>992</v>
      </c>
      <c r="K628" s="15" t="str">
        <f t="shared" ref="K628:K629" si="44">HYPERLINK("https://drive.google.com/open?id=1YahV5U6nzJHToaX4SQsiE71O2xlIaiiy","ОД 02071010/0301-19")</f>
        <v>ОД 02071010/0301-19</v>
      </c>
      <c r="L628" s="15" t="str">
        <f>HYPERLINK("https://drive.google.com/open?id=1Aw5TrqlKaIrLHVeGi-7kC5T-YDW89Dmw","Сертифікат")</f>
        <v>Сертифікат</v>
      </c>
      <c r="M628" s="11" t="s">
        <v>20</v>
      </c>
      <c r="N628" s="10">
        <v>6034</v>
      </c>
      <c r="O628" s="10">
        <v>18431</v>
      </c>
      <c r="P628" s="10">
        <v>9</v>
      </c>
      <c r="Q628" s="10">
        <v>108.1</v>
      </c>
      <c r="R628" s="10" t="s">
        <v>57</v>
      </c>
      <c r="S628" s="10">
        <v>214.1</v>
      </c>
      <c r="T628" s="10">
        <v>41.8</v>
      </c>
      <c r="U628" s="29">
        <v>43710</v>
      </c>
      <c r="V628" s="29">
        <v>47362</v>
      </c>
      <c r="W628" s="10" t="s">
        <v>10</v>
      </c>
      <c r="X628" s="10" t="s">
        <v>17</v>
      </c>
    </row>
    <row r="629" spans="1:24" ht="57.75" customHeight="1" x14ac:dyDescent="0.25">
      <c r="A629" s="10">
        <f t="shared" si="0"/>
        <v>626</v>
      </c>
      <c r="B629" s="11" t="s">
        <v>1727</v>
      </c>
      <c r="C629" s="10" t="s">
        <v>85</v>
      </c>
      <c r="D629" s="10" t="s">
        <v>86</v>
      </c>
      <c r="E629" s="10" t="s">
        <v>0</v>
      </c>
      <c r="F629" s="11" t="s">
        <v>1728</v>
      </c>
      <c r="G629" s="11"/>
      <c r="H629" s="11"/>
      <c r="I629" s="11">
        <v>2019</v>
      </c>
      <c r="J629" s="11" t="s">
        <v>992</v>
      </c>
      <c r="K629" s="15" t="str">
        <f t="shared" si="44"/>
        <v>ОД 02071010/0301-19</v>
      </c>
      <c r="L629" s="15" t="str">
        <f>HYPERLINK("https://drive.google.com/open?id=1q1wAwDF0NfMa6ZvGv0LLUaOikIymDD_t","Сертифікат")</f>
        <v>Сертифікат</v>
      </c>
      <c r="M629" s="11" t="s">
        <v>24</v>
      </c>
      <c r="N629" s="10">
        <v>6979.8</v>
      </c>
      <c r="O629" s="10">
        <v>20896.900000000001</v>
      </c>
      <c r="P629" s="10">
        <v>10</v>
      </c>
      <c r="Q629" s="10">
        <v>142.1</v>
      </c>
      <c r="R629" s="10" t="s">
        <v>57</v>
      </c>
      <c r="S629" s="10">
        <v>200.6</v>
      </c>
      <c r="T629" s="10">
        <v>39.4</v>
      </c>
      <c r="U629" s="29">
        <v>43717</v>
      </c>
      <c r="V629" s="29">
        <v>47369</v>
      </c>
      <c r="W629" s="10" t="s">
        <v>13</v>
      </c>
      <c r="X629" s="10" t="s">
        <v>17</v>
      </c>
    </row>
    <row r="630" spans="1:24" ht="57.75" customHeight="1" x14ac:dyDescent="0.25">
      <c r="A630" s="10">
        <f t="shared" si="0"/>
        <v>627</v>
      </c>
      <c r="B630" s="11" t="s">
        <v>1729</v>
      </c>
      <c r="C630" s="10" t="s">
        <v>1730</v>
      </c>
      <c r="D630" s="10" t="s">
        <v>75</v>
      </c>
      <c r="E630" s="10" t="s">
        <v>2</v>
      </c>
      <c r="F630" s="11" t="s">
        <v>1731</v>
      </c>
      <c r="G630" s="11"/>
      <c r="H630" s="11"/>
      <c r="I630" s="11">
        <v>1980</v>
      </c>
      <c r="J630" s="11" t="s">
        <v>522</v>
      </c>
      <c r="K630" s="15" t="str">
        <f>HYPERLINK("https://drive.google.com/open?id=18lqKYE01GxaHDTubmc2BqVX6nwdqClgj","АЕ00001")</f>
        <v>АЕ00001</v>
      </c>
      <c r="L630" s="15" t="str">
        <f>HYPERLINK("https://drive.google.com/open?id=1tp2G5Irbtar5tVwyxXCXJks5y2a-9Abj","Сертифікат")</f>
        <v>Сертифікат</v>
      </c>
      <c r="M630" s="11" t="s">
        <v>22</v>
      </c>
      <c r="N630" s="10">
        <v>667.8</v>
      </c>
      <c r="O630" s="10">
        <v>2103.6999999999998</v>
      </c>
      <c r="P630" s="10">
        <v>2</v>
      </c>
      <c r="Q630" s="10">
        <v>75.2</v>
      </c>
      <c r="R630" s="10" t="s">
        <v>66</v>
      </c>
      <c r="S630" s="10">
        <v>544.5</v>
      </c>
      <c r="T630" s="10">
        <v>99.4</v>
      </c>
      <c r="U630" s="29">
        <v>43725</v>
      </c>
      <c r="V630" s="29">
        <v>47377</v>
      </c>
      <c r="W630" s="10" t="s">
        <v>10</v>
      </c>
      <c r="X630" s="10" t="s">
        <v>17</v>
      </c>
    </row>
    <row r="631" spans="1:24" ht="57.75" customHeight="1" x14ac:dyDescent="0.25">
      <c r="A631" s="10">
        <f t="shared" si="0"/>
        <v>628</v>
      </c>
      <c r="B631" s="11" t="s">
        <v>1732</v>
      </c>
      <c r="C631" s="10" t="s">
        <v>441</v>
      </c>
      <c r="D631" s="10" t="s">
        <v>442</v>
      </c>
      <c r="E631" s="10" t="s">
        <v>0</v>
      </c>
      <c r="F631" s="11" t="s">
        <v>1733</v>
      </c>
      <c r="G631" s="11"/>
      <c r="H631" s="11"/>
      <c r="I631" s="11">
        <v>1988</v>
      </c>
      <c r="J631" s="11" t="s">
        <v>287</v>
      </c>
      <c r="K631" s="15" t="s">
        <v>288</v>
      </c>
      <c r="L631" s="15" t="str">
        <f>HYPERLINK("https://drive.google.com/open?id=143E61nlANyKB-qLhTspFxX3TiSgqvsks","Сертифікат")</f>
        <v>Сертифікат</v>
      </c>
      <c r="M631" s="11" t="s">
        <v>26</v>
      </c>
      <c r="N631" s="10">
        <v>4194.5</v>
      </c>
      <c r="O631" s="10">
        <v>12080.2</v>
      </c>
      <c r="P631" s="10">
        <v>10</v>
      </c>
      <c r="Q631" s="10">
        <v>207.4</v>
      </c>
      <c r="R631" s="10" t="s">
        <v>57</v>
      </c>
      <c r="S631" s="10">
        <v>329</v>
      </c>
      <c r="T631" s="10">
        <v>63.8</v>
      </c>
      <c r="U631" s="29">
        <v>43735</v>
      </c>
      <c r="V631" s="29">
        <v>47387</v>
      </c>
      <c r="W631" s="10" t="s">
        <v>10</v>
      </c>
      <c r="X631" s="10" t="s">
        <v>17</v>
      </c>
    </row>
    <row r="632" spans="1:24" ht="57.75" customHeight="1" x14ac:dyDescent="0.25">
      <c r="A632" s="10">
        <f t="shared" si="0"/>
        <v>629</v>
      </c>
      <c r="B632" s="11" t="s">
        <v>1734</v>
      </c>
      <c r="C632" s="10" t="s">
        <v>68</v>
      </c>
      <c r="D632" s="10" t="s">
        <v>69</v>
      </c>
      <c r="E632" s="10" t="s">
        <v>2</v>
      </c>
      <c r="F632" s="11" t="s">
        <v>1735</v>
      </c>
      <c r="G632" s="11"/>
      <c r="H632" s="11"/>
      <c r="I632" s="11">
        <v>1939</v>
      </c>
      <c r="J632" s="11" t="s">
        <v>1622</v>
      </c>
      <c r="K632" s="15" t="str">
        <f>HYPERLINK("https://drive.google.com/open?id=1YFy-QkXteFQ7Qy3y-cGXRmFusNCMcXqN","ОД №000019")</f>
        <v>ОД №000019</v>
      </c>
      <c r="L632" s="15" t="str">
        <f>HYPERLINK("https://drive.google.com/open?id=1VZzsDdYFfFbadMrAJdENKo2-zcvWpJ8t","Сертифікат")</f>
        <v>Сертифікат</v>
      </c>
      <c r="M632" s="11" t="s">
        <v>20</v>
      </c>
      <c r="N632" s="10">
        <v>1512</v>
      </c>
      <c r="O632" s="10">
        <v>5292</v>
      </c>
      <c r="P632" s="10">
        <v>3</v>
      </c>
      <c r="Q632" s="10">
        <v>70.900000000000006</v>
      </c>
      <c r="R632" s="10" t="s">
        <v>66</v>
      </c>
      <c r="S632" s="10">
        <v>125.5</v>
      </c>
      <c r="T632" s="10">
        <v>23.7</v>
      </c>
      <c r="U632" s="29">
        <v>43731</v>
      </c>
      <c r="V632" s="29">
        <v>47383</v>
      </c>
      <c r="W632" s="10" t="s">
        <v>10</v>
      </c>
      <c r="X632" s="10" t="s">
        <v>17</v>
      </c>
    </row>
    <row r="633" spans="1:24" ht="57.75" customHeight="1" x14ac:dyDescent="0.25">
      <c r="A633" s="10">
        <f t="shared" si="0"/>
        <v>630</v>
      </c>
      <c r="B633" s="11" t="s">
        <v>1736</v>
      </c>
      <c r="C633" s="24" t="s">
        <v>1737</v>
      </c>
      <c r="D633" s="11" t="s">
        <v>1738</v>
      </c>
      <c r="E633" s="10" t="s">
        <v>3</v>
      </c>
      <c r="F633" s="11" t="s">
        <v>1739</v>
      </c>
      <c r="G633" s="11"/>
      <c r="H633" s="11"/>
      <c r="I633" s="11">
        <v>1968</v>
      </c>
      <c r="J633" s="27" t="s">
        <v>1740</v>
      </c>
      <c r="K633" s="15" t="str">
        <f t="shared" ref="K633:K635" si="45">HYPERLINK("https://drive.google.com/open?id=1olNXwN6O7EqQ47IkA2pAkSyR84Ia7OFR","ОД № 000012 ")</f>
        <v xml:space="preserve">ОД № 000012 </v>
      </c>
      <c r="L633" s="15" t="str">
        <f>HYPERLINK("https://drive.google.com/open?id=1Z_UaY_fGoeSMxQ5xhpsygla1QD5XziSv","Сертифікат")</f>
        <v>Сертифікат</v>
      </c>
      <c r="M633" s="11" t="s">
        <v>26</v>
      </c>
      <c r="N633" s="10">
        <v>1267.5</v>
      </c>
      <c r="O633" s="10">
        <v>5070</v>
      </c>
      <c r="P633" s="10">
        <v>1</v>
      </c>
      <c r="Q633" s="10">
        <v>93.45</v>
      </c>
      <c r="R633" s="10" t="s">
        <v>66</v>
      </c>
      <c r="S633" s="10">
        <v>203.2</v>
      </c>
      <c r="T633" s="10">
        <v>34.799999999999997</v>
      </c>
      <c r="U633" s="29">
        <v>43735</v>
      </c>
      <c r="V633" s="29">
        <v>47387</v>
      </c>
      <c r="W633" s="10" t="s">
        <v>10</v>
      </c>
      <c r="X633" s="10" t="s">
        <v>17</v>
      </c>
    </row>
    <row r="634" spans="1:24" ht="57.75" customHeight="1" x14ac:dyDescent="0.25">
      <c r="A634" s="10">
        <f t="shared" si="0"/>
        <v>631</v>
      </c>
      <c r="B634" s="11" t="s">
        <v>1741</v>
      </c>
      <c r="C634" s="10" t="s">
        <v>1742</v>
      </c>
      <c r="D634" s="11" t="s">
        <v>1738</v>
      </c>
      <c r="E634" s="10" t="s">
        <v>3</v>
      </c>
      <c r="F634" s="11" t="s">
        <v>1743</v>
      </c>
      <c r="G634" s="11"/>
      <c r="H634" s="11"/>
      <c r="I634" s="11">
        <v>1958</v>
      </c>
      <c r="J634" s="11" t="s">
        <v>1740</v>
      </c>
      <c r="K634" s="15" t="str">
        <f t="shared" si="45"/>
        <v xml:space="preserve">ОД № 000012 </v>
      </c>
      <c r="L634" s="15" t="str">
        <f>HYPERLINK("https://drive.google.com/open?id=1KyWHjyM-0W0-w0cTz3cpE3s_ztTQsxBq","Сертифікат")</f>
        <v>Сертифікат</v>
      </c>
      <c r="M634" s="11" t="s">
        <v>26</v>
      </c>
      <c r="N634" s="10">
        <v>2147.5</v>
      </c>
      <c r="O634" s="10">
        <v>7600</v>
      </c>
      <c r="P634" s="10">
        <v>2</v>
      </c>
      <c r="Q634" s="10">
        <v>125.1</v>
      </c>
      <c r="R634" s="10" t="s">
        <v>66</v>
      </c>
      <c r="S634" s="10">
        <v>220.2</v>
      </c>
      <c r="T634" s="10">
        <v>40.299999999999997</v>
      </c>
      <c r="U634" s="29">
        <v>43735</v>
      </c>
      <c r="V634" s="29">
        <v>47387</v>
      </c>
      <c r="W634" s="10" t="s">
        <v>10</v>
      </c>
      <c r="X634" s="10" t="s">
        <v>17</v>
      </c>
    </row>
    <row r="635" spans="1:24" ht="57.75" customHeight="1" x14ac:dyDescent="0.25">
      <c r="A635" s="10">
        <f t="shared" si="0"/>
        <v>632</v>
      </c>
      <c r="B635" s="11" t="s">
        <v>1744</v>
      </c>
      <c r="C635" s="24" t="s">
        <v>1745</v>
      </c>
      <c r="D635" s="11" t="s">
        <v>1738</v>
      </c>
      <c r="E635" s="10" t="s">
        <v>3</v>
      </c>
      <c r="F635" s="11" t="s">
        <v>1746</v>
      </c>
      <c r="G635" s="11"/>
      <c r="H635" s="11"/>
      <c r="I635" s="11">
        <v>1957</v>
      </c>
      <c r="J635" s="27" t="s">
        <v>1740</v>
      </c>
      <c r="K635" s="15" t="str">
        <f t="shared" si="45"/>
        <v xml:space="preserve">ОД № 000012 </v>
      </c>
      <c r="L635" s="15" t="str">
        <f>HYPERLINK("https://drive.google.com/open?id=1IHQybAaHECRpcNb-S1pgnPp2bdGkSFA5","Сертифікат")</f>
        <v>Сертифікат</v>
      </c>
      <c r="M635" s="11" t="s">
        <v>26</v>
      </c>
      <c r="N635" s="10">
        <v>1271.8</v>
      </c>
      <c r="O635" s="10">
        <v>5023</v>
      </c>
      <c r="P635" s="10">
        <v>1</v>
      </c>
      <c r="Q635" s="10">
        <v>79.77</v>
      </c>
      <c r="R635" s="10" t="s">
        <v>66</v>
      </c>
      <c r="S635" s="10">
        <v>185.8</v>
      </c>
      <c r="T635" s="10">
        <v>31.6</v>
      </c>
      <c r="U635" s="29">
        <v>43735</v>
      </c>
      <c r="V635" s="29">
        <v>47387</v>
      </c>
      <c r="W635" s="10" t="s">
        <v>10</v>
      </c>
      <c r="X635" s="10" t="s">
        <v>17</v>
      </c>
    </row>
    <row r="636" spans="1:24" ht="57.75" customHeight="1" x14ac:dyDescent="0.25">
      <c r="A636" s="10">
        <f t="shared" si="0"/>
        <v>633</v>
      </c>
      <c r="B636" s="11" t="s">
        <v>1747</v>
      </c>
      <c r="C636" s="10" t="s">
        <v>52</v>
      </c>
      <c r="D636" s="10" t="s">
        <v>52</v>
      </c>
      <c r="E636" s="10" t="s">
        <v>0</v>
      </c>
      <c r="F636" s="11" t="s">
        <v>0</v>
      </c>
      <c r="G636" s="11"/>
      <c r="H636" s="11"/>
      <c r="I636" s="11" t="s">
        <v>836</v>
      </c>
      <c r="J636" s="11" t="s">
        <v>209</v>
      </c>
      <c r="K636" s="15" t="s">
        <v>210</v>
      </c>
      <c r="L636" s="15" t="str">
        <f>HYPERLINK("https://drive.google.com/open?id=1J5FrXHvz7tqKLSiWPk8KGlFKSRp4g_J_","Сертифікат")</f>
        <v>Сертифікат</v>
      </c>
      <c r="M636" s="11" t="s">
        <v>18</v>
      </c>
      <c r="N636" s="10">
        <v>18367</v>
      </c>
      <c r="O636" s="10">
        <v>51320</v>
      </c>
      <c r="P636" s="10">
        <v>27</v>
      </c>
      <c r="Q636" s="10">
        <v>86.9</v>
      </c>
      <c r="R636" s="10" t="s">
        <v>57</v>
      </c>
      <c r="S636" s="10">
        <v>148</v>
      </c>
      <c r="T636" s="10">
        <v>29</v>
      </c>
      <c r="U636" s="29">
        <v>43735</v>
      </c>
      <c r="V636" s="29">
        <v>47387</v>
      </c>
      <c r="W636" s="10" t="s">
        <v>10</v>
      </c>
      <c r="X636" s="10" t="s">
        <v>17</v>
      </c>
    </row>
    <row r="637" spans="1:24" ht="57.75" customHeight="1" x14ac:dyDescent="0.25">
      <c r="A637" s="10">
        <f t="shared" si="0"/>
        <v>634</v>
      </c>
      <c r="B637" s="11" t="s">
        <v>1748</v>
      </c>
      <c r="C637" s="10" t="s">
        <v>52</v>
      </c>
      <c r="D637" s="10" t="s">
        <v>52</v>
      </c>
      <c r="E637" s="10" t="s">
        <v>0</v>
      </c>
      <c r="F637" s="11" t="s">
        <v>0</v>
      </c>
      <c r="G637" s="11"/>
      <c r="H637" s="11"/>
      <c r="I637" s="11" t="s">
        <v>836</v>
      </c>
      <c r="J637" s="11" t="s">
        <v>209</v>
      </c>
      <c r="K637" s="15" t="s">
        <v>210</v>
      </c>
      <c r="L637" s="15" t="str">
        <f>HYPERLINK("https://drive.google.com/open?id=1UwW5nEHZjYjVlhxyV97b7TfxDeY154ts","Сертифікат")</f>
        <v>Сертифікат</v>
      </c>
      <c r="M637" s="11" t="s">
        <v>20</v>
      </c>
      <c r="N637" s="10">
        <v>30846</v>
      </c>
      <c r="O637" s="10">
        <v>86835</v>
      </c>
      <c r="P637" s="10">
        <v>27</v>
      </c>
      <c r="Q637" s="10">
        <v>90</v>
      </c>
      <c r="R637" s="10" t="s">
        <v>57</v>
      </c>
      <c r="S637" s="10">
        <v>168</v>
      </c>
      <c r="T637" s="10">
        <v>32</v>
      </c>
      <c r="U637" s="29">
        <v>43735</v>
      </c>
      <c r="V637" s="29">
        <v>47387</v>
      </c>
      <c r="W637" s="10" t="s">
        <v>10</v>
      </c>
      <c r="X637" s="10" t="s">
        <v>17</v>
      </c>
    </row>
    <row r="638" spans="1:24" ht="57.75" customHeight="1" x14ac:dyDescent="0.25">
      <c r="A638" s="10">
        <f t="shared" si="0"/>
        <v>635</v>
      </c>
      <c r="B638" s="11" t="s">
        <v>1749</v>
      </c>
      <c r="C638" s="10" t="s">
        <v>102</v>
      </c>
      <c r="D638" s="10" t="s">
        <v>103</v>
      </c>
      <c r="E638" s="10" t="s">
        <v>0</v>
      </c>
      <c r="F638" s="11" t="s">
        <v>1750</v>
      </c>
      <c r="G638" s="11"/>
      <c r="H638" s="11"/>
      <c r="I638" s="11">
        <v>1962</v>
      </c>
      <c r="J638" s="11" t="s">
        <v>240</v>
      </c>
      <c r="K638" s="15" t="str">
        <f>HYPERLINK("https://drive.google.com/open?id=1bdfPcoVY7gGnfSqAUR9FcOU1nrSE71tH","АА000020")</f>
        <v>АА000020</v>
      </c>
      <c r="L638" s="15" t="str">
        <f>HYPERLINK("https://drive.google.com/open?id=1OIFBV0ATM9yb2BGBbzuVyAY7jr9l5B_X","Сертифікат")</f>
        <v>Сертифікат</v>
      </c>
      <c r="M638" s="11" t="s">
        <v>26</v>
      </c>
      <c r="N638" s="10">
        <v>4269.38</v>
      </c>
      <c r="O638" s="10">
        <v>11954.25</v>
      </c>
      <c r="P638" s="10">
        <v>5</v>
      </c>
      <c r="Q638" s="10">
        <v>198.16</v>
      </c>
      <c r="R638" s="10" t="s">
        <v>57</v>
      </c>
      <c r="S638" s="10">
        <v>258.39999999999998</v>
      </c>
      <c r="T638" s="10">
        <v>68.569999999999993</v>
      </c>
      <c r="U638" s="29">
        <v>43737</v>
      </c>
      <c r="V638" s="29">
        <v>47389</v>
      </c>
      <c r="W638" s="10" t="s">
        <v>10</v>
      </c>
      <c r="X638" s="10" t="s">
        <v>17</v>
      </c>
    </row>
    <row r="639" spans="1:24" ht="57.75" customHeight="1" x14ac:dyDescent="0.25">
      <c r="A639" s="10">
        <f t="shared" si="0"/>
        <v>636</v>
      </c>
      <c r="B639" s="11" t="s">
        <v>1751</v>
      </c>
      <c r="C639" s="10" t="s">
        <v>359</v>
      </c>
      <c r="D639" s="10" t="s">
        <v>124</v>
      </c>
      <c r="E639" s="10" t="s">
        <v>5</v>
      </c>
      <c r="F639" s="11" t="s">
        <v>1752</v>
      </c>
      <c r="G639" s="11"/>
      <c r="H639" s="11"/>
      <c r="I639" s="11">
        <v>1973</v>
      </c>
      <c r="J639" s="11" t="s">
        <v>1753</v>
      </c>
      <c r="K639" s="15" t="str">
        <f>HYPERLINK("https://drive.google.com/open?id=1CfamzyaJ6BXL-U92_cvl3RlX0ZC5TZx7","АБ 05407870/4-19")</f>
        <v>АБ 05407870/4-19</v>
      </c>
      <c r="L639" s="15" t="str">
        <f>HYPERLINK("https://drive.google.com/open?id=1UqdzYq8X9wOHATkMPJNbVoh-SVEzr0y8","Сертифікат")</f>
        <v>Сертифікат</v>
      </c>
      <c r="M639" s="11" t="s">
        <v>18</v>
      </c>
      <c r="N639" s="10">
        <v>5590.21</v>
      </c>
      <c r="O639" s="10">
        <v>17036.099999999999</v>
      </c>
      <c r="P639" s="10">
        <v>5</v>
      </c>
      <c r="Q639" s="10">
        <v>54.48</v>
      </c>
      <c r="R639" s="10" t="s">
        <v>66</v>
      </c>
      <c r="S639" s="10">
        <v>253.46</v>
      </c>
      <c r="T639" s="10">
        <v>89.78</v>
      </c>
      <c r="U639" s="29">
        <v>43725</v>
      </c>
      <c r="V639" s="29">
        <v>47377</v>
      </c>
      <c r="W639" s="10" t="s">
        <v>13</v>
      </c>
      <c r="X639" s="10" t="s">
        <v>17</v>
      </c>
    </row>
    <row r="640" spans="1:24" ht="57.75" customHeight="1" x14ac:dyDescent="0.25">
      <c r="A640" s="10">
        <f t="shared" si="0"/>
        <v>637</v>
      </c>
      <c r="B640" s="11" t="s">
        <v>1754</v>
      </c>
      <c r="C640" s="47" t="s">
        <v>1755</v>
      </c>
      <c r="D640" s="10" t="s">
        <v>285</v>
      </c>
      <c r="E640" s="10" t="s">
        <v>2</v>
      </c>
      <c r="F640" s="11" t="s">
        <v>1756</v>
      </c>
      <c r="G640" s="11"/>
      <c r="H640" s="11"/>
      <c r="I640" s="11">
        <v>1974</v>
      </c>
      <c r="J640" s="11" t="s">
        <v>668</v>
      </c>
      <c r="K640" s="15" t="str">
        <f t="shared" ref="K640:K642" si="46">HYPERLINK("https://drive.google.com/open?id=1NSlpy3KnsggBDFhLrg81QLR2deMl7d6Q","АА000077")</f>
        <v>АА000077</v>
      </c>
      <c r="L640" s="15" t="str">
        <f>HYPERLINK("https://drive.google.com/open?id=19-H6oU4EUqRw9CaIMWoyxULR351Bp5v-","Сертифікат")</f>
        <v>Сертифікат</v>
      </c>
      <c r="M640" s="11" t="s">
        <v>20</v>
      </c>
      <c r="N640" s="10">
        <v>268.5</v>
      </c>
      <c r="O640" s="10">
        <v>776</v>
      </c>
      <c r="P640" s="10">
        <v>1</v>
      </c>
      <c r="Q640" s="10">
        <v>66</v>
      </c>
      <c r="R640" s="10" t="s">
        <v>66</v>
      </c>
      <c r="S640" s="10">
        <v>301.2</v>
      </c>
      <c r="T640" s="10">
        <v>92</v>
      </c>
      <c r="U640" s="29">
        <v>43738</v>
      </c>
      <c r="V640" s="29">
        <v>47390</v>
      </c>
      <c r="W640" s="10" t="s">
        <v>10</v>
      </c>
      <c r="X640" s="10" t="s">
        <v>17</v>
      </c>
    </row>
    <row r="641" spans="1:24" ht="57.75" customHeight="1" x14ac:dyDescent="0.25">
      <c r="A641" s="10">
        <f t="shared" si="0"/>
        <v>638</v>
      </c>
      <c r="B641" s="11" t="s">
        <v>1758</v>
      </c>
      <c r="C641" s="10" t="s">
        <v>284</v>
      </c>
      <c r="D641" s="10" t="s">
        <v>285</v>
      </c>
      <c r="E641" s="10" t="s">
        <v>2</v>
      </c>
      <c r="F641" s="11" t="s">
        <v>1757</v>
      </c>
      <c r="G641" s="11"/>
      <c r="H641" s="11"/>
      <c r="I641" s="11">
        <v>1983</v>
      </c>
      <c r="J641" s="11" t="s">
        <v>668</v>
      </c>
      <c r="K641" s="15" t="str">
        <f t="shared" si="46"/>
        <v>АА000077</v>
      </c>
      <c r="L641" s="15" t="str">
        <f>HYPERLINK("https://drive.google.com/open?id=17VikeLni2zhcy2_YREe24HnP9z1tiyRq","Сертифікат")</f>
        <v>Сертифікат</v>
      </c>
      <c r="M641" s="11" t="s">
        <v>26</v>
      </c>
      <c r="N641" s="10">
        <v>630.29999999999995</v>
      </c>
      <c r="O641" s="10">
        <v>1941</v>
      </c>
      <c r="P641" s="10">
        <v>3</v>
      </c>
      <c r="Q641" s="10">
        <v>115.5</v>
      </c>
      <c r="R641" s="10" t="s">
        <v>66</v>
      </c>
      <c r="S641" s="10">
        <v>550.5</v>
      </c>
      <c r="T641" s="10">
        <v>174.3</v>
      </c>
      <c r="U641" s="29">
        <v>43738</v>
      </c>
      <c r="V641" s="29">
        <v>47390</v>
      </c>
      <c r="W641" s="10" t="s">
        <v>10</v>
      </c>
      <c r="X641" s="10" t="s">
        <v>17</v>
      </c>
    </row>
    <row r="642" spans="1:24" ht="57.75" customHeight="1" x14ac:dyDescent="0.25">
      <c r="A642" s="10">
        <f t="shared" si="0"/>
        <v>639</v>
      </c>
      <c r="B642" s="11" t="s">
        <v>1759</v>
      </c>
      <c r="C642" s="10" t="s">
        <v>730</v>
      </c>
      <c r="D642" s="10" t="s">
        <v>285</v>
      </c>
      <c r="E642" s="10" t="s">
        <v>2</v>
      </c>
      <c r="F642" s="11" t="s">
        <v>1760</v>
      </c>
      <c r="G642" s="11"/>
      <c r="H642" s="11"/>
      <c r="I642" s="11">
        <v>2000</v>
      </c>
      <c r="J642" s="11" t="s">
        <v>668</v>
      </c>
      <c r="K642" s="15" t="str">
        <f t="shared" si="46"/>
        <v>АА000077</v>
      </c>
      <c r="L642" s="15" t="str">
        <f>HYPERLINK("https://drive.google.com/open?id=1navvDW6eGDHWGcrH8AhQ5T9CdkCdH3gl","Сертифікат")</f>
        <v>Сертифікат</v>
      </c>
      <c r="M642" s="11" t="s">
        <v>26</v>
      </c>
      <c r="N642" s="10">
        <v>283.39999999999998</v>
      </c>
      <c r="O642" s="10">
        <v>949</v>
      </c>
      <c r="P642" s="10">
        <v>2</v>
      </c>
      <c r="Q642" s="10">
        <v>111.7</v>
      </c>
      <c r="R642" s="10" t="s">
        <v>66</v>
      </c>
      <c r="S642" s="10">
        <v>493.9</v>
      </c>
      <c r="T642" s="10">
        <v>128.1</v>
      </c>
      <c r="U642" s="29">
        <v>43738</v>
      </c>
      <c r="V642" s="29">
        <v>47390</v>
      </c>
      <c r="W642" s="10" t="s">
        <v>10</v>
      </c>
      <c r="X642" s="10" t="s">
        <v>17</v>
      </c>
    </row>
    <row r="643" spans="1:24" ht="57.75" customHeight="1" x14ac:dyDescent="0.25">
      <c r="A643" s="10">
        <f t="shared" si="0"/>
        <v>640</v>
      </c>
      <c r="B643" s="11" t="s">
        <v>1761</v>
      </c>
      <c r="C643" s="47" t="s">
        <v>1762</v>
      </c>
      <c r="D643" s="10" t="s">
        <v>815</v>
      </c>
      <c r="E643" s="10" t="s">
        <v>3</v>
      </c>
      <c r="F643" s="11" t="s">
        <v>1763</v>
      </c>
      <c r="G643" s="11"/>
      <c r="H643" s="11"/>
      <c r="I643" s="11">
        <v>1984</v>
      </c>
      <c r="J643" s="11" t="s">
        <v>276</v>
      </c>
      <c r="K643" s="15" t="s">
        <v>277</v>
      </c>
      <c r="L643" s="15" t="str">
        <f>HYPERLINK("https://drive.google.com/open?id=1KRof0J9LCF7Dwpj5nyWgYnlrY7vEJwGu","Сертифікат")</f>
        <v>Сертифікат</v>
      </c>
      <c r="M643" s="11" t="s">
        <v>26</v>
      </c>
      <c r="N643" s="10">
        <v>3046</v>
      </c>
      <c r="O643" s="10">
        <v>12053</v>
      </c>
      <c r="P643" s="10">
        <v>2</v>
      </c>
      <c r="Q643" s="10">
        <v>80</v>
      </c>
      <c r="R643" s="10" t="s">
        <v>66</v>
      </c>
      <c r="S643" s="10">
        <v>404</v>
      </c>
      <c r="T643" s="10">
        <v>104</v>
      </c>
      <c r="U643" s="29">
        <v>43735</v>
      </c>
      <c r="V643" s="29">
        <v>47387</v>
      </c>
      <c r="W643" s="10" t="s">
        <v>10</v>
      </c>
      <c r="X643" s="10" t="s">
        <v>17</v>
      </c>
    </row>
    <row r="644" spans="1:24" ht="57.75" customHeight="1" x14ac:dyDescent="0.25">
      <c r="A644" s="10">
        <f t="shared" si="0"/>
        <v>641</v>
      </c>
      <c r="B644" s="11" t="s">
        <v>1764</v>
      </c>
      <c r="C644" s="10" t="s">
        <v>1765</v>
      </c>
      <c r="D644" s="10" t="s">
        <v>238</v>
      </c>
      <c r="E644" s="10" t="s">
        <v>2</v>
      </c>
      <c r="F644" s="11" t="s">
        <v>1766</v>
      </c>
      <c r="G644" s="11"/>
      <c r="H644" s="11"/>
      <c r="I644" s="11" t="s">
        <v>1010</v>
      </c>
      <c r="J644" s="11" t="s">
        <v>1767</v>
      </c>
      <c r="K644" s="15" t="str">
        <f>HYPERLINK("https://drive.google.com/open?id=1jTiqrH2Py3be6JAJBqF3SGwCFfPZoWQw","ЕЕ00042")</f>
        <v>ЕЕ00042</v>
      </c>
      <c r="L644" s="15" t="str">
        <f>HYPERLINK("https://drive.google.com/open?id=1XsX-3EutREBkQ44PV1W-vfgDDrqvuaQy","Сертифікат")</f>
        <v>Сертифікат</v>
      </c>
      <c r="M644" s="11" t="s">
        <v>18</v>
      </c>
      <c r="N644" s="10">
        <v>1598.81</v>
      </c>
      <c r="O644" s="10">
        <v>5276.1</v>
      </c>
      <c r="P644" s="10">
        <v>3</v>
      </c>
      <c r="Q644" s="10">
        <v>56.46</v>
      </c>
      <c r="R644" s="10" t="s">
        <v>66</v>
      </c>
      <c r="S644" s="10">
        <v>110.4</v>
      </c>
      <c r="T644" s="10">
        <v>16.100000000000001</v>
      </c>
      <c r="U644" s="29">
        <v>43737</v>
      </c>
      <c r="V644" s="29">
        <v>47389</v>
      </c>
      <c r="W644" s="10" t="s">
        <v>10</v>
      </c>
      <c r="X644" s="10" t="s">
        <v>17</v>
      </c>
    </row>
    <row r="645" spans="1:24" ht="57.75" customHeight="1" x14ac:dyDescent="0.25">
      <c r="A645" s="10">
        <f t="shared" si="0"/>
        <v>642</v>
      </c>
      <c r="B645" s="11" t="s">
        <v>1768</v>
      </c>
      <c r="C645" s="10" t="s">
        <v>552</v>
      </c>
      <c r="D645" s="10" t="s">
        <v>541</v>
      </c>
      <c r="E645" s="10" t="s">
        <v>0</v>
      </c>
      <c r="F645" s="11" t="s">
        <v>1009</v>
      </c>
      <c r="G645" s="11"/>
      <c r="H645" s="11"/>
      <c r="I645" s="11" t="s">
        <v>1010</v>
      </c>
      <c r="J645" s="11" t="s">
        <v>1212</v>
      </c>
      <c r="K645" s="15" t="str">
        <f>HYPERLINK("https://drive.google.com/open?id=1qVpeZ0dMjER4A_7LBKGZWgWVkT6rlEvk","АА000015")</f>
        <v>АА000015</v>
      </c>
      <c r="L645" s="15" t="str">
        <f>HYPERLINK("https://drive.google.com/open?id=1PkNgU1pY8CctqqNPJyJXSalNE_yLmdO-","Сертифікат")</f>
        <v>Сертифікат</v>
      </c>
      <c r="M645" s="11" t="s">
        <v>18</v>
      </c>
      <c r="N645" s="10">
        <v>5442.4</v>
      </c>
      <c r="O645" s="10">
        <v>15238.72</v>
      </c>
      <c r="P645" s="10">
        <v>10</v>
      </c>
      <c r="Q645" s="10">
        <v>86.32</v>
      </c>
      <c r="R645" s="10" t="s">
        <v>57</v>
      </c>
      <c r="S645" s="10">
        <v>110.27</v>
      </c>
      <c r="T645" s="10">
        <v>30.13</v>
      </c>
      <c r="U645" s="29">
        <v>43734</v>
      </c>
      <c r="V645" s="29">
        <v>47386</v>
      </c>
      <c r="W645" s="10" t="s">
        <v>10</v>
      </c>
      <c r="X645" s="10" t="s">
        <v>17</v>
      </c>
    </row>
    <row r="646" spans="1:24" ht="57.75" customHeight="1" x14ac:dyDescent="0.25">
      <c r="A646" s="10">
        <f t="shared" si="0"/>
        <v>643</v>
      </c>
      <c r="B646" s="11" t="s">
        <v>1769</v>
      </c>
      <c r="C646" s="10" t="s">
        <v>1770</v>
      </c>
      <c r="D646" s="10" t="s">
        <v>285</v>
      </c>
      <c r="E646" s="10" t="s">
        <v>2</v>
      </c>
      <c r="F646" s="11" t="s">
        <v>1771</v>
      </c>
      <c r="G646" s="11"/>
      <c r="H646" s="11"/>
      <c r="I646" s="11">
        <v>1978</v>
      </c>
      <c r="J646" s="11" t="s">
        <v>668</v>
      </c>
      <c r="K646" s="15" t="str">
        <f>HYPERLINK("https://drive.google.com/open?id=1NSlpy3KnsggBDFhLrg81QLR2deMl7d6Q","АА000077")</f>
        <v>АА000077</v>
      </c>
      <c r="L646" s="15" t="str">
        <f>HYPERLINK("https://drive.google.com/open?id=1_f6zutoZZAsuH_yhCY475FUMy3m2WCtd","Сертифікат")</f>
        <v>Сертифікат</v>
      </c>
      <c r="M646" s="11" t="s">
        <v>26</v>
      </c>
      <c r="N646" s="10">
        <v>501.2</v>
      </c>
      <c r="O646" s="10">
        <v>1594</v>
      </c>
      <c r="P646" s="10">
        <v>2</v>
      </c>
      <c r="Q646" s="10">
        <v>116.9</v>
      </c>
      <c r="R646" s="10" t="s">
        <v>66</v>
      </c>
      <c r="S646" s="10">
        <v>470.8</v>
      </c>
      <c r="T646" s="10">
        <v>121</v>
      </c>
      <c r="U646" s="29">
        <v>43738</v>
      </c>
      <c r="V646" s="29">
        <v>47390</v>
      </c>
      <c r="W646" s="10" t="s">
        <v>10</v>
      </c>
      <c r="X646" s="10" t="s">
        <v>17</v>
      </c>
    </row>
    <row r="647" spans="1:24" ht="57.75" customHeight="1" x14ac:dyDescent="0.25">
      <c r="A647" s="10">
        <f t="shared" si="0"/>
        <v>644</v>
      </c>
      <c r="B647" s="11" t="s">
        <v>1772</v>
      </c>
      <c r="C647" s="10" t="s">
        <v>1773</v>
      </c>
      <c r="D647" s="10" t="s">
        <v>75</v>
      </c>
      <c r="E647" s="10" t="s">
        <v>3</v>
      </c>
      <c r="F647" s="11" t="s">
        <v>1774</v>
      </c>
      <c r="G647" s="11"/>
      <c r="H647" s="11"/>
      <c r="I647" s="11">
        <v>1970</v>
      </c>
      <c r="J647" s="11" t="s">
        <v>93</v>
      </c>
      <c r="K647" s="15" t="str">
        <f>HYPERLINK("https://drive.google.com/open?id=16knL7rF64EXtCB0-Ch1v5DtfiE2GYjkB","ЕЕ-002-10-18")</f>
        <v>ЕЕ-002-10-18</v>
      </c>
      <c r="L647" s="15" t="str">
        <f>HYPERLINK("https://drive.google.com/open?id=1CkvsyIA45nnS9UH6Rq8-uKMKo4uAiwIp","Сертифікат")</f>
        <v>Сертифікат</v>
      </c>
      <c r="M647" s="11" t="s">
        <v>26</v>
      </c>
      <c r="N647" s="10">
        <v>1893</v>
      </c>
      <c r="O647" s="10">
        <v>6589</v>
      </c>
      <c r="P647" s="10">
        <v>2</v>
      </c>
      <c r="Q647" s="10">
        <v>78.3</v>
      </c>
      <c r="R647" s="10" t="s">
        <v>66</v>
      </c>
      <c r="S647" s="10">
        <v>363</v>
      </c>
      <c r="T647" s="10">
        <v>71</v>
      </c>
      <c r="U647" s="29">
        <v>43736</v>
      </c>
      <c r="V647" s="29">
        <v>47388</v>
      </c>
      <c r="W647" s="10" t="s">
        <v>10</v>
      </c>
      <c r="X647" s="10" t="s">
        <v>17</v>
      </c>
    </row>
    <row r="648" spans="1:24" ht="57.75" customHeight="1" x14ac:dyDescent="0.25">
      <c r="A648" s="10">
        <f t="shared" si="0"/>
        <v>645</v>
      </c>
      <c r="B648" s="11" t="s">
        <v>1775</v>
      </c>
      <c r="C648" s="10" t="s">
        <v>243</v>
      </c>
      <c r="D648" s="10" t="s">
        <v>238</v>
      </c>
      <c r="E648" s="10" t="s">
        <v>0</v>
      </c>
      <c r="F648" s="11" t="s">
        <v>0</v>
      </c>
      <c r="G648" s="11"/>
      <c r="H648" s="11"/>
      <c r="I648" s="11" t="s">
        <v>836</v>
      </c>
      <c r="J648" s="11" t="s">
        <v>843</v>
      </c>
      <c r="K648" s="15" t="str">
        <f>HYPERLINK("https://drive.google.com/open?id=17KtRSyjmLaDiewjK-BWiyP5RCeXuyEaI","ХР 000013")</f>
        <v>ХР 000013</v>
      </c>
      <c r="L648" s="15" t="str">
        <f>HYPERLINK("https://drive.google.com/open?id=1pf2MZeCRKr-Z_f5G79vp0WLvAgcTfOzI","Сертифікат")</f>
        <v>Сертифікат</v>
      </c>
      <c r="M648" s="11" t="s">
        <v>18</v>
      </c>
      <c r="N648" s="10">
        <v>3579.6</v>
      </c>
      <c r="O648" s="10">
        <v>10738.8</v>
      </c>
      <c r="P648" s="10">
        <v>8</v>
      </c>
      <c r="Q648" s="10">
        <v>85.82</v>
      </c>
      <c r="R648" s="10" t="s">
        <v>57</v>
      </c>
      <c r="S648" s="10">
        <v>140.9</v>
      </c>
      <c r="T648" s="10">
        <v>27.7</v>
      </c>
      <c r="U648" s="29">
        <v>43738</v>
      </c>
      <c r="V648" s="29">
        <v>47390</v>
      </c>
      <c r="W648" s="10" t="s">
        <v>13</v>
      </c>
      <c r="X648" s="10" t="s">
        <v>17</v>
      </c>
    </row>
    <row r="649" spans="1:24" ht="57.75" customHeight="1" x14ac:dyDescent="0.25">
      <c r="A649" s="10">
        <f t="shared" si="0"/>
        <v>646</v>
      </c>
      <c r="B649" s="11" t="s">
        <v>1776</v>
      </c>
      <c r="C649" s="10" t="s">
        <v>1507</v>
      </c>
      <c r="D649" s="10" t="s">
        <v>317</v>
      </c>
      <c r="E649" s="10" t="s">
        <v>3</v>
      </c>
      <c r="F649" s="11" t="s">
        <v>1777</v>
      </c>
      <c r="G649" s="11"/>
      <c r="H649" s="11"/>
      <c r="I649" s="11">
        <v>1979</v>
      </c>
      <c r="J649" s="11" t="s">
        <v>1520</v>
      </c>
      <c r="K649" s="15" t="str">
        <f>HYPERLINK("https://drive.google.com/open?id=1h7SxjX8kLI3GcDpujJYP0DlexJilmQJ7","АР 000071")</f>
        <v>АР 000071</v>
      </c>
      <c r="L649" s="15" t="str">
        <f>HYPERLINK("https://drive.google.com/open?id=1ywc8Z6HcU9kFlN4zRLctiQQLdKasHzPq","Сертифікат")</f>
        <v>Сертифікат</v>
      </c>
      <c r="M649" s="11" t="s">
        <v>24</v>
      </c>
      <c r="N649" s="10">
        <v>2395.1999999999998</v>
      </c>
      <c r="O649" s="10">
        <v>10434</v>
      </c>
      <c r="P649" s="10">
        <v>3</v>
      </c>
      <c r="Q649" s="10">
        <v>57.68</v>
      </c>
      <c r="R649" s="10" t="s">
        <v>66</v>
      </c>
      <c r="S649" s="10">
        <v>493.5</v>
      </c>
      <c r="T649" s="10">
        <v>94.1</v>
      </c>
      <c r="U649" s="29">
        <v>43739</v>
      </c>
      <c r="V649" s="29">
        <v>47391</v>
      </c>
      <c r="W649" s="10" t="s">
        <v>13</v>
      </c>
      <c r="X649" s="10" t="s">
        <v>17</v>
      </c>
    </row>
    <row r="650" spans="1:24" ht="57.75" customHeight="1" x14ac:dyDescent="0.25">
      <c r="A650" s="10">
        <f t="shared" si="0"/>
        <v>647</v>
      </c>
      <c r="B650" s="11" t="s">
        <v>1778</v>
      </c>
      <c r="C650" s="10" t="s">
        <v>814</v>
      </c>
      <c r="D650" s="10" t="s">
        <v>815</v>
      </c>
      <c r="E650" s="10" t="s">
        <v>2</v>
      </c>
      <c r="F650" s="11" t="s">
        <v>1779</v>
      </c>
      <c r="G650" s="11"/>
      <c r="H650" s="11"/>
      <c r="I650" s="11">
        <v>2020</v>
      </c>
      <c r="J650" s="10" t="s">
        <v>817</v>
      </c>
      <c r="K650" s="15" t="s">
        <v>818</v>
      </c>
      <c r="L650" s="15" t="str">
        <f>HYPERLINK("https://drive.google.com/open?id=1V_BcpxNx4_-j_lDs1sbfN64wgaNRuyDS","Сертифікат")</f>
        <v>Сертифікат</v>
      </c>
      <c r="M650" s="11" t="s">
        <v>12</v>
      </c>
      <c r="N650" s="10">
        <v>2030</v>
      </c>
      <c r="O650" s="10">
        <v>7616.62</v>
      </c>
      <c r="P650" s="10">
        <v>2</v>
      </c>
      <c r="Q650" s="10">
        <v>17.53</v>
      </c>
      <c r="R650" s="10" t="s">
        <v>66</v>
      </c>
      <c r="S650" s="10">
        <v>466.87</v>
      </c>
      <c r="T650" s="10">
        <v>86.62</v>
      </c>
      <c r="U650" s="29">
        <v>43739</v>
      </c>
      <c r="V650" s="29">
        <v>47391</v>
      </c>
      <c r="W650" s="10" t="s">
        <v>13</v>
      </c>
      <c r="X650" s="10" t="s">
        <v>17</v>
      </c>
    </row>
    <row r="651" spans="1:24" ht="57.75" customHeight="1" x14ac:dyDescent="0.25">
      <c r="A651" s="10">
        <f t="shared" si="0"/>
        <v>648</v>
      </c>
      <c r="B651" s="11" t="s">
        <v>1780</v>
      </c>
      <c r="C651" s="10" t="s">
        <v>1781</v>
      </c>
      <c r="D651" s="10" t="s">
        <v>285</v>
      </c>
      <c r="E651" s="10" t="s">
        <v>2</v>
      </c>
      <c r="F651" s="11" t="s">
        <v>1782</v>
      </c>
      <c r="G651" s="11"/>
      <c r="H651" s="11"/>
      <c r="I651" s="11">
        <v>2000</v>
      </c>
      <c r="J651" s="11" t="s">
        <v>668</v>
      </c>
      <c r="K651" s="15" t="str">
        <f>HYPERLINK("https://drive.google.com/open?id=1NSlpy3KnsggBDFhLrg81QLR2deMl7d6Q","АА000077")</f>
        <v>АА000077</v>
      </c>
      <c r="L651" s="15" t="str">
        <f>HYPERLINK("https://drive.google.com/open?id=1m9bLtca75tf6WXdBb4t14JIUTF4kSCRc","Сертифікат")</f>
        <v>Сертифікат</v>
      </c>
      <c r="M651" s="11" t="s">
        <v>26</v>
      </c>
      <c r="N651" s="10">
        <v>434.6</v>
      </c>
      <c r="O651" s="10">
        <v>1304</v>
      </c>
      <c r="P651" s="10">
        <v>2</v>
      </c>
      <c r="Q651" s="10">
        <v>145.6</v>
      </c>
      <c r="R651" s="10" t="s">
        <v>66</v>
      </c>
      <c r="S651" s="10">
        <v>573.1</v>
      </c>
      <c r="T651" s="10">
        <v>150.19999999999999</v>
      </c>
      <c r="U651" s="29">
        <v>43738</v>
      </c>
      <c r="V651" s="29">
        <v>47390</v>
      </c>
      <c r="W651" s="10" t="s">
        <v>10</v>
      </c>
      <c r="X651" s="10" t="s">
        <v>17</v>
      </c>
    </row>
    <row r="652" spans="1:24" ht="57.75" customHeight="1" x14ac:dyDescent="0.25">
      <c r="A652" s="10">
        <f t="shared" si="0"/>
        <v>649</v>
      </c>
      <c r="B652" s="11" t="s">
        <v>1783</v>
      </c>
      <c r="C652" s="10" t="s">
        <v>85</v>
      </c>
      <c r="D652" s="10" t="s">
        <v>86</v>
      </c>
      <c r="E652" s="10" t="s">
        <v>0</v>
      </c>
      <c r="F652" s="11" t="s">
        <v>1784</v>
      </c>
      <c r="G652" s="11"/>
      <c r="H652" s="11"/>
      <c r="I652" s="11">
        <v>2019</v>
      </c>
      <c r="J652" s="11" t="s">
        <v>1785</v>
      </c>
      <c r="K652" s="15" t="str">
        <f>HYPERLINK("https://drive.google.com/open?id=15Xk3uo5qG9oRKI9grUcCoqrWkkn8yxac","ОД 02071010/0297-19")</f>
        <v>ОД 02071010/0297-19</v>
      </c>
      <c r="L652" s="15" t="str">
        <f>HYPERLINK("https://drive.google.com/open?id=1WT49Kk8kAln1w0KtNv77_y4uRa1q_ZiZ","Сертифікат")</f>
        <v>Сертифікат</v>
      </c>
      <c r="M652" s="11" t="s">
        <v>22</v>
      </c>
      <c r="N652" s="10">
        <v>17123.21</v>
      </c>
      <c r="O652" s="10">
        <v>50283.09</v>
      </c>
      <c r="P652" s="10" t="s">
        <v>1786</v>
      </c>
      <c r="Q652" s="10">
        <v>127</v>
      </c>
      <c r="R652" s="10" t="s">
        <v>57</v>
      </c>
      <c r="S652" s="10">
        <v>188.3</v>
      </c>
      <c r="T652" s="10">
        <v>36.700000000000003</v>
      </c>
      <c r="U652" s="29">
        <v>43738</v>
      </c>
      <c r="V652" s="29">
        <v>47390</v>
      </c>
      <c r="W652" s="10" t="s">
        <v>13</v>
      </c>
      <c r="X652" s="10" t="s">
        <v>17</v>
      </c>
    </row>
    <row r="653" spans="1:24" ht="57.75" customHeight="1" x14ac:dyDescent="0.25">
      <c r="A653" s="10">
        <f t="shared" si="0"/>
        <v>650</v>
      </c>
      <c r="B653" s="11" t="s">
        <v>1787</v>
      </c>
      <c r="C653" s="10" t="s">
        <v>85</v>
      </c>
      <c r="D653" s="10" t="s">
        <v>86</v>
      </c>
      <c r="E653" s="10" t="s">
        <v>0</v>
      </c>
      <c r="F653" s="11" t="s">
        <v>1009</v>
      </c>
      <c r="G653" s="11"/>
      <c r="H653" s="11"/>
      <c r="I653" s="11">
        <v>1996</v>
      </c>
      <c r="J653" s="11" t="s">
        <v>438</v>
      </c>
      <c r="K653" s="15" t="str">
        <f>HYPERLINK("https://drive.google.com/open?id=1pQzRPvBj_zLUQF1x327A_Ozsrhj7_hqF","ОД 02071010/0994-18")</f>
        <v>ОД 02071010/0994-18</v>
      </c>
      <c r="L653" s="15" t="str">
        <f>HYPERLINK("https://drive.google.com/open?id=1WpcAMusuewybcU0O0WkQNNcdFgcU7rew","Сертифікат")</f>
        <v>Сертифікат</v>
      </c>
      <c r="M653" s="11" t="s">
        <v>26</v>
      </c>
      <c r="N653" s="10">
        <v>8341.2000000000007</v>
      </c>
      <c r="O653" s="10">
        <v>24189</v>
      </c>
      <c r="P653" s="10">
        <v>9</v>
      </c>
      <c r="Q653" s="10">
        <v>162.6</v>
      </c>
      <c r="R653" s="10" t="s">
        <v>57</v>
      </c>
      <c r="S653" s="10">
        <v>202.9</v>
      </c>
      <c r="T653" s="10">
        <v>39.9</v>
      </c>
      <c r="U653" s="29">
        <v>43731</v>
      </c>
      <c r="V653" s="29">
        <v>47383</v>
      </c>
      <c r="W653" s="10" t="s">
        <v>10</v>
      </c>
      <c r="X653" s="10" t="s">
        <v>17</v>
      </c>
    </row>
    <row r="654" spans="1:24" ht="57.75" customHeight="1" x14ac:dyDescent="0.25">
      <c r="A654" s="10">
        <f t="shared" si="0"/>
        <v>651</v>
      </c>
      <c r="B654" s="11" t="s">
        <v>1788</v>
      </c>
      <c r="C654" s="52" t="s">
        <v>1789</v>
      </c>
      <c r="D654" s="10" t="s">
        <v>1790</v>
      </c>
      <c r="E654" s="10" t="s">
        <v>3</v>
      </c>
      <c r="F654" s="11" t="s">
        <v>1791</v>
      </c>
      <c r="G654" s="11"/>
      <c r="H654" s="11"/>
      <c r="I654" s="11">
        <v>1984</v>
      </c>
      <c r="J654" s="20" t="s">
        <v>1792</v>
      </c>
      <c r="K654" s="51" t="str">
        <f>HYPERLINK("https://drive.google.com/open?id=1laZJ9DNg7R52l43mei0M7NztloW8UcC_","KPI-CE №000005")</f>
        <v>KPI-CE №000005</v>
      </c>
      <c r="L654" s="15" t="str">
        <f>HYPERLINK("https://drive.google.com/open?id=10bjdVKQhfGnx2M4OSE45dBeaXWiKxnn8","Сертифікат")</f>
        <v>Сертифікат</v>
      </c>
      <c r="M654" s="11" t="s">
        <v>15</v>
      </c>
      <c r="N654" s="10">
        <v>6364.95</v>
      </c>
      <c r="O654" s="10">
        <v>19200</v>
      </c>
      <c r="P654" s="10">
        <v>3</v>
      </c>
      <c r="Q654" s="10">
        <v>22.98</v>
      </c>
      <c r="R654" s="10" t="s">
        <v>66</v>
      </c>
      <c r="S654" s="10">
        <v>52.08</v>
      </c>
      <c r="T654" s="10">
        <v>18.899999999999999</v>
      </c>
      <c r="U654" s="29">
        <v>43739</v>
      </c>
      <c r="V654" s="29">
        <v>47391</v>
      </c>
      <c r="W654" s="10" t="s">
        <v>13</v>
      </c>
      <c r="X654" s="10" t="s">
        <v>17</v>
      </c>
    </row>
    <row r="655" spans="1:24" ht="57.75" customHeight="1" x14ac:dyDescent="0.25">
      <c r="A655" s="10">
        <f t="shared" si="0"/>
        <v>652</v>
      </c>
      <c r="B655" s="11" t="s">
        <v>1793</v>
      </c>
      <c r="C655" s="52" t="s">
        <v>1789</v>
      </c>
      <c r="D655" s="10" t="s">
        <v>1790</v>
      </c>
      <c r="E655" s="10" t="s">
        <v>4</v>
      </c>
      <c r="F655" s="11" t="s">
        <v>1794</v>
      </c>
      <c r="G655" s="11"/>
      <c r="H655" s="11"/>
      <c r="I655" s="11">
        <v>1974</v>
      </c>
      <c r="J655" s="20" t="s">
        <v>1792</v>
      </c>
      <c r="K655" s="51" t="s">
        <v>1795</v>
      </c>
      <c r="L655" s="15" t="str">
        <f>HYPERLINK("https://drive.google.com/open?id=1gnUEN2TJClgBgpwLUmkTVtvK7cZYHmjA","Сертифікат")</f>
        <v>Сертифікат</v>
      </c>
      <c r="M655" s="11" t="s">
        <v>15</v>
      </c>
      <c r="N655" s="10">
        <v>2146.1</v>
      </c>
      <c r="O655" s="10">
        <v>6726</v>
      </c>
      <c r="P655" s="31">
        <v>43497</v>
      </c>
      <c r="Q655" s="10" t="s">
        <v>1796</v>
      </c>
      <c r="R655" s="10" t="s">
        <v>66</v>
      </c>
      <c r="S655" s="10">
        <v>93.62</v>
      </c>
      <c r="T655" s="10">
        <v>32.200000000000003</v>
      </c>
      <c r="U655" s="29">
        <v>43739</v>
      </c>
      <c r="V655" s="29">
        <v>47391</v>
      </c>
      <c r="W655" s="10" t="s">
        <v>10</v>
      </c>
      <c r="X655" s="10" t="s">
        <v>17</v>
      </c>
    </row>
    <row r="656" spans="1:24" ht="57.75" customHeight="1" x14ac:dyDescent="0.25">
      <c r="A656" s="10">
        <f t="shared" si="0"/>
        <v>653</v>
      </c>
      <c r="B656" s="11" t="s">
        <v>1797</v>
      </c>
      <c r="C656" s="52" t="s">
        <v>1704</v>
      </c>
      <c r="D656" s="52" t="s">
        <v>1790</v>
      </c>
      <c r="E656" s="10" t="s">
        <v>3</v>
      </c>
      <c r="F656" s="11" t="s">
        <v>1798</v>
      </c>
      <c r="G656" s="11"/>
      <c r="H656" s="11"/>
      <c r="I656" s="11">
        <v>1960</v>
      </c>
      <c r="J656" s="11" t="s">
        <v>110</v>
      </c>
      <c r="K656" s="15" t="str">
        <f t="shared" ref="K656:K657" si="47">HYPERLINK("https://drive.google.com/open?id=1hysLLNyTDspucV_3Tt8ScCWEgMedd8bv","1/010 ")</f>
        <v xml:space="preserve">1/010 </v>
      </c>
      <c r="L656" s="15" t="str">
        <f>HYPERLINK("https://drive.google.com/open?id=1tfDpdrXppxS-EETCXL2FMMGKt5k_TQB2","Сертифікат")</f>
        <v>Сертифікат</v>
      </c>
      <c r="M656" s="11" t="s">
        <v>26</v>
      </c>
      <c r="N656" s="10">
        <v>1501.4</v>
      </c>
      <c r="O656" s="10">
        <v>5405</v>
      </c>
      <c r="P656" s="10">
        <v>2</v>
      </c>
      <c r="Q656" s="10">
        <v>66.92</v>
      </c>
      <c r="R656" s="10" t="s">
        <v>66</v>
      </c>
      <c r="S656" s="10">
        <v>300.10000000000002</v>
      </c>
      <c r="T656" s="10">
        <v>59.03</v>
      </c>
      <c r="U656" s="29">
        <v>43739</v>
      </c>
      <c r="V656" s="29">
        <v>47391</v>
      </c>
      <c r="W656" s="10" t="s">
        <v>10</v>
      </c>
      <c r="X656" s="10" t="s">
        <v>17</v>
      </c>
    </row>
    <row r="657" spans="1:24" ht="57.75" customHeight="1" x14ac:dyDescent="0.25">
      <c r="A657" s="10">
        <f t="shared" si="0"/>
        <v>654</v>
      </c>
      <c r="B657" s="11" t="s">
        <v>1797</v>
      </c>
      <c r="C657" s="52" t="s">
        <v>1704</v>
      </c>
      <c r="D657" s="47" t="s">
        <v>1790</v>
      </c>
      <c r="E657" s="10" t="s">
        <v>3</v>
      </c>
      <c r="F657" s="11" t="s">
        <v>1799</v>
      </c>
      <c r="G657" s="11"/>
      <c r="H657" s="11"/>
      <c r="I657" s="11">
        <v>1960</v>
      </c>
      <c r="J657" s="11" t="s">
        <v>110</v>
      </c>
      <c r="K657" s="15" t="str">
        <f t="shared" si="47"/>
        <v xml:space="preserve">1/010 </v>
      </c>
      <c r="L657" s="15" t="str">
        <f>HYPERLINK("https://drive.google.com/open?id=1rt7cuOm4KAPY3VbnNS_ieUU7xQ_uRdTm","Сертифікат")</f>
        <v>Сертифікат</v>
      </c>
      <c r="M657" s="11" t="s">
        <v>26</v>
      </c>
      <c r="N657" s="10">
        <v>605.20000000000005</v>
      </c>
      <c r="O657" s="10">
        <v>2511.6</v>
      </c>
      <c r="P657" s="10">
        <v>1</v>
      </c>
      <c r="Q657" s="10">
        <v>89.16</v>
      </c>
      <c r="R657" s="10" t="s">
        <v>66</v>
      </c>
      <c r="S657" s="10">
        <v>436.82</v>
      </c>
      <c r="T657" s="10">
        <v>86.54</v>
      </c>
      <c r="U657" s="29">
        <v>43739</v>
      </c>
      <c r="V657" s="29">
        <v>47391</v>
      </c>
      <c r="W657" s="10" t="s">
        <v>10</v>
      </c>
      <c r="X657" s="10" t="s">
        <v>17</v>
      </c>
    </row>
    <row r="658" spans="1:24" ht="57.75" customHeight="1" x14ac:dyDescent="0.25">
      <c r="A658" s="10">
        <f t="shared" si="0"/>
        <v>655</v>
      </c>
      <c r="B658" s="27" t="s">
        <v>1800</v>
      </c>
      <c r="C658" s="52" t="s">
        <v>74</v>
      </c>
      <c r="D658" s="52" t="s">
        <v>75</v>
      </c>
      <c r="E658" s="10" t="s">
        <v>2</v>
      </c>
      <c r="F658" s="27" t="s">
        <v>1801</v>
      </c>
      <c r="G658" s="11"/>
      <c r="H658" s="11"/>
      <c r="I658" s="11">
        <v>2019</v>
      </c>
      <c r="J658" s="27" t="s">
        <v>1617</v>
      </c>
      <c r="K658" s="51" t="str">
        <f>HYPERLINK("https://drive.google.com/open?id=1gVjK7Kms_vZzDIaxyBi5Lt_7GawMSOWj","АА000052")</f>
        <v>АА000052</v>
      </c>
      <c r="L658" s="15" t="str">
        <f>HYPERLINK("https://drive.google.com/open?id=1HQmdLL7xlThatxFMEVxRpaW8XaV0V94q","Сертифікат")</f>
        <v>Сертифікат</v>
      </c>
      <c r="M658" s="11" t="s">
        <v>18</v>
      </c>
      <c r="N658" s="63">
        <v>2733.35</v>
      </c>
      <c r="O658" s="57">
        <v>9566.7250000000004</v>
      </c>
      <c r="P658" s="12">
        <v>5</v>
      </c>
      <c r="Q658" s="57">
        <v>38.5</v>
      </c>
      <c r="R658" s="10" t="s">
        <v>66</v>
      </c>
      <c r="S658" s="63">
        <v>332.2</v>
      </c>
      <c r="T658" s="57">
        <v>59.4</v>
      </c>
      <c r="U658" s="45">
        <v>43740</v>
      </c>
      <c r="V658" s="29">
        <v>47392</v>
      </c>
      <c r="W658" s="10" t="s">
        <v>10</v>
      </c>
      <c r="X658" s="10" t="s">
        <v>17</v>
      </c>
    </row>
    <row r="659" spans="1:24" ht="57.75" customHeight="1" x14ac:dyDescent="0.25">
      <c r="A659" s="10">
        <f t="shared" si="0"/>
        <v>656</v>
      </c>
      <c r="B659" s="11" t="s">
        <v>1802</v>
      </c>
      <c r="C659" s="52" t="s">
        <v>1803</v>
      </c>
      <c r="D659" s="47" t="s">
        <v>298</v>
      </c>
      <c r="E659" s="10" t="s">
        <v>3</v>
      </c>
      <c r="F659" s="11" t="s">
        <v>1804</v>
      </c>
      <c r="G659" s="11"/>
      <c r="H659" s="11"/>
      <c r="I659" s="11">
        <v>1973</v>
      </c>
      <c r="J659" s="11" t="s">
        <v>300</v>
      </c>
      <c r="K659" s="15" t="str">
        <f>HYPERLINK("https://drive.google.com/open?id=1IiXbpn0z8_JaMI-MxkDjqeigPavWn4dC","АР  000021")</f>
        <v>АР  000021</v>
      </c>
      <c r="L659" s="15" t="str">
        <f>HYPERLINK("https://drive.google.com/open?id=1U-oW5IqMswl3RLVRbvgygdU3KiKintV5","Сертифікат")</f>
        <v>Сертифікат</v>
      </c>
      <c r="M659" s="11" t="s">
        <v>26</v>
      </c>
      <c r="N659" s="10">
        <v>5320.9</v>
      </c>
      <c r="O659" s="10">
        <v>17285.2</v>
      </c>
      <c r="P659" s="42">
        <v>43526</v>
      </c>
      <c r="Q659" s="10">
        <v>75.58</v>
      </c>
      <c r="R659" s="10" t="s">
        <v>66</v>
      </c>
      <c r="S659" s="10">
        <v>600.57000000000005</v>
      </c>
      <c r="T659" s="10">
        <v>109.67</v>
      </c>
      <c r="U659" s="45">
        <v>43740</v>
      </c>
      <c r="V659" s="29">
        <v>47392</v>
      </c>
      <c r="W659" s="10" t="s">
        <v>13</v>
      </c>
      <c r="X659" s="10" t="s">
        <v>17</v>
      </c>
    </row>
    <row r="660" spans="1:24" ht="57.75" customHeight="1" x14ac:dyDescent="0.25">
      <c r="A660" s="10">
        <f t="shared" si="0"/>
        <v>657</v>
      </c>
      <c r="B660" s="11" t="s">
        <v>1805</v>
      </c>
      <c r="C660" s="10" t="s">
        <v>357</v>
      </c>
      <c r="D660" s="10" t="s">
        <v>142</v>
      </c>
      <c r="E660" s="10" t="s">
        <v>0</v>
      </c>
      <c r="F660" s="11" t="s">
        <v>1806</v>
      </c>
      <c r="G660" s="11"/>
      <c r="H660" s="11"/>
      <c r="I660" s="11">
        <v>2019</v>
      </c>
      <c r="J660" s="11" t="s">
        <v>93</v>
      </c>
      <c r="K660" s="15" t="str">
        <f>HYPERLINK("https://drive.google.com/open?id=16knL7rF64EXtCB0-Ch1v5DtfiE2GYjkB"," ЕЕ-002-10-18")</f>
        <v xml:space="preserve"> ЕЕ-002-10-18</v>
      </c>
      <c r="L660" s="15" t="str">
        <f>HYPERLINK("https://drive.google.com/open?id=1TRzZADQwBy_JZwlwKRDszqaao6OkjYYC","Сертифікат")</f>
        <v>Сертифікат</v>
      </c>
      <c r="M660" s="11" t="s">
        <v>22</v>
      </c>
      <c r="N660" s="10">
        <v>3203.1</v>
      </c>
      <c r="O660" s="10">
        <v>9551</v>
      </c>
      <c r="P660" s="10">
        <v>11</v>
      </c>
      <c r="Q660" s="10">
        <v>123.2</v>
      </c>
      <c r="R660" s="10" t="s">
        <v>57</v>
      </c>
      <c r="S660" s="10">
        <v>169</v>
      </c>
      <c r="T660" s="10">
        <v>33</v>
      </c>
      <c r="U660" s="29">
        <v>43738</v>
      </c>
      <c r="V660" s="29">
        <v>47390</v>
      </c>
      <c r="W660" s="10" t="s">
        <v>13</v>
      </c>
      <c r="X660" s="10" t="s">
        <v>17</v>
      </c>
    </row>
    <row r="661" spans="1:24" ht="57.75" customHeight="1" x14ac:dyDescent="0.25">
      <c r="A661" s="10">
        <f t="shared" si="0"/>
        <v>658</v>
      </c>
      <c r="B661" s="11" t="s">
        <v>1807</v>
      </c>
      <c r="C661" s="10" t="s">
        <v>1808</v>
      </c>
      <c r="D661" s="10" t="s">
        <v>86</v>
      </c>
      <c r="E661" s="10" t="s">
        <v>0</v>
      </c>
      <c r="F661" s="11" t="s">
        <v>1809</v>
      </c>
      <c r="G661" s="11"/>
      <c r="H661" s="11"/>
      <c r="I661" s="11" t="s">
        <v>1810</v>
      </c>
      <c r="J661" s="11" t="s">
        <v>1686</v>
      </c>
      <c r="K661" s="15" t="str">
        <f>HYPERLINK("https://drive.google.com/open?id=1kcSobogn-MfTmwbIlnCLOKwOxGp89q3N","ЕЕ 00031")</f>
        <v>ЕЕ 00031</v>
      </c>
      <c r="L661" s="15" t="str">
        <f>HYPERLINK("https://drive.google.com/open?id=1BbP283u1eyy5ditgdN5rykU5U9CnmR7y","Сертифікат")</f>
        <v>Сертифікат</v>
      </c>
      <c r="M661" s="11" t="s">
        <v>20</v>
      </c>
      <c r="N661" s="10">
        <v>1894.84</v>
      </c>
      <c r="O661" s="10">
        <v>6031.04</v>
      </c>
      <c r="P661" s="10">
        <v>4</v>
      </c>
      <c r="Q661" s="10">
        <v>150.69999999999999</v>
      </c>
      <c r="R661" s="10" t="s">
        <v>57</v>
      </c>
      <c r="S661" s="10">
        <v>317</v>
      </c>
      <c r="T661" s="10">
        <v>60.5</v>
      </c>
      <c r="U661" s="29">
        <v>43733</v>
      </c>
      <c r="V661" s="29">
        <v>47385</v>
      </c>
      <c r="W661" s="10" t="s">
        <v>13</v>
      </c>
      <c r="X661" s="10" t="s">
        <v>17</v>
      </c>
    </row>
    <row r="662" spans="1:24" ht="57.75" customHeight="1" x14ac:dyDescent="0.25">
      <c r="A662" s="10">
        <f t="shared" si="0"/>
        <v>659</v>
      </c>
      <c r="B662" s="11" t="s">
        <v>1811</v>
      </c>
      <c r="C662" s="10" t="s">
        <v>85</v>
      </c>
      <c r="D662" s="10" t="s">
        <v>86</v>
      </c>
      <c r="E662" s="10" t="s">
        <v>5</v>
      </c>
      <c r="F662" s="11" t="s">
        <v>1812</v>
      </c>
      <c r="G662" s="11"/>
      <c r="H662" s="11"/>
      <c r="I662" s="11">
        <v>1973</v>
      </c>
      <c r="J662" s="11" t="s">
        <v>88</v>
      </c>
      <c r="K662" s="15" t="str">
        <f>HYPERLINK("https://drive.google.com/open?id=1XopdzYwEcMagOaa2WB28BzUzzCLgbDlr","АР 000037")</f>
        <v>АР 000037</v>
      </c>
      <c r="L662" s="15" t="str">
        <f>HYPERLINK("https://drive.google.com/open?id=1rBl7AVtCezFRceHpTvZVBNT93qIREHrC","Сертифікат")</f>
        <v>Сертифікат</v>
      </c>
      <c r="M662" s="11" t="s">
        <v>18</v>
      </c>
      <c r="N662" s="10">
        <v>3060.2</v>
      </c>
      <c r="O662" s="10">
        <v>9903.2999999999993</v>
      </c>
      <c r="P662" s="10">
        <v>3</v>
      </c>
      <c r="Q662" s="10">
        <v>55.8</v>
      </c>
      <c r="R662" s="10" t="s">
        <v>66</v>
      </c>
      <c r="S662" s="10">
        <v>292.39999999999998</v>
      </c>
      <c r="T662" s="10">
        <v>88.3</v>
      </c>
      <c r="U662" s="29">
        <v>43741</v>
      </c>
      <c r="V662" s="29">
        <v>47393</v>
      </c>
      <c r="W662" s="10" t="s">
        <v>10</v>
      </c>
      <c r="X662" s="10" t="s">
        <v>17</v>
      </c>
    </row>
    <row r="663" spans="1:24" ht="57.75" customHeight="1" x14ac:dyDescent="0.25">
      <c r="A663" s="10">
        <f t="shared" si="0"/>
        <v>660</v>
      </c>
      <c r="B663" s="11" t="s">
        <v>964</v>
      </c>
      <c r="C663" s="10" t="s">
        <v>284</v>
      </c>
      <c r="D663" s="10" t="s">
        <v>285</v>
      </c>
      <c r="E663" s="10" t="s">
        <v>0</v>
      </c>
      <c r="F663" s="11" t="s">
        <v>1813</v>
      </c>
      <c r="G663" s="11"/>
      <c r="H663" s="11"/>
      <c r="I663" s="11">
        <v>1978</v>
      </c>
      <c r="J663" s="11" t="s">
        <v>287</v>
      </c>
      <c r="K663" s="15" t="s">
        <v>288</v>
      </c>
      <c r="L663" s="15" t="str">
        <f>HYPERLINK("https://drive.google.com/open?id=1TBnLsUtFPQJxBNC8ZKc5iiWXV7iFoytt","Сертифікат")</f>
        <v>Сертифікат</v>
      </c>
      <c r="M663" s="11" t="s">
        <v>26</v>
      </c>
      <c r="N663" s="10">
        <v>2956.2</v>
      </c>
      <c r="O663" s="10">
        <v>8159.1</v>
      </c>
      <c r="P663" s="10">
        <v>5</v>
      </c>
      <c r="Q663" s="10">
        <v>223</v>
      </c>
      <c r="R663" s="10" t="s">
        <v>57</v>
      </c>
      <c r="S663" s="10">
        <v>357.8</v>
      </c>
      <c r="T663" s="10">
        <v>69.3</v>
      </c>
      <c r="U663" s="29">
        <v>43738</v>
      </c>
      <c r="V663" s="29">
        <v>47390</v>
      </c>
      <c r="W663" s="10" t="s">
        <v>10</v>
      </c>
      <c r="X663" s="10" t="s">
        <v>17</v>
      </c>
    </row>
    <row r="664" spans="1:24" ht="57.75" customHeight="1" x14ac:dyDescent="0.25">
      <c r="A664" s="10">
        <f t="shared" si="0"/>
        <v>661</v>
      </c>
      <c r="B664" s="11" t="s">
        <v>1814</v>
      </c>
      <c r="C664" s="10" t="s">
        <v>983</v>
      </c>
      <c r="D664" s="10" t="s">
        <v>75</v>
      </c>
      <c r="E664" s="10" t="s">
        <v>3</v>
      </c>
      <c r="F664" s="11" t="s">
        <v>1815</v>
      </c>
      <c r="G664" s="11"/>
      <c r="H664" s="11"/>
      <c r="I664" s="11">
        <v>1988</v>
      </c>
      <c r="J664" s="11" t="s">
        <v>642</v>
      </c>
      <c r="K664" s="15" t="s">
        <v>643</v>
      </c>
      <c r="L664" s="15" t="str">
        <f>HYPERLINK("https://drive.google.com/open?id=1M1hdbn1u6J7rwJB-KXiKEVCWtOfCOdNV","Сертифікат")</f>
        <v>Сертифікат</v>
      </c>
      <c r="M664" s="11" t="s">
        <v>26</v>
      </c>
      <c r="N664" s="10">
        <v>7388.8</v>
      </c>
      <c r="O664" s="10">
        <v>24775.8</v>
      </c>
      <c r="P664" s="10">
        <v>3</v>
      </c>
      <c r="Q664" s="10">
        <v>80.2</v>
      </c>
      <c r="R664" s="10" t="s">
        <v>66</v>
      </c>
      <c r="S664" s="10">
        <v>398</v>
      </c>
      <c r="T664" s="10">
        <v>78</v>
      </c>
      <c r="U664" s="29">
        <v>43740</v>
      </c>
      <c r="V664" s="29">
        <v>47392</v>
      </c>
      <c r="W664" s="10" t="s">
        <v>10</v>
      </c>
      <c r="X664" s="10" t="s">
        <v>17</v>
      </c>
    </row>
    <row r="665" spans="1:24" ht="57.75" customHeight="1" x14ac:dyDescent="0.25">
      <c r="A665" s="10">
        <f t="shared" si="0"/>
        <v>662</v>
      </c>
      <c r="B665" s="11" t="s">
        <v>1816</v>
      </c>
      <c r="C665" s="10" t="s">
        <v>1589</v>
      </c>
      <c r="D665" s="10" t="s">
        <v>485</v>
      </c>
      <c r="E665" s="10" t="s">
        <v>0</v>
      </c>
      <c r="F665" s="11" t="s">
        <v>1817</v>
      </c>
      <c r="G665" s="11"/>
      <c r="H665" s="11"/>
      <c r="I665" s="11">
        <v>2019</v>
      </c>
      <c r="J665" s="11" t="s">
        <v>1591</v>
      </c>
      <c r="K665" s="56" t="str">
        <f t="shared" ref="K665:K667" si="48">HYPERLINK("https://drive.google.com/open?id=1Eu3b-SQR6QMzDrWPm53uhmGYQaQSos-l","KPI-CE № 000011")</f>
        <v>KPI-CE № 000011</v>
      </c>
      <c r="L665" s="15" t="str">
        <f>HYPERLINK("https://drive.google.com/open?id=153C52ItOhuDMZlOgx1fhdxna9zuBlsYM","Сертифікат")</f>
        <v>Сертифікат</v>
      </c>
      <c r="M665" s="11" t="s">
        <v>18</v>
      </c>
      <c r="N665" s="10">
        <v>9964</v>
      </c>
      <c r="O665" s="10">
        <v>27899</v>
      </c>
      <c r="P665" s="10">
        <v>10</v>
      </c>
      <c r="Q665" s="10">
        <v>85.7</v>
      </c>
      <c r="R665" s="10" t="s">
        <v>57</v>
      </c>
      <c r="S665" s="10">
        <v>173.56</v>
      </c>
      <c r="T665" s="10">
        <v>62.3</v>
      </c>
      <c r="U665" s="29">
        <v>43710</v>
      </c>
      <c r="V665" s="29">
        <v>47362</v>
      </c>
      <c r="W665" s="10" t="s">
        <v>10</v>
      </c>
      <c r="X665" s="10" t="s">
        <v>17</v>
      </c>
    </row>
    <row r="666" spans="1:24" ht="57.75" customHeight="1" x14ac:dyDescent="0.25">
      <c r="A666" s="10">
        <f t="shared" si="0"/>
        <v>663</v>
      </c>
      <c r="B666" s="11" t="s">
        <v>1818</v>
      </c>
      <c r="C666" s="11" t="s">
        <v>243</v>
      </c>
      <c r="D666" s="10" t="s">
        <v>238</v>
      </c>
      <c r="E666" s="10" t="s">
        <v>0</v>
      </c>
      <c r="F666" s="11" t="s">
        <v>1645</v>
      </c>
      <c r="G666" s="11"/>
      <c r="H666" s="11"/>
      <c r="I666" s="11">
        <v>1987</v>
      </c>
      <c r="J666" s="11" t="s">
        <v>1591</v>
      </c>
      <c r="K666" s="15" t="str">
        <f t="shared" si="48"/>
        <v>KPI-CE № 000011</v>
      </c>
      <c r="L666" s="15" t="str">
        <f>HYPERLINK("https://drive.google.com/open?id=1u-petyKXOj775MUtb3A18Ck0YTGicOMG","Сертифікат")</f>
        <v>Сертифікат</v>
      </c>
      <c r="M666" s="11" t="s">
        <v>22</v>
      </c>
      <c r="N666" s="10">
        <v>8811</v>
      </c>
      <c r="O666" s="10">
        <v>26432</v>
      </c>
      <c r="P666" s="10">
        <v>6</v>
      </c>
      <c r="Q666" s="10">
        <v>126.07</v>
      </c>
      <c r="R666" s="10" t="s">
        <v>57</v>
      </c>
      <c r="S666" s="10">
        <v>228.84</v>
      </c>
      <c r="T666" s="10">
        <v>74.91</v>
      </c>
      <c r="U666" s="29">
        <v>43738</v>
      </c>
      <c r="V666" s="29">
        <v>47391</v>
      </c>
      <c r="W666" s="10" t="s">
        <v>10</v>
      </c>
      <c r="X666" s="10" t="s">
        <v>17</v>
      </c>
    </row>
    <row r="667" spans="1:24" ht="57.75" customHeight="1" x14ac:dyDescent="0.25">
      <c r="A667" s="10">
        <f t="shared" si="0"/>
        <v>664</v>
      </c>
      <c r="B667" s="11" t="s">
        <v>1819</v>
      </c>
      <c r="C667" s="10" t="s">
        <v>1820</v>
      </c>
      <c r="D667" s="10" t="s">
        <v>285</v>
      </c>
      <c r="E667" s="10" t="s">
        <v>2</v>
      </c>
      <c r="F667" s="11" t="s">
        <v>1821</v>
      </c>
      <c r="G667" s="11"/>
      <c r="H667" s="11"/>
      <c r="I667" s="11">
        <v>2019</v>
      </c>
      <c r="J667" s="11" t="s">
        <v>1591</v>
      </c>
      <c r="K667" s="15" t="str">
        <f t="shared" si="48"/>
        <v>KPI-CE № 000011</v>
      </c>
      <c r="L667" s="15" t="str">
        <f>HYPERLINK("https://drive.google.com/open?id=1EEnDijmFrEaMOFA5Fw4CL8Lt4mEG2g87","Сертифікат")</f>
        <v>Сертифікат</v>
      </c>
      <c r="M667" s="11" t="s">
        <v>15</v>
      </c>
      <c r="N667" s="10">
        <v>233</v>
      </c>
      <c r="O667" s="10">
        <v>698</v>
      </c>
      <c r="P667" s="10">
        <v>1</v>
      </c>
      <c r="Q667" s="10">
        <v>30.48</v>
      </c>
      <c r="R667" s="10" t="s">
        <v>66</v>
      </c>
      <c r="S667" s="10">
        <v>76.48</v>
      </c>
      <c r="T667" s="10">
        <v>32.1</v>
      </c>
      <c r="U667" s="29">
        <v>43734</v>
      </c>
      <c r="V667" s="29">
        <v>47386</v>
      </c>
      <c r="W667" s="10" t="s">
        <v>13</v>
      </c>
      <c r="X667" s="10" t="s">
        <v>17</v>
      </c>
    </row>
    <row r="668" spans="1:24" ht="34.5" customHeight="1" x14ac:dyDescent="0.25">
      <c r="A668" s="10">
        <f t="shared" si="0"/>
        <v>665</v>
      </c>
      <c r="B668" s="11" t="s">
        <v>1822</v>
      </c>
      <c r="C668" s="10" t="s">
        <v>814</v>
      </c>
      <c r="D668" s="10" t="s">
        <v>815</v>
      </c>
      <c r="E668" s="10" t="s">
        <v>2</v>
      </c>
      <c r="F668" s="11" t="s">
        <v>1823</v>
      </c>
      <c r="G668" s="11"/>
      <c r="H668" s="11"/>
      <c r="I668" s="11">
        <v>2019</v>
      </c>
      <c r="J668" s="11" t="s">
        <v>817</v>
      </c>
      <c r="K668" s="15" t="str">
        <f>HYPERLINK("https://drive.google.com/open?id=195Nt2QyFm2vF_nQatQf2cvvhnudkfcTY","ЕЕ 00020")</f>
        <v>ЕЕ 00020</v>
      </c>
      <c r="L668" s="15" t="str">
        <f>HYPERLINK("https://drive.google.com/open?id=1ivLwF14qH6AiSoXyEsPgM1vypY-QKgIx","Сертифікат")</f>
        <v>Сертифікат</v>
      </c>
      <c r="M668" s="11" t="s">
        <v>12</v>
      </c>
      <c r="N668" s="10">
        <v>2273.4299999999998</v>
      </c>
      <c r="O668" s="10">
        <v>6889.6</v>
      </c>
      <c r="P668" s="10">
        <v>2</v>
      </c>
      <c r="Q668" s="10">
        <v>27.69</v>
      </c>
      <c r="R668" s="10" t="s">
        <v>66</v>
      </c>
      <c r="S668" s="10">
        <v>268.02</v>
      </c>
      <c r="T668" s="10">
        <v>50.47</v>
      </c>
      <c r="U668" s="29">
        <v>43742</v>
      </c>
      <c r="V668" s="29">
        <v>47394</v>
      </c>
      <c r="W668" s="10" t="s">
        <v>13</v>
      </c>
      <c r="X668" s="10" t="s">
        <v>17</v>
      </c>
    </row>
    <row r="669" spans="1:24" ht="34.5" customHeight="1" x14ac:dyDescent="0.25">
      <c r="A669" s="10">
        <f t="shared" si="0"/>
        <v>666</v>
      </c>
      <c r="B669" s="11" t="s">
        <v>1824</v>
      </c>
      <c r="C669" s="10" t="s">
        <v>1825</v>
      </c>
      <c r="D669" s="10" t="s">
        <v>103</v>
      </c>
      <c r="E669" s="10" t="s">
        <v>4</v>
      </c>
      <c r="F669" s="11" t="s">
        <v>1826</v>
      </c>
      <c r="G669" s="11"/>
      <c r="H669" s="11"/>
      <c r="I669" s="11">
        <v>1977</v>
      </c>
      <c r="J669" s="11" t="s">
        <v>209</v>
      </c>
      <c r="K669" s="15" t="s">
        <v>210</v>
      </c>
      <c r="L669" s="15" t="str">
        <f>HYPERLINK("https://drive.google.com/open?id=1HboI1Wq50GUAkjyTUnr78vKLQkJ5xbmA","Сертифікат")</f>
        <v>Сертифікат</v>
      </c>
      <c r="M669" s="11" t="s">
        <v>24</v>
      </c>
      <c r="N669" s="10">
        <v>1964</v>
      </c>
      <c r="O669" s="10">
        <v>8421</v>
      </c>
      <c r="P669" s="10">
        <v>2</v>
      </c>
      <c r="Q669" s="10">
        <v>86</v>
      </c>
      <c r="R669" s="10" t="s">
        <v>66</v>
      </c>
      <c r="S669" s="10">
        <v>594</v>
      </c>
      <c r="T669" s="10">
        <v>116</v>
      </c>
      <c r="U669" s="29">
        <v>43739</v>
      </c>
      <c r="V669" s="29">
        <v>47391</v>
      </c>
      <c r="W669" s="10" t="s">
        <v>10</v>
      </c>
      <c r="X669" s="10" t="s">
        <v>17</v>
      </c>
    </row>
    <row r="670" spans="1:24" ht="34.5" customHeight="1" x14ac:dyDescent="0.25">
      <c r="A670" s="10">
        <f t="shared" si="0"/>
        <v>667</v>
      </c>
      <c r="B670" s="11" t="s">
        <v>1827</v>
      </c>
      <c r="C670" s="10" t="s">
        <v>1825</v>
      </c>
      <c r="D670" s="10" t="s">
        <v>103</v>
      </c>
      <c r="E670" s="10" t="s">
        <v>4</v>
      </c>
      <c r="F670" s="11" t="s">
        <v>1828</v>
      </c>
      <c r="G670" s="11"/>
      <c r="H670" s="11"/>
      <c r="I670" s="11">
        <v>1973</v>
      </c>
      <c r="J670" s="11" t="s">
        <v>209</v>
      </c>
      <c r="K670" s="15" t="s">
        <v>210</v>
      </c>
      <c r="L670" s="15" t="str">
        <f>HYPERLINK("https://drive.google.com/open?id=110wmFZdaM7cjNvjTU0vFkRo8fSZrjbVL","Сертифікат")</f>
        <v>Сертифікат</v>
      </c>
      <c r="M670" s="11" t="s">
        <v>24</v>
      </c>
      <c r="N670" s="10">
        <v>1153</v>
      </c>
      <c r="O670" s="10">
        <v>3806</v>
      </c>
      <c r="P670" s="10">
        <v>2</v>
      </c>
      <c r="Q670" s="10">
        <v>93</v>
      </c>
      <c r="R670" s="10" t="s">
        <v>66</v>
      </c>
      <c r="S670" s="10">
        <v>453</v>
      </c>
      <c r="T670" s="10">
        <v>89</v>
      </c>
      <c r="U670" s="29">
        <v>43739</v>
      </c>
      <c r="V670" s="29">
        <v>47391</v>
      </c>
      <c r="W670" s="10" t="s">
        <v>10</v>
      </c>
      <c r="X670" s="10" t="s">
        <v>17</v>
      </c>
    </row>
    <row r="671" spans="1:24" ht="34.5" customHeight="1" x14ac:dyDescent="0.25">
      <c r="A671" s="10">
        <f t="shared" si="0"/>
        <v>668</v>
      </c>
      <c r="B671" s="11" t="s">
        <v>1829</v>
      </c>
      <c r="C671" s="10" t="s">
        <v>74</v>
      </c>
      <c r="D671" s="10" t="s">
        <v>75</v>
      </c>
      <c r="E671" s="10" t="s">
        <v>0</v>
      </c>
      <c r="F671" s="11" t="s">
        <v>1830</v>
      </c>
      <c r="G671" s="11"/>
      <c r="H671" s="11"/>
      <c r="I671" s="11" t="s">
        <v>836</v>
      </c>
      <c r="J671" s="11" t="s">
        <v>1669</v>
      </c>
      <c r="K671" s="15" t="str">
        <f>HYPERLINK("https://drive.google.com/open?id=14_qskx_ZYDoTXDVxRKWfdxfsW0V3qVQP","СБ-0067")</f>
        <v>СБ-0067</v>
      </c>
      <c r="L671" s="15" t="str">
        <f>HYPERLINK("https://drive.google.com/open?id=1EEGs2G9n8VBxxjyFTUHiXCV39cjDEzwN","Сертифікат")</f>
        <v>Сертифікат</v>
      </c>
      <c r="M671" s="11" t="s">
        <v>18</v>
      </c>
      <c r="N671" s="10">
        <v>7203.6</v>
      </c>
      <c r="O671" s="10">
        <v>17838.5</v>
      </c>
      <c r="P671" s="10">
        <v>10</v>
      </c>
      <c r="Q671" s="10">
        <v>83.2</v>
      </c>
      <c r="R671" s="10" t="s">
        <v>57</v>
      </c>
      <c r="S671" s="10">
        <v>162.30000000000001</v>
      </c>
      <c r="T671" s="10">
        <v>31.2</v>
      </c>
      <c r="U671" s="29">
        <v>43741</v>
      </c>
      <c r="V671" s="29">
        <v>47393</v>
      </c>
      <c r="W671" s="10" t="s">
        <v>10</v>
      </c>
      <c r="X671" s="10" t="s">
        <v>17</v>
      </c>
    </row>
    <row r="672" spans="1:24" ht="54" customHeight="1" x14ac:dyDescent="0.25">
      <c r="A672" s="10">
        <f t="shared" si="0"/>
        <v>669</v>
      </c>
      <c r="B672" s="11" t="s">
        <v>1831</v>
      </c>
      <c r="C672" s="10" t="s">
        <v>243</v>
      </c>
      <c r="D672" s="10" t="s">
        <v>238</v>
      </c>
      <c r="E672" s="10" t="s">
        <v>2</v>
      </c>
      <c r="F672" s="11" t="s">
        <v>1832</v>
      </c>
      <c r="G672" s="11"/>
      <c r="H672" s="11"/>
      <c r="I672" s="11" t="s">
        <v>1833</v>
      </c>
      <c r="J672" s="11" t="s">
        <v>843</v>
      </c>
      <c r="K672" s="15" t="str">
        <f>HYPERLINK("https://drive.google.com/open?id=17KtRSyjmLaDiewjK-BWiyP5RCeXuyEaI","ХР 000013")</f>
        <v>ХР 000013</v>
      </c>
      <c r="L672" s="15" t="str">
        <f>HYPERLINK("https://drive.google.com/open?id=1lLCNVHK4dewFuTw7EUrAIaK1xqcvmmzF","Сертифікат")</f>
        <v>Сертифікат</v>
      </c>
      <c r="M672" s="11" t="s">
        <v>15</v>
      </c>
      <c r="N672" s="10">
        <v>4529.3999999999996</v>
      </c>
      <c r="O672" s="10">
        <v>11610</v>
      </c>
      <c r="P672" s="10">
        <v>5</v>
      </c>
      <c r="Q672" s="10">
        <v>35.299999999999997</v>
      </c>
      <c r="R672" s="10" t="s">
        <v>66</v>
      </c>
      <c r="S672" s="10">
        <v>186.2</v>
      </c>
      <c r="T672" s="10">
        <v>35.4</v>
      </c>
      <c r="U672" s="29">
        <v>43741</v>
      </c>
      <c r="V672" s="29">
        <v>47393</v>
      </c>
      <c r="W672" s="10" t="s">
        <v>10</v>
      </c>
      <c r="X672" s="10" t="s">
        <v>17</v>
      </c>
    </row>
    <row r="673" spans="1:24" ht="54" customHeight="1" x14ac:dyDescent="0.25">
      <c r="A673" s="10">
        <f t="shared" si="0"/>
        <v>670</v>
      </c>
      <c r="B673" s="11" t="s">
        <v>1834</v>
      </c>
      <c r="C673" s="10" t="s">
        <v>102</v>
      </c>
      <c r="D673" s="10" t="s">
        <v>103</v>
      </c>
      <c r="E673" s="10" t="s">
        <v>5</v>
      </c>
      <c r="F673" s="11" t="s">
        <v>1835</v>
      </c>
      <c r="G673" s="11"/>
      <c r="H673" s="11"/>
      <c r="I673" s="11">
        <v>1981</v>
      </c>
      <c r="J673" s="11" t="s">
        <v>1836</v>
      </c>
      <c r="K673" s="15" t="str">
        <f>HYPERLINK("https://drive.google.com/open?id=1mUOrLqqfsUQrixfj_Yvl_asWsSeKXb6N","АР 000040")</f>
        <v>АР 000040</v>
      </c>
      <c r="L673" s="15" t="str">
        <f>HYPERLINK("https://drive.google.com/open?id=1RpsJnv65gl2l-PraMTf4WfSrd899rbLH","Сертифікат")</f>
        <v>Сертифікат</v>
      </c>
      <c r="M673" s="11" t="s">
        <v>26</v>
      </c>
      <c r="N673" s="10">
        <v>3651.1</v>
      </c>
      <c r="O673" s="10">
        <v>11355.8</v>
      </c>
      <c r="P673" s="10">
        <v>3</v>
      </c>
      <c r="Q673" s="10">
        <v>142.9</v>
      </c>
      <c r="R673" s="10" t="s">
        <v>66</v>
      </c>
      <c r="S673" s="10">
        <v>535</v>
      </c>
      <c r="T673" s="10">
        <v>106</v>
      </c>
      <c r="U673" s="29">
        <v>43731</v>
      </c>
      <c r="V673" s="29">
        <v>47383</v>
      </c>
      <c r="W673" s="10" t="s">
        <v>13</v>
      </c>
      <c r="X673" s="10" t="s">
        <v>17</v>
      </c>
    </row>
    <row r="674" spans="1:24" ht="54" customHeight="1" x14ac:dyDescent="0.25">
      <c r="A674" s="10">
        <f t="shared" si="0"/>
        <v>671</v>
      </c>
      <c r="B674" s="11" t="s">
        <v>1837</v>
      </c>
      <c r="C674" s="10" t="s">
        <v>1838</v>
      </c>
      <c r="D674" s="10" t="s">
        <v>442</v>
      </c>
      <c r="E674" s="10" t="s">
        <v>3</v>
      </c>
      <c r="F674" s="11" t="s">
        <v>1839</v>
      </c>
      <c r="G674" s="11"/>
      <c r="H674" s="11"/>
      <c r="I674" s="11">
        <v>1970</v>
      </c>
      <c r="J674" s="11" t="s">
        <v>1740</v>
      </c>
      <c r="K674" s="15" t="str">
        <f>HYPERLINK("https://drive.google.com/open?id=1olNXwN6O7EqQ47IkA2pAkSyR84Ia7OFR","ОД 000012 ")</f>
        <v xml:space="preserve">ОД 000012 </v>
      </c>
      <c r="L674" s="15" t="str">
        <f>HYPERLINK("https://drive.google.com/open?id=1B2iycR4szWFAOI6fHwBNwu5fLWTAx6SM","Сертифікат")</f>
        <v>Сертифікат</v>
      </c>
      <c r="M674" s="11" t="s">
        <v>26</v>
      </c>
      <c r="N674" s="10">
        <v>2516.1</v>
      </c>
      <c r="O674" s="10">
        <v>9057</v>
      </c>
      <c r="P674" s="10">
        <v>3</v>
      </c>
      <c r="Q674" s="10">
        <v>99.9</v>
      </c>
      <c r="R674" s="10" t="s">
        <v>66</v>
      </c>
      <c r="S674" s="10">
        <v>187</v>
      </c>
      <c r="T674" s="10">
        <v>34.299999999999997</v>
      </c>
      <c r="U674" s="29">
        <v>43745</v>
      </c>
      <c r="V674" s="29">
        <v>47397</v>
      </c>
      <c r="W674" s="10" t="s">
        <v>10</v>
      </c>
      <c r="X674" s="10" t="s">
        <v>17</v>
      </c>
    </row>
    <row r="675" spans="1:24" ht="54" customHeight="1" x14ac:dyDescent="0.25">
      <c r="A675" s="10">
        <f t="shared" si="0"/>
        <v>672</v>
      </c>
      <c r="B675" s="11" t="s">
        <v>1840</v>
      </c>
      <c r="C675" s="10" t="s">
        <v>1841</v>
      </c>
      <c r="D675" s="10" t="s">
        <v>571</v>
      </c>
      <c r="E675" s="10" t="s">
        <v>2</v>
      </c>
      <c r="F675" s="11" t="s">
        <v>1671</v>
      </c>
      <c r="G675" s="11"/>
      <c r="H675" s="11"/>
      <c r="I675" s="11">
        <v>1966</v>
      </c>
      <c r="J675" s="11" t="s">
        <v>573</v>
      </c>
      <c r="K675" s="15" t="str">
        <f>HYPERLINK("https://drive.google.com/open?id=1V0nCk04KMRc8f1xThyXz4NospyzM9Vcw","СБ-0036")</f>
        <v>СБ-0036</v>
      </c>
      <c r="L675" s="15" t="str">
        <f>HYPERLINK("https://drive.google.com/open?id=1-oTNamq4P3o69ubE8R8_HTEr5ah1lefT","Сертифікат")</f>
        <v>Сертифікат</v>
      </c>
      <c r="M675" s="11" t="s">
        <v>20</v>
      </c>
      <c r="N675" s="10">
        <v>665</v>
      </c>
      <c r="O675" s="10">
        <v>3204</v>
      </c>
      <c r="P675" s="10">
        <v>2</v>
      </c>
      <c r="Q675" s="10">
        <v>61.94</v>
      </c>
      <c r="R675" s="10" t="s">
        <v>66</v>
      </c>
      <c r="S675" s="10">
        <v>437.48</v>
      </c>
      <c r="T675" s="10">
        <v>24.36</v>
      </c>
      <c r="U675" s="29">
        <v>43738</v>
      </c>
      <c r="V675" s="29">
        <v>47390</v>
      </c>
      <c r="W675" s="10" t="s">
        <v>10</v>
      </c>
      <c r="X675" s="10" t="s">
        <v>17</v>
      </c>
    </row>
    <row r="676" spans="1:24" ht="54" customHeight="1" x14ac:dyDescent="0.25">
      <c r="A676" s="10">
        <f t="shared" si="0"/>
        <v>673</v>
      </c>
      <c r="B676" s="11" t="s">
        <v>1842</v>
      </c>
      <c r="C676" s="10" t="s">
        <v>814</v>
      </c>
      <c r="D676" s="10" t="s">
        <v>815</v>
      </c>
      <c r="E676" s="10" t="s">
        <v>4</v>
      </c>
      <c r="F676" s="11" t="s">
        <v>1843</v>
      </c>
      <c r="G676" s="11"/>
      <c r="H676" s="11"/>
      <c r="I676" s="11">
        <v>1991</v>
      </c>
      <c r="J676" s="11" t="s">
        <v>1094</v>
      </c>
      <c r="K676" s="15" t="str">
        <f>HYPERLINK("https://drive.google.com/open?id=1Qlik4TIJLPoTQ6woAYUYpDbbA-PfyWE1","АА000059 ")</f>
        <v xml:space="preserve">АА000059 </v>
      </c>
      <c r="L676" s="15" t="str">
        <f>HYPERLINK("https://drive.google.com/open?id=1CkPWmAfZB-ZD7OW2wLKw1_UE_hgCv6uU","Сертифікат")</f>
        <v>Сертифікат</v>
      </c>
      <c r="M676" s="11" t="s">
        <v>26</v>
      </c>
      <c r="N676" s="10">
        <v>2989</v>
      </c>
      <c r="O676" s="10">
        <v>10020</v>
      </c>
      <c r="P676" s="10">
        <v>2</v>
      </c>
      <c r="Q676" s="10">
        <v>125.6</v>
      </c>
      <c r="R676" s="10" t="s">
        <v>66</v>
      </c>
      <c r="S676" s="10">
        <v>602</v>
      </c>
      <c r="T676" s="10">
        <v>119</v>
      </c>
      <c r="U676" s="29">
        <v>43744</v>
      </c>
      <c r="V676" s="29">
        <v>47396</v>
      </c>
      <c r="W676" s="10" t="s">
        <v>10</v>
      </c>
      <c r="X676" s="10" t="s">
        <v>17</v>
      </c>
    </row>
    <row r="677" spans="1:24" ht="54" customHeight="1" x14ac:dyDescent="0.25">
      <c r="A677" s="10">
        <f t="shared" si="0"/>
        <v>674</v>
      </c>
      <c r="B677" s="11" t="s">
        <v>1844</v>
      </c>
      <c r="C677" s="10" t="s">
        <v>1845</v>
      </c>
      <c r="D677" s="10" t="s">
        <v>442</v>
      </c>
      <c r="E677" s="10" t="s">
        <v>3</v>
      </c>
      <c r="F677" s="11" t="s">
        <v>1846</v>
      </c>
      <c r="G677" s="11"/>
      <c r="H677" s="11"/>
      <c r="I677" s="11">
        <v>1997</v>
      </c>
      <c r="J677" s="11" t="s">
        <v>1740</v>
      </c>
      <c r="K677" s="15" t="str">
        <f>HYPERLINK("https://drive.google.com/open?id=1olNXwN6O7EqQ47IkA2pAkSyR84Ia7OFR","ОД 000012 ")</f>
        <v xml:space="preserve">ОД 000012 </v>
      </c>
      <c r="L677" s="15" t="str">
        <f>HYPERLINK("https://drive.google.com/open?id=1lAS-t1iTjb6pIky_TlQtx0Tlij_cza-l","Сертифікат")</f>
        <v>Сертифікат</v>
      </c>
      <c r="M677" s="11" t="s">
        <v>26</v>
      </c>
      <c r="N677" s="10">
        <v>2981</v>
      </c>
      <c r="O677" s="10">
        <v>10135</v>
      </c>
      <c r="P677" s="10">
        <v>3</v>
      </c>
      <c r="Q677" s="10">
        <v>87.58</v>
      </c>
      <c r="R677" s="10" t="s">
        <v>66</v>
      </c>
      <c r="S677" s="10">
        <v>167.6</v>
      </c>
      <c r="T677" s="10">
        <v>31.1</v>
      </c>
      <c r="U677" s="45">
        <v>43745</v>
      </c>
      <c r="V677" s="29">
        <v>47397</v>
      </c>
      <c r="W677" s="10" t="s">
        <v>13</v>
      </c>
      <c r="X677" s="10" t="s">
        <v>17</v>
      </c>
    </row>
    <row r="678" spans="1:24" ht="54" customHeight="1" x14ac:dyDescent="0.25">
      <c r="A678" s="10">
        <f t="shared" si="0"/>
        <v>675</v>
      </c>
      <c r="B678" s="11" t="s">
        <v>1847</v>
      </c>
      <c r="C678" s="52" t="s">
        <v>394</v>
      </c>
      <c r="D678" s="47" t="s">
        <v>79</v>
      </c>
      <c r="E678" s="10" t="s">
        <v>0</v>
      </c>
      <c r="F678" s="11" t="s">
        <v>1848</v>
      </c>
      <c r="G678" s="11"/>
      <c r="H678" s="11"/>
      <c r="I678" s="11">
        <v>1977</v>
      </c>
      <c r="J678" s="26" t="s">
        <v>893</v>
      </c>
      <c r="K678" s="15" t="str">
        <f>HYPERLINK("https://drive.google.com/open?id=1iQK_RCnO4vXVFe2rftGsCCdJpEB6ejOn","ЕЕ-010-12-18")</f>
        <v>ЕЕ-010-12-18</v>
      </c>
      <c r="L678" s="15" t="str">
        <f>HYPERLINK("https://drive.google.com/open?id=15Df5qgIyWHHMulomLPXI8In9ZKpBnGAE","Сертифікат")</f>
        <v>Сертифікат</v>
      </c>
      <c r="M678" s="11" t="s">
        <v>26</v>
      </c>
      <c r="N678" s="10">
        <v>1326</v>
      </c>
      <c r="O678" s="10">
        <v>3647</v>
      </c>
      <c r="P678" s="10">
        <v>3</v>
      </c>
      <c r="Q678" s="10">
        <v>292</v>
      </c>
      <c r="R678" s="10" t="s">
        <v>57</v>
      </c>
      <c r="S678" s="10">
        <v>388</v>
      </c>
      <c r="T678" s="10">
        <v>77</v>
      </c>
      <c r="U678" s="29">
        <v>43738</v>
      </c>
      <c r="V678" s="29">
        <v>47390</v>
      </c>
      <c r="W678" s="10" t="s">
        <v>13</v>
      </c>
      <c r="X678" s="10" t="s">
        <v>17</v>
      </c>
    </row>
    <row r="679" spans="1:24" ht="54" customHeight="1" x14ac:dyDescent="0.25">
      <c r="A679" s="10">
        <f t="shared" si="0"/>
        <v>676</v>
      </c>
      <c r="B679" s="11" t="s">
        <v>1849</v>
      </c>
      <c r="C679" s="10" t="s">
        <v>1096</v>
      </c>
      <c r="D679" s="10" t="s">
        <v>247</v>
      </c>
      <c r="E679" s="10" t="s">
        <v>0</v>
      </c>
      <c r="F679" s="11" t="s">
        <v>1850</v>
      </c>
      <c r="G679" s="11"/>
      <c r="H679" s="11"/>
      <c r="I679" s="11">
        <v>1980</v>
      </c>
      <c r="J679" s="11" t="s">
        <v>1851</v>
      </c>
      <c r="K679" s="15" t="str">
        <f>HYPERLINK("https://drive.google.com/open?id=1Z344y0a5hq6cdYHd97ReByZ5HkZGpmhi","СБ-0088")</f>
        <v>СБ-0088</v>
      </c>
      <c r="L679" s="15" t="str">
        <f>HYPERLINK("https://drive.google.com/open?id=1Vs3BdLfWB5DccEW2Pm5XMfkMikzLdxvO","Сертифікат")</f>
        <v>Сертифікат</v>
      </c>
      <c r="M679" s="11" t="s">
        <v>26</v>
      </c>
      <c r="N679" s="10">
        <v>1066</v>
      </c>
      <c r="O679" s="10">
        <v>4436</v>
      </c>
      <c r="P679" s="10">
        <v>2</v>
      </c>
      <c r="Q679" s="10">
        <v>318</v>
      </c>
      <c r="R679" s="10" t="s">
        <v>57</v>
      </c>
      <c r="S679" s="10">
        <v>419</v>
      </c>
      <c r="T679" s="10">
        <v>80</v>
      </c>
      <c r="U679" s="29">
        <v>43742</v>
      </c>
      <c r="V679" s="29">
        <v>47394</v>
      </c>
      <c r="W679" s="10" t="s">
        <v>10</v>
      </c>
      <c r="X679" s="10" t="s">
        <v>17</v>
      </c>
    </row>
    <row r="680" spans="1:24" ht="54" customHeight="1" x14ac:dyDescent="0.25">
      <c r="A680" s="10">
        <f t="shared" si="0"/>
        <v>677</v>
      </c>
      <c r="B680" s="11" t="s">
        <v>1852</v>
      </c>
      <c r="C680" s="10" t="s">
        <v>499</v>
      </c>
      <c r="D680" s="10" t="s">
        <v>255</v>
      </c>
      <c r="E680" s="10" t="s">
        <v>3</v>
      </c>
      <c r="F680" s="11" t="s">
        <v>1853</v>
      </c>
      <c r="G680" s="11"/>
      <c r="H680" s="11"/>
      <c r="I680" s="11">
        <v>1988</v>
      </c>
      <c r="J680" s="11" t="s">
        <v>158</v>
      </c>
      <c r="K680" s="15" t="s">
        <v>159</v>
      </c>
      <c r="L680" s="15" t="str">
        <f>HYPERLINK("https://drive.google.com/open?id=1dllm5yhMcsLVT6qQfxngr8jQ7L7PWFmd","Сертифікат")</f>
        <v>Сертифікат</v>
      </c>
      <c r="M680" s="11" t="s">
        <v>26</v>
      </c>
      <c r="N680" s="10">
        <v>5561.3</v>
      </c>
      <c r="O680" s="10">
        <v>18688</v>
      </c>
      <c r="P680" s="10">
        <v>4</v>
      </c>
      <c r="Q680" s="10">
        <v>67.2</v>
      </c>
      <c r="R680" s="10" t="s">
        <v>66</v>
      </c>
      <c r="S680" s="10">
        <v>351</v>
      </c>
      <c r="T680" s="10">
        <v>69</v>
      </c>
      <c r="U680" s="29">
        <v>43746</v>
      </c>
      <c r="V680" s="29">
        <v>47398</v>
      </c>
      <c r="W680" s="10" t="s">
        <v>10</v>
      </c>
      <c r="X680" s="10" t="s">
        <v>17</v>
      </c>
    </row>
    <row r="681" spans="1:24" ht="54" customHeight="1" x14ac:dyDescent="0.25">
      <c r="A681" s="10">
        <f t="shared" si="0"/>
        <v>678</v>
      </c>
      <c r="B681" s="11" t="s">
        <v>1854</v>
      </c>
      <c r="C681" s="10" t="s">
        <v>499</v>
      </c>
      <c r="D681" s="10" t="s">
        <v>255</v>
      </c>
      <c r="E681" s="10" t="s">
        <v>4</v>
      </c>
      <c r="F681" s="11" t="s">
        <v>1855</v>
      </c>
      <c r="G681" s="11"/>
      <c r="H681" s="11"/>
      <c r="I681" s="11">
        <v>1985</v>
      </c>
      <c r="J681" s="11" t="s">
        <v>158</v>
      </c>
      <c r="K681" s="15" t="s">
        <v>159</v>
      </c>
      <c r="L681" s="15" t="str">
        <f>HYPERLINK("https://drive.google.com/open?id=1Y6e3AOXN_UBRHEWnQDcT9IbwaCmJqiB8","Сертифікат")</f>
        <v>Сертифікат</v>
      </c>
      <c r="M681" s="11" t="s">
        <v>26</v>
      </c>
      <c r="N681" s="10">
        <v>2580</v>
      </c>
      <c r="O681" s="10">
        <v>8123</v>
      </c>
      <c r="P681" s="10">
        <v>2</v>
      </c>
      <c r="Q681" s="10">
        <v>136.5</v>
      </c>
      <c r="R681" s="10" t="s">
        <v>66</v>
      </c>
      <c r="S681" s="10">
        <v>572</v>
      </c>
      <c r="T681" s="10">
        <v>112</v>
      </c>
      <c r="U681" s="29">
        <v>43746</v>
      </c>
      <c r="V681" s="29">
        <v>47398</v>
      </c>
      <c r="W681" s="10" t="s">
        <v>10</v>
      </c>
      <c r="X681" s="10" t="s">
        <v>17</v>
      </c>
    </row>
    <row r="682" spans="1:24" ht="54" customHeight="1" x14ac:dyDescent="0.25">
      <c r="A682" s="10">
        <f t="shared" si="0"/>
        <v>679</v>
      </c>
      <c r="B682" s="11" t="s">
        <v>1856</v>
      </c>
      <c r="C682" s="10" t="s">
        <v>1857</v>
      </c>
      <c r="D682" s="10" t="s">
        <v>86</v>
      </c>
      <c r="E682" s="10" t="s">
        <v>3</v>
      </c>
      <c r="F682" s="11" t="s">
        <v>1858</v>
      </c>
      <c r="G682" s="11"/>
      <c r="H682" s="11"/>
      <c r="I682" s="11">
        <v>1968</v>
      </c>
      <c r="J682" s="27" t="s">
        <v>1634</v>
      </c>
      <c r="K682" s="15" t="str">
        <f>HYPERLINK("https://drive.google.com/open?id=1CF150nPtc6NMKZg6foJ30-_Ho5ob3M2l","ОД 02071010/1001-18")</f>
        <v>ОД 02071010/1001-18</v>
      </c>
      <c r="L682" s="15" t="str">
        <f>HYPERLINK("https://drive.google.com/open?id=1PP8ZawQgVXFy9oDsB4tcXh-R5zYKE9WH","Сертифікат")</f>
        <v>Сертифікат</v>
      </c>
      <c r="M682" s="11" t="s">
        <v>26</v>
      </c>
      <c r="N682" s="10">
        <v>1215.9000000000001</v>
      </c>
      <c r="O682" s="10">
        <v>4890</v>
      </c>
      <c r="P682" s="10" t="s">
        <v>1859</v>
      </c>
      <c r="Q682" s="10">
        <v>120</v>
      </c>
      <c r="R682" s="10" t="s">
        <v>66</v>
      </c>
      <c r="S682" s="10">
        <v>170.57</v>
      </c>
      <c r="T682" s="10">
        <v>33.33</v>
      </c>
      <c r="U682" s="29">
        <v>43739</v>
      </c>
      <c r="V682" s="29">
        <v>47391</v>
      </c>
      <c r="W682" s="10" t="s">
        <v>10</v>
      </c>
      <c r="X682" s="10" t="s">
        <v>17</v>
      </c>
    </row>
    <row r="683" spans="1:24" ht="54" customHeight="1" x14ac:dyDescent="0.25">
      <c r="A683" s="10">
        <f t="shared" si="0"/>
        <v>680</v>
      </c>
      <c r="B683" s="11" t="s">
        <v>1860</v>
      </c>
      <c r="C683" s="10" t="s">
        <v>1861</v>
      </c>
      <c r="D683" s="10" t="s">
        <v>75</v>
      </c>
      <c r="E683" s="10" t="s">
        <v>2</v>
      </c>
      <c r="F683" s="11" t="s">
        <v>1862</v>
      </c>
      <c r="G683" s="11"/>
      <c r="H683" s="11"/>
      <c r="I683" s="11">
        <v>2019</v>
      </c>
      <c r="J683" s="10" t="s">
        <v>668</v>
      </c>
      <c r="K683" s="15" t="str">
        <f>HYPERLINK("https://drive.google.com/open?id=1NSlpy3KnsggBDFhLrg81QLR2deMl7d6Q","АА000077")</f>
        <v>АА000077</v>
      </c>
      <c r="L683" s="15" t="str">
        <f>HYPERLINK("https://drive.google.com/open?id=1xjIqQj6OUB9fM-w8_2Q_mmXRtn3lcvek","Сертифікат")</f>
        <v>Сертифікат</v>
      </c>
      <c r="M683" s="11" t="s">
        <v>18</v>
      </c>
      <c r="N683" s="10">
        <v>992.8</v>
      </c>
      <c r="O683" s="10">
        <v>4034</v>
      </c>
      <c r="P683" s="31">
        <v>43467</v>
      </c>
      <c r="Q683" s="10">
        <v>55.9</v>
      </c>
      <c r="R683" s="10" t="s">
        <v>66</v>
      </c>
      <c r="S683" s="10">
        <v>338.1</v>
      </c>
      <c r="T683" s="10">
        <v>125.2</v>
      </c>
      <c r="U683" s="29">
        <v>43746</v>
      </c>
      <c r="V683" s="29">
        <v>47398</v>
      </c>
      <c r="W683" s="10" t="s">
        <v>13</v>
      </c>
      <c r="X683" s="10" t="s">
        <v>17</v>
      </c>
    </row>
    <row r="684" spans="1:24" ht="54" customHeight="1" x14ac:dyDescent="0.25">
      <c r="A684" s="10">
        <f t="shared" si="0"/>
        <v>681</v>
      </c>
      <c r="B684" s="27" t="s">
        <v>1863</v>
      </c>
      <c r="C684" s="10" t="s">
        <v>441</v>
      </c>
      <c r="D684" s="10" t="s">
        <v>442</v>
      </c>
      <c r="E684" s="10" t="s">
        <v>2</v>
      </c>
      <c r="F684" s="24" t="s">
        <v>823</v>
      </c>
      <c r="G684" s="11"/>
      <c r="H684" s="11"/>
      <c r="I684" s="11">
        <v>1970</v>
      </c>
      <c r="J684" s="11" t="s">
        <v>797</v>
      </c>
      <c r="K684" s="15" t="s">
        <v>798</v>
      </c>
      <c r="L684" s="15" t="str">
        <f>HYPERLINK("https://drive.google.com/open?id=1p87NUkdpOGv9D8nnyg5ahGNs_bu-ACCB","Сертифікат")</f>
        <v>Сертифікат</v>
      </c>
      <c r="M684" s="11" t="s">
        <v>26</v>
      </c>
      <c r="N684" s="10">
        <v>635.5</v>
      </c>
      <c r="O684" s="10">
        <v>1938.3</v>
      </c>
      <c r="P684" s="10">
        <v>2</v>
      </c>
      <c r="Q684" s="10">
        <v>135</v>
      </c>
      <c r="R684" s="10" t="s">
        <v>66</v>
      </c>
      <c r="S684" s="10">
        <v>534</v>
      </c>
      <c r="T684" s="10">
        <v>106.8</v>
      </c>
      <c r="U684" s="11" t="s">
        <v>862</v>
      </c>
      <c r="V684" s="29">
        <v>47398</v>
      </c>
      <c r="W684" s="10" t="s">
        <v>13</v>
      </c>
      <c r="X684" s="10" t="s">
        <v>17</v>
      </c>
    </row>
    <row r="685" spans="1:24" ht="54" customHeight="1" x14ac:dyDescent="0.25">
      <c r="A685" s="10">
        <f t="shared" si="0"/>
        <v>682</v>
      </c>
      <c r="B685" s="11" t="s">
        <v>1864</v>
      </c>
      <c r="C685" s="10" t="s">
        <v>52</v>
      </c>
      <c r="D685" s="10" t="s">
        <v>52</v>
      </c>
      <c r="E685" s="10" t="s">
        <v>0</v>
      </c>
      <c r="F685" s="11" t="s">
        <v>1865</v>
      </c>
      <c r="G685" s="11"/>
      <c r="H685" s="11"/>
      <c r="I685" s="11">
        <v>2019</v>
      </c>
      <c r="J685" s="11" t="s">
        <v>1168</v>
      </c>
      <c r="K685" s="15" t="str">
        <f>HYPERLINK("https://drive.google.com/open?id=1IAlNZe4csuyp8RH-DTYn3L4-p1-qcHtF","ЕЕ-001-10-18")</f>
        <v>ЕЕ-001-10-18</v>
      </c>
      <c r="L685" s="15" t="str">
        <f>HYPERLINK("https://drive.google.com/open?id=1WavjYlhq13H47ouzeIuDsSH7prgXDHhA","Сертифікат")</f>
        <v>Сертифікат</v>
      </c>
      <c r="M685" s="11" t="s">
        <v>20</v>
      </c>
      <c r="N685" s="10">
        <v>16433.3</v>
      </c>
      <c r="O685" s="10">
        <v>49235</v>
      </c>
      <c r="P685" s="10">
        <v>25</v>
      </c>
      <c r="Q685" s="10">
        <v>95.3</v>
      </c>
      <c r="R685" s="10" t="s">
        <v>57</v>
      </c>
      <c r="S685" s="10">
        <v>172</v>
      </c>
      <c r="T685" s="10">
        <v>33</v>
      </c>
      <c r="U685" s="29">
        <v>43740</v>
      </c>
      <c r="V685" s="29">
        <v>47392</v>
      </c>
      <c r="W685" s="10" t="s">
        <v>13</v>
      </c>
      <c r="X685" s="10" t="s">
        <v>17</v>
      </c>
    </row>
    <row r="686" spans="1:24" ht="54" customHeight="1" x14ac:dyDescent="0.25">
      <c r="A686" s="10">
        <f t="shared" si="0"/>
        <v>683</v>
      </c>
      <c r="B686" s="11" t="s">
        <v>1866</v>
      </c>
      <c r="C686" s="10" t="s">
        <v>499</v>
      </c>
      <c r="D686" s="52" t="s">
        <v>255</v>
      </c>
      <c r="E686" s="10" t="s">
        <v>3</v>
      </c>
      <c r="F686" s="11" t="s">
        <v>1867</v>
      </c>
      <c r="G686" s="11"/>
      <c r="H686" s="11"/>
      <c r="I686" s="11">
        <v>1988</v>
      </c>
      <c r="J686" s="11" t="s">
        <v>93</v>
      </c>
      <c r="K686" s="15" t="str">
        <f t="shared" ref="K686:K687" si="49">HYPERLINK("https://drive.google.com/open?id=16knL7rF64EXtCB0-Ch1v5DtfiE2GYjkB","ЕЕ-002-10-18")</f>
        <v>ЕЕ-002-10-18</v>
      </c>
      <c r="L686" s="15" t="str">
        <f>HYPERLINK("https://drive.google.com/open?id=1OlWk1V-1mvT7XQHBNsi2jk5cEvr1O0n8","Сертифікат")</f>
        <v>Сертифікат</v>
      </c>
      <c r="M686" s="11" t="s">
        <v>26</v>
      </c>
      <c r="N686" s="10">
        <v>3975</v>
      </c>
      <c r="O686" s="10">
        <v>14588</v>
      </c>
      <c r="P686" s="10">
        <v>3</v>
      </c>
      <c r="Q686" s="10">
        <v>76.5</v>
      </c>
      <c r="R686" s="10" t="s">
        <v>66</v>
      </c>
      <c r="S686" s="10">
        <v>466</v>
      </c>
      <c r="T686" s="10">
        <v>90</v>
      </c>
      <c r="U686" s="29">
        <v>43740</v>
      </c>
      <c r="V686" s="29">
        <v>47392</v>
      </c>
      <c r="W686" s="10" t="s">
        <v>10</v>
      </c>
      <c r="X686" s="10" t="s">
        <v>17</v>
      </c>
    </row>
    <row r="687" spans="1:24" ht="54" customHeight="1" x14ac:dyDescent="0.25">
      <c r="A687" s="10">
        <f t="shared" si="0"/>
        <v>684</v>
      </c>
      <c r="B687" s="11" t="s">
        <v>1868</v>
      </c>
      <c r="C687" s="10" t="s">
        <v>499</v>
      </c>
      <c r="D687" s="47" t="s">
        <v>255</v>
      </c>
      <c r="E687" s="10" t="s">
        <v>4</v>
      </c>
      <c r="F687" s="11" t="s">
        <v>1869</v>
      </c>
      <c r="G687" s="11"/>
      <c r="H687" s="11"/>
      <c r="I687" s="11" t="s">
        <v>1870</v>
      </c>
      <c r="J687" s="27" t="s">
        <v>93</v>
      </c>
      <c r="K687" s="15" t="str">
        <f t="shared" si="49"/>
        <v>ЕЕ-002-10-18</v>
      </c>
      <c r="L687" s="15" t="str">
        <f>HYPERLINK("https://drive.google.com/open?id=1_7q1W_B3DQaRD4zXbxUsTVKebOEG1NY2","Сертифікат")</f>
        <v>Сертифікат</v>
      </c>
      <c r="M687" s="11" t="s">
        <v>26</v>
      </c>
      <c r="N687" s="10">
        <v>398.7</v>
      </c>
      <c r="O687" s="10">
        <v>1204.0999999999999</v>
      </c>
      <c r="P687" s="10">
        <v>1</v>
      </c>
      <c r="Q687" s="10">
        <v>160.19999999999999</v>
      </c>
      <c r="R687" s="10" t="s">
        <v>66</v>
      </c>
      <c r="S687" s="10">
        <v>620</v>
      </c>
      <c r="T687" s="10">
        <v>122</v>
      </c>
      <c r="U687" s="29">
        <v>43742</v>
      </c>
      <c r="V687" s="29">
        <v>47394</v>
      </c>
      <c r="W687" s="10" t="s">
        <v>10</v>
      </c>
      <c r="X687" s="10" t="s">
        <v>17</v>
      </c>
    </row>
    <row r="688" spans="1:24" ht="54" customHeight="1" x14ac:dyDescent="0.25">
      <c r="A688" s="10">
        <f t="shared" si="0"/>
        <v>685</v>
      </c>
      <c r="B688" s="11" t="s">
        <v>1871</v>
      </c>
      <c r="C688" s="10" t="s">
        <v>52</v>
      </c>
      <c r="D688" s="10" t="s">
        <v>52</v>
      </c>
      <c r="E688" s="10" t="s">
        <v>2</v>
      </c>
      <c r="F688" s="11" t="s">
        <v>1872</v>
      </c>
      <c r="G688" s="11"/>
      <c r="H688" s="11"/>
      <c r="I688" s="11">
        <v>2019</v>
      </c>
      <c r="J688" s="11" t="s">
        <v>64</v>
      </c>
      <c r="K688" s="15" t="str">
        <f>HYPERLINK("https://drive.google.com/open?id=1-fr_zsf-7fSXhRxegEztRfDKVGALmS4z","АА000004")</f>
        <v>АА000004</v>
      </c>
      <c r="L688" s="15" t="str">
        <f>HYPERLINK("https://drive.google.com/open?id=1jJBQlFb4b4UzXGolSdaaNlqVJPrZzuYm","Сертифікат")</f>
        <v>Сертифікат</v>
      </c>
      <c r="M688" s="11" t="s">
        <v>15</v>
      </c>
      <c r="N688" s="10">
        <v>2098</v>
      </c>
      <c r="O688" s="10">
        <v>9821</v>
      </c>
      <c r="P688" s="10">
        <v>4</v>
      </c>
      <c r="Q688" s="10">
        <v>36</v>
      </c>
      <c r="R688" s="10" t="s">
        <v>66</v>
      </c>
      <c r="S688" s="10">
        <v>329</v>
      </c>
      <c r="T688" s="10">
        <v>64</v>
      </c>
      <c r="U688" s="29">
        <v>43746</v>
      </c>
      <c r="V688" s="29">
        <v>47398</v>
      </c>
      <c r="W688" s="10" t="s">
        <v>13</v>
      </c>
      <c r="X688" s="10" t="s">
        <v>17</v>
      </c>
    </row>
    <row r="689" spans="1:24" ht="54" customHeight="1" x14ac:dyDescent="0.25">
      <c r="A689" s="10">
        <f t="shared" si="0"/>
        <v>686</v>
      </c>
      <c r="B689" s="11" t="s">
        <v>1873</v>
      </c>
      <c r="C689" s="10" t="s">
        <v>517</v>
      </c>
      <c r="D689" s="10" t="s">
        <v>518</v>
      </c>
      <c r="E689" s="10" t="s">
        <v>0</v>
      </c>
      <c r="F689" s="11" t="s">
        <v>1874</v>
      </c>
      <c r="G689" s="11"/>
      <c r="H689" s="11"/>
      <c r="I689" s="11" t="s">
        <v>836</v>
      </c>
      <c r="J689" s="11" t="s">
        <v>1875</v>
      </c>
      <c r="K689" s="15" t="str">
        <f>HYPERLINK("https://drive.google.com/open?id=18jCdnumNyK2SRM-vS6TjNS-ct9MQ7n5o","АА000067")</f>
        <v>АА000067</v>
      </c>
      <c r="L689" s="15" t="str">
        <f>HYPERLINK("https://drive.google.com/open?id=1WRBIoswYQ30985IiI47FlLnL58DbkqJ5","Сертифікат")</f>
        <v>Сертифікат</v>
      </c>
      <c r="M689" s="11" t="s">
        <v>18</v>
      </c>
      <c r="N689" s="10">
        <v>5243</v>
      </c>
      <c r="O689" s="10">
        <v>14157</v>
      </c>
      <c r="P689" s="10">
        <v>10</v>
      </c>
      <c r="Q689" s="10">
        <v>86.58</v>
      </c>
      <c r="R689" s="10" t="s">
        <v>57</v>
      </c>
      <c r="S689" s="10">
        <v>126</v>
      </c>
      <c r="T689" s="10">
        <v>24.6</v>
      </c>
      <c r="U689" s="29">
        <v>43746</v>
      </c>
      <c r="V689" s="29">
        <v>47398</v>
      </c>
      <c r="W689" s="10" t="s">
        <v>13</v>
      </c>
      <c r="X689" s="10" t="s">
        <v>17</v>
      </c>
    </row>
    <row r="690" spans="1:24" ht="54" customHeight="1" x14ac:dyDescent="0.25">
      <c r="A690" s="10">
        <f t="shared" si="0"/>
        <v>687</v>
      </c>
      <c r="B690" s="11" t="s">
        <v>1876</v>
      </c>
      <c r="C690" s="10" t="s">
        <v>74</v>
      </c>
      <c r="D690" s="10" t="s">
        <v>75</v>
      </c>
      <c r="E690" s="10" t="s">
        <v>2</v>
      </c>
      <c r="F690" s="11" t="s">
        <v>1877</v>
      </c>
      <c r="G690" s="11"/>
      <c r="H690" s="11"/>
      <c r="I690" s="11" t="s">
        <v>1422</v>
      </c>
      <c r="J690" s="11" t="s">
        <v>93</v>
      </c>
      <c r="K690" s="15" t="str">
        <f>HYPERLINK("https://drive.google.com/open?id=16knL7rF64EXtCB0-Ch1v5DtfiE2GYjkB","ЕЕ 002-10-18")</f>
        <v>ЕЕ 002-10-18</v>
      </c>
      <c r="L690" s="15" t="str">
        <f>HYPERLINK("https://drive.google.com/open?id=1WAvjdgiVuYNEiQdc3j5w0EsU7d6_mX1i","Сертифікат")</f>
        <v>Сертифікат</v>
      </c>
      <c r="M690" s="11" t="s">
        <v>24</v>
      </c>
      <c r="N690" s="10">
        <v>340.5</v>
      </c>
      <c r="O690" s="10">
        <v>1259.9000000000001</v>
      </c>
      <c r="P690" s="10">
        <v>2</v>
      </c>
      <c r="Q690" s="10">
        <v>100.6</v>
      </c>
      <c r="R690" s="10" t="s">
        <v>66</v>
      </c>
      <c r="S690" s="10">
        <v>550</v>
      </c>
      <c r="T690" s="10">
        <v>109</v>
      </c>
      <c r="U690" s="29">
        <v>43745</v>
      </c>
      <c r="V690" s="29">
        <v>47397</v>
      </c>
      <c r="W690" s="10" t="s">
        <v>10</v>
      </c>
      <c r="X690" s="10" t="s">
        <v>17</v>
      </c>
    </row>
    <row r="691" spans="1:24" ht="54" customHeight="1" x14ac:dyDescent="0.25">
      <c r="A691" s="10">
        <f t="shared" si="0"/>
        <v>688</v>
      </c>
      <c r="B691" s="11" t="s">
        <v>1878</v>
      </c>
      <c r="C691" s="10" t="s">
        <v>598</v>
      </c>
      <c r="D691" s="10" t="s">
        <v>247</v>
      </c>
      <c r="E691" s="10" t="s">
        <v>0</v>
      </c>
      <c r="F691" s="11" t="s">
        <v>1879</v>
      </c>
      <c r="G691" s="11"/>
      <c r="H691" s="11"/>
      <c r="I691" s="11">
        <v>1992</v>
      </c>
      <c r="J691" s="11" t="s">
        <v>1851</v>
      </c>
      <c r="K691" s="15" t="str">
        <f>HYPERLINK("https://drive.google.com/open?id=1Z344y0a5hq6cdYHd97ReByZ5HkZGpmhi","СБ-0088")</f>
        <v>СБ-0088</v>
      </c>
      <c r="L691" s="15" t="str">
        <f>HYPERLINK("https://drive.google.com/open?id=1hnTU_4a-ZP4_I5CH_j0Ghx11NnNXLiUu","Сертифікат")</f>
        <v>Сертифікат</v>
      </c>
      <c r="M691" s="11" t="s">
        <v>26</v>
      </c>
      <c r="N691" s="10">
        <v>867</v>
      </c>
      <c r="O691" s="10">
        <v>2497</v>
      </c>
      <c r="P691" s="10">
        <v>3</v>
      </c>
      <c r="Q691" s="10">
        <v>262</v>
      </c>
      <c r="R691" s="10" t="s">
        <v>57</v>
      </c>
      <c r="S691" s="10">
        <v>371</v>
      </c>
      <c r="T691" s="10">
        <v>73</v>
      </c>
      <c r="U691" s="29">
        <v>43745</v>
      </c>
      <c r="V691" s="29">
        <v>47397</v>
      </c>
      <c r="W691" s="10" t="s">
        <v>13</v>
      </c>
      <c r="X691" s="10" t="s">
        <v>17</v>
      </c>
    </row>
    <row r="692" spans="1:24" ht="54" customHeight="1" x14ac:dyDescent="0.25">
      <c r="A692" s="10">
        <f t="shared" si="0"/>
        <v>689</v>
      </c>
      <c r="B692" s="11" t="s">
        <v>1880</v>
      </c>
      <c r="C692" s="10" t="s">
        <v>1881</v>
      </c>
      <c r="D692" s="10" t="s">
        <v>69</v>
      </c>
      <c r="E692" s="10" t="s">
        <v>3</v>
      </c>
      <c r="F692" s="11" t="s">
        <v>1882</v>
      </c>
      <c r="G692" s="11"/>
      <c r="H692" s="11"/>
      <c r="I692" s="11" t="s">
        <v>1883</v>
      </c>
      <c r="J692" s="11" t="s">
        <v>448</v>
      </c>
      <c r="K692" s="15" t="s">
        <v>449</v>
      </c>
      <c r="L692" s="15" t="str">
        <f>HYPERLINK("https://drive.google.com/open?id=1wgmRymdy0ITlXawoNfOjFSpe44HsPH8i","Сертифікат")</f>
        <v>Сертифікат</v>
      </c>
      <c r="M692" s="11" t="s">
        <v>26</v>
      </c>
      <c r="N692" s="10">
        <v>631.9</v>
      </c>
      <c r="O692" s="10">
        <v>2205</v>
      </c>
      <c r="P692" s="10">
        <v>1</v>
      </c>
      <c r="Q692" s="10">
        <v>123.4</v>
      </c>
      <c r="R692" s="10" t="s">
        <v>66</v>
      </c>
      <c r="S692" s="10">
        <v>143.30000000000001</v>
      </c>
      <c r="T692" s="10">
        <v>27.6</v>
      </c>
      <c r="U692" s="29">
        <v>43746</v>
      </c>
      <c r="V692" s="29">
        <v>47398</v>
      </c>
      <c r="W692" s="10" t="s">
        <v>10</v>
      </c>
      <c r="X692" s="10" t="s">
        <v>17</v>
      </c>
    </row>
    <row r="693" spans="1:24" ht="54" customHeight="1" x14ac:dyDescent="0.25">
      <c r="A693" s="10">
        <f t="shared" si="0"/>
        <v>690</v>
      </c>
      <c r="B693" s="11" t="s">
        <v>1884</v>
      </c>
      <c r="C693" s="52" t="s">
        <v>74</v>
      </c>
      <c r="D693" s="47" t="s">
        <v>75</v>
      </c>
      <c r="E693" s="10" t="s">
        <v>0</v>
      </c>
      <c r="F693" s="11" t="s">
        <v>1345</v>
      </c>
      <c r="G693" s="11"/>
      <c r="H693" s="11"/>
      <c r="I693" s="11" t="s">
        <v>836</v>
      </c>
      <c r="J693" s="11" t="s">
        <v>209</v>
      </c>
      <c r="K693" s="15" t="str">
        <f>HYPERLINK("https://drive.google.com/open?id=1nFSy5k_5dEpHD1r7NrzhyR0bvCdUEIlN","СБ-0033")</f>
        <v>СБ-0033</v>
      </c>
      <c r="L693" s="15" t="str">
        <f>HYPERLINK("https://drive.google.com/open?id=1BikEASBaUXnKJFWDEiHCh6OM6RbQLhnG","Сертифікат")</f>
        <v>Сертифікат</v>
      </c>
      <c r="M693" s="11" t="s">
        <v>22</v>
      </c>
      <c r="N693" s="10">
        <v>15415</v>
      </c>
      <c r="O693" s="10">
        <v>49328</v>
      </c>
      <c r="P693" s="10">
        <v>13</v>
      </c>
      <c r="Q693" s="10">
        <v>121</v>
      </c>
      <c r="R693" s="10" t="s">
        <v>57</v>
      </c>
      <c r="S693" s="10">
        <v>164</v>
      </c>
      <c r="T693" s="10">
        <v>32</v>
      </c>
      <c r="U693" s="29">
        <v>43746</v>
      </c>
      <c r="V693" s="29">
        <v>47398</v>
      </c>
      <c r="W693" s="10" t="s">
        <v>13</v>
      </c>
      <c r="X693" s="10" t="s">
        <v>17</v>
      </c>
    </row>
    <row r="694" spans="1:24" ht="54" customHeight="1" x14ac:dyDescent="0.25">
      <c r="A694" s="10">
        <f t="shared" si="0"/>
        <v>691</v>
      </c>
      <c r="B694" s="11" t="s">
        <v>1885</v>
      </c>
      <c r="C694" s="10" t="s">
        <v>1886</v>
      </c>
      <c r="D694" s="10" t="s">
        <v>124</v>
      </c>
      <c r="E694" s="10" t="s">
        <v>3</v>
      </c>
      <c r="F694" s="11" t="s">
        <v>1887</v>
      </c>
      <c r="G694" s="11"/>
      <c r="H694" s="11"/>
      <c r="I694" s="11">
        <v>2018</v>
      </c>
      <c r="J694" s="11" t="s">
        <v>64</v>
      </c>
      <c r="K694" s="15" t="str">
        <f>HYPERLINK("https://drive.google.com/open?id=1-fr_zsf-7fSXhRxegEztRfDKVGALmS4z","АА000004")</f>
        <v>АА000004</v>
      </c>
      <c r="L694" s="15" t="str">
        <f>HYPERLINK("https://drive.google.com/open?id=1wV8hpUX9snncxFSgCXVGmcucdq6x3mh_","Сертифікат")</f>
        <v>Сертифікат</v>
      </c>
      <c r="M694" s="11" t="s">
        <v>15</v>
      </c>
      <c r="N694" s="10">
        <v>4634</v>
      </c>
      <c r="O694" s="10">
        <v>14828</v>
      </c>
      <c r="P694" s="10">
        <v>3</v>
      </c>
      <c r="Q694" s="10">
        <v>27</v>
      </c>
      <c r="R694" s="10" t="s">
        <v>66</v>
      </c>
      <c r="S694" s="10">
        <v>149</v>
      </c>
      <c r="T694" s="10">
        <v>27</v>
      </c>
      <c r="U694" s="29">
        <v>43746</v>
      </c>
      <c r="V694" s="29">
        <v>47398</v>
      </c>
      <c r="W694" s="10" t="s">
        <v>13</v>
      </c>
      <c r="X694" s="10" t="s">
        <v>17</v>
      </c>
    </row>
    <row r="695" spans="1:24" ht="54" customHeight="1" x14ac:dyDescent="0.25">
      <c r="A695" s="10">
        <f t="shared" si="0"/>
        <v>692</v>
      </c>
      <c r="B695" s="11" t="s">
        <v>1888</v>
      </c>
      <c r="C695" s="10" t="s">
        <v>85</v>
      </c>
      <c r="D695" s="10" t="s">
        <v>86</v>
      </c>
      <c r="E695" s="10" t="s">
        <v>0</v>
      </c>
      <c r="F695" s="11" t="s">
        <v>1889</v>
      </c>
      <c r="G695" s="11"/>
      <c r="H695" s="11"/>
      <c r="I695" s="11" t="s">
        <v>836</v>
      </c>
      <c r="J695" s="10" t="s">
        <v>668</v>
      </c>
      <c r="K695" s="15" t="str">
        <f>HYPERLINK("https://drive.google.com/open?id=1NSlpy3KnsggBDFhLrg81QLR2deMl7d6Q","АА000077")</f>
        <v>АА000077</v>
      </c>
      <c r="L695" s="15" t="str">
        <f>HYPERLINK("https://drive.google.com/open?id=1PDsN4hB8dcqbfr9Nvxfad3mdMGLVhaZp","Сертифікат")</f>
        <v>Сертифікат</v>
      </c>
      <c r="M695" s="11" t="s">
        <v>18</v>
      </c>
      <c r="N695" s="10">
        <v>5444.8</v>
      </c>
      <c r="O695" s="10">
        <v>16397</v>
      </c>
      <c r="P695" s="10">
        <v>16</v>
      </c>
      <c r="Q695" s="10">
        <v>86.8</v>
      </c>
      <c r="R695" s="10" t="s">
        <v>57</v>
      </c>
      <c r="S695" s="10">
        <v>188.4</v>
      </c>
      <c r="T695" s="10">
        <v>60</v>
      </c>
      <c r="U695" s="29">
        <v>43746</v>
      </c>
      <c r="V695" s="29">
        <v>47398</v>
      </c>
      <c r="W695" s="10" t="s">
        <v>10</v>
      </c>
      <c r="X695" s="10" t="s">
        <v>17</v>
      </c>
    </row>
    <row r="696" spans="1:24" ht="54" customHeight="1" x14ac:dyDescent="0.25">
      <c r="A696" s="10">
        <f t="shared" si="0"/>
        <v>693</v>
      </c>
      <c r="B696" s="11" t="s">
        <v>1890</v>
      </c>
      <c r="C696" s="10" t="s">
        <v>517</v>
      </c>
      <c r="D696" s="10" t="s">
        <v>518</v>
      </c>
      <c r="E696" s="10" t="s">
        <v>0</v>
      </c>
      <c r="F696" s="11" t="s">
        <v>1874</v>
      </c>
      <c r="G696" s="11"/>
      <c r="H696" s="11"/>
      <c r="I696" s="11" t="s">
        <v>836</v>
      </c>
      <c r="J696" s="11" t="s">
        <v>1875</v>
      </c>
      <c r="K696" s="15" t="str">
        <f>HYPERLINK("https://drive.google.com/open?id=18jCdnumNyK2SRM-vS6TjNS-ct9MQ7n5o","АА000067")</f>
        <v>АА000067</v>
      </c>
      <c r="L696" s="15" t="str">
        <f>HYPERLINK("https://drive.google.com/open?id=1UkTkofLSchNJxvBP0eTnOn0aM65BR-83","Сертифікат")</f>
        <v>Сертифікат</v>
      </c>
      <c r="M696" s="11" t="s">
        <v>18</v>
      </c>
      <c r="N696" s="10">
        <v>5210</v>
      </c>
      <c r="O696" s="10">
        <v>14067</v>
      </c>
      <c r="P696" s="10">
        <v>10</v>
      </c>
      <c r="Q696" s="10">
        <v>81.8</v>
      </c>
      <c r="R696" s="10" t="s">
        <v>57</v>
      </c>
      <c r="S696" s="10">
        <v>120</v>
      </c>
      <c r="T696" s="10">
        <v>23.4</v>
      </c>
      <c r="U696" s="29">
        <v>43746</v>
      </c>
      <c r="V696" s="29">
        <v>47398</v>
      </c>
      <c r="W696" s="10" t="s">
        <v>13</v>
      </c>
      <c r="X696" s="10" t="s">
        <v>17</v>
      </c>
    </row>
    <row r="697" spans="1:24" ht="54" customHeight="1" x14ac:dyDescent="0.25">
      <c r="A697" s="10">
        <f t="shared" si="0"/>
        <v>694</v>
      </c>
      <c r="B697" s="11" t="s">
        <v>1891</v>
      </c>
      <c r="C697" s="10" t="s">
        <v>598</v>
      </c>
      <c r="D697" s="10" t="s">
        <v>247</v>
      </c>
      <c r="E697" s="10" t="s">
        <v>0</v>
      </c>
      <c r="F697" s="11" t="s">
        <v>1892</v>
      </c>
      <c r="G697" s="11"/>
      <c r="H697" s="11"/>
      <c r="I697" s="11">
        <v>2019</v>
      </c>
      <c r="J697" s="11" t="s">
        <v>1893</v>
      </c>
      <c r="K697" s="15" t="str">
        <f t="shared" ref="K697:K698" si="50">HYPERLINK("https://drive.google.com/open?id=1U8E2QZc2aVkLefu0bMtcU-m1DwZhYzUD","АА000075")</f>
        <v>АА000075</v>
      </c>
      <c r="L697" s="15" t="str">
        <f>HYPERLINK("https://drive.google.com/open?id=1AXbmbSfHErjgvwxnGWjzdXpBDI82sFpB","Сертифікат")</f>
        <v>Сертифікат</v>
      </c>
      <c r="M697" s="11" t="s">
        <v>20</v>
      </c>
      <c r="N697" s="10">
        <v>1821</v>
      </c>
      <c r="O697" s="10">
        <v>5956</v>
      </c>
      <c r="P697" s="10">
        <v>3</v>
      </c>
      <c r="Q697" s="10">
        <v>149</v>
      </c>
      <c r="R697" s="10" t="s">
        <v>57</v>
      </c>
      <c r="S697" s="10">
        <v>229</v>
      </c>
      <c r="T697" s="10">
        <v>44.5</v>
      </c>
      <c r="U697" s="29">
        <v>43740</v>
      </c>
      <c r="V697" s="29">
        <v>47392</v>
      </c>
      <c r="W697" s="10" t="s">
        <v>13</v>
      </c>
      <c r="X697" s="10" t="s">
        <v>17</v>
      </c>
    </row>
    <row r="698" spans="1:24" ht="54" customHeight="1" x14ac:dyDescent="0.25">
      <c r="A698" s="10">
        <f t="shared" si="0"/>
        <v>695</v>
      </c>
      <c r="B698" s="11" t="s">
        <v>1891</v>
      </c>
      <c r="C698" s="10" t="s">
        <v>598</v>
      </c>
      <c r="D698" s="10" t="s">
        <v>247</v>
      </c>
      <c r="E698" s="10" t="s">
        <v>0</v>
      </c>
      <c r="F698" s="11" t="s">
        <v>1894</v>
      </c>
      <c r="G698" s="11"/>
      <c r="H698" s="11"/>
      <c r="I698" s="11">
        <v>2019</v>
      </c>
      <c r="J698" s="11" t="s">
        <v>1893</v>
      </c>
      <c r="K698" s="15" t="str">
        <f t="shared" si="50"/>
        <v>АА000075</v>
      </c>
      <c r="L698" s="15" t="str">
        <f>HYPERLINK("https://drive.google.com/open?id=1Mxdygyxj-1XHu30r7FLnJy3Vd2jqt7-n","Сертифікат")</f>
        <v>Сертифікат</v>
      </c>
      <c r="M698" s="11" t="s">
        <v>20</v>
      </c>
      <c r="N698" s="10">
        <v>1817</v>
      </c>
      <c r="O698" s="10">
        <v>5732</v>
      </c>
      <c r="P698" s="10">
        <v>3</v>
      </c>
      <c r="Q698" s="10">
        <v>140</v>
      </c>
      <c r="R698" s="10" t="s">
        <v>57</v>
      </c>
      <c r="S698" s="10">
        <v>213</v>
      </c>
      <c r="T698" s="10">
        <v>41</v>
      </c>
      <c r="U698" s="29">
        <v>43740</v>
      </c>
      <c r="V698" s="29">
        <v>47392</v>
      </c>
      <c r="W698" s="10" t="s">
        <v>13</v>
      </c>
      <c r="X698" s="10" t="s">
        <v>17</v>
      </c>
    </row>
    <row r="699" spans="1:24" ht="54" customHeight="1" x14ac:dyDescent="0.25">
      <c r="A699" s="10">
        <f t="shared" si="0"/>
        <v>696</v>
      </c>
      <c r="B699" s="11" t="s">
        <v>1895</v>
      </c>
      <c r="C699" s="52" t="s">
        <v>1896</v>
      </c>
      <c r="D699" s="10" t="s">
        <v>86</v>
      </c>
      <c r="E699" s="10" t="s">
        <v>3</v>
      </c>
      <c r="F699" s="11" t="s">
        <v>1897</v>
      </c>
      <c r="G699" s="11"/>
      <c r="H699" s="11"/>
      <c r="I699" s="11" t="s">
        <v>1010</v>
      </c>
      <c r="J699" s="11" t="s">
        <v>1160</v>
      </c>
      <c r="K699" s="15" t="str">
        <f>HYPERLINK("https://drive.google.com/open?id=1Xvt1WHN4a3lh1GkA7Hg2sSdXHdM5XEXy","АР 000072")</f>
        <v>АР 000072</v>
      </c>
      <c r="L699" s="15" t="str">
        <f>HYPERLINK("https://drive.google.com/open?id=124ei_jlMfNWiJhPS9zOho_qmHcmWeGDq","Сертифікат")</f>
        <v>Сертифікат</v>
      </c>
      <c r="M699" s="11" t="s">
        <v>18</v>
      </c>
      <c r="N699" s="10">
        <v>2141</v>
      </c>
      <c r="O699" s="10">
        <v>12376.06</v>
      </c>
      <c r="P699" s="10">
        <v>2</v>
      </c>
      <c r="Q699" s="10">
        <v>32.200000000000003</v>
      </c>
      <c r="R699" s="10" t="s">
        <v>66</v>
      </c>
      <c r="S699" s="10">
        <v>665.16</v>
      </c>
      <c r="T699" s="10">
        <v>79.66</v>
      </c>
      <c r="U699" s="45">
        <v>43749</v>
      </c>
      <c r="V699" s="29">
        <v>47401</v>
      </c>
      <c r="W699" s="10" t="s">
        <v>10</v>
      </c>
      <c r="X699" s="10" t="s">
        <v>17</v>
      </c>
    </row>
    <row r="700" spans="1:24" ht="54" customHeight="1" x14ac:dyDescent="0.25">
      <c r="A700" s="10">
        <f t="shared" si="0"/>
        <v>697</v>
      </c>
      <c r="B700" s="11" t="s">
        <v>1898</v>
      </c>
      <c r="C700" s="10" t="s">
        <v>1899</v>
      </c>
      <c r="D700" s="10" t="s">
        <v>142</v>
      </c>
      <c r="E700" s="10" t="s">
        <v>0</v>
      </c>
      <c r="F700" s="11" t="s">
        <v>1009</v>
      </c>
      <c r="G700" s="11"/>
      <c r="H700" s="11"/>
      <c r="I700" s="11" t="s">
        <v>1010</v>
      </c>
      <c r="J700" s="10" t="s">
        <v>668</v>
      </c>
      <c r="K700" s="15" t="str">
        <f>HYPERLINK("https://drive.google.com/open?id=1NSlpy3KnsggBDFhLrg81QLR2deMl7d6Q","АА000077")</f>
        <v>АА000077</v>
      </c>
      <c r="L700" s="15" t="str">
        <f>HYPERLINK("https://drive.google.com/open?id=1WJkusy61KRnk90SZn7U2_fp2QmDXA0gr","Сертифікат")</f>
        <v>Сертифікат</v>
      </c>
      <c r="M700" s="11" t="s">
        <v>18</v>
      </c>
      <c r="N700" s="10">
        <v>6474</v>
      </c>
      <c r="O700" s="10">
        <v>20037</v>
      </c>
      <c r="P700" s="10">
        <v>10</v>
      </c>
      <c r="Q700" s="10">
        <v>85.8</v>
      </c>
      <c r="R700" s="10" t="s">
        <v>57</v>
      </c>
      <c r="S700" s="10">
        <v>129.30000000000001</v>
      </c>
      <c r="T700" s="10">
        <v>35</v>
      </c>
      <c r="U700" s="45">
        <v>43749</v>
      </c>
      <c r="V700" s="29">
        <v>47401</v>
      </c>
      <c r="W700" s="10" t="s">
        <v>10</v>
      </c>
      <c r="X700" s="10" t="s">
        <v>17</v>
      </c>
    </row>
    <row r="701" spans="1:24" ht="54" customHeight="1" x14ac:dyDescent="0.25">
      <c r="A701" s="10">
        <f t="shared" si="0"/>
        <v>698</v>
      </c>
      <c r="B701" s="11" t="s">
        <v>1900</v>
      </c>
      <c r="C701" s="52" t="s">
        <v>207</v>
      </c>
      <c r="D701" s="10" t="s">
        <v>148</v>
      </c>
      <c r="E701" s="10" t="s">
        <v>0</v>
      </c>
      <c r="F701" s="11" t="s">
        <v>1901</v>
      </c>
      <c r="G701" s="11"/>
      <c r="H701" s="11"/>
      <c r="I701" s="11">
        <v>2006</v>
      </c>
      <c r="J701" s="10" t="s">
        <v>64</v>
      </c>
      <c r="K701" s="15" t="s">
        <v>65</v>
      </c>
      <c r="L701" s="15" t="str">
        <f>HYPERLINK("https://drive.google.com/open?id=1uUI8v35dfMuKL6VQtiaubjM9Z43F7GdC","Сертифікат")</f>
        <v>Сертифікат</v>
      </c>
      <c r="M701" s="11" t="s">
        <v>24</v>
      </c>
      <c r="N701" s="10">
        <v>9753</v>
      </c>
      <c r="O701" s="10">
        <v>26821</v>
      </c>
      <c r="P701" s="10">
        <v>10</v>
      </c>
      <c r="Q701" s="10">
        <v>138</v>
      </c>
      <c r="R701" s="10" t="s">
        <v>57</v>
      </c>
      <c r="S701" s="10">
        <v>229</v>
      </c>
      <c r="T701" s="10">
        <v>44</v>
      </c>
      <c r="U701" s="29">
        <v>43746</v>
      </c>
      <c r="V701" s="29">
        <v>47398</v>
      </c>
      <c r="W701" s="10" t="s">
        <v>10</v>
      </c>
      <c r="X701" s="10" t="s">
        <v>17</v>
      </c>
    </row>
    <row r="702" spans="1:24" ht="54" customHeight="1" x14ac:dyDescent="0.25">
      <c r="A702" s="10">
        <f t="shared" si="0"/>
        <v>699</v>
      </c>
      <c r="B702" s="11" t="s">
        <v>1902</v>
      </c>
      <c r="C702" s="10" t="s">
        <v>1903</v>
      </c>
      <c r="D702" s="10" t="s">
        <v>142</v>
      </c>
      <c r="E702" s="10" t="s">
        <v>0</v>
      </c>
      <c r="F702" s="11" t="s">
        <v>1904</v>
      </c>
      <c r="G702" s="11"/>
      <c r="H702" s="11"/>
      <c r="I702" s="11" t="s">
        <v>1010</v>
      </c>
      <c r="J702" s="10" t="s">
        <v>668</v>
      </c>
      <c r="K702" s="15" t="str">
        <f>HYPERLINK("https://drive.google.com/open?id=1NSlpy3KnsggBDFhLrg81QLR2deMl7d6Q","АА000077")</f>
        <v>АА000077</v>
      </c>
      <c r="L702" s="15" t="str">
        <f>HYPERLINK("https://drive.google.com/open?id=17OJwLtCJ_aB6M7tSoHnNlQrc-VvhkxeI","Сертифікат")</f>
        <v>Сертифікат</v>
      </c>
      <c r="M702" s="11" t="s">
        <v>18</v>
      </c>
      <c r="N702" s="10">
        <v>9041</v>
      </c>
      <c r="O702" s="10">
        <v>26852</v>
      </c>
      <c r="P702" s="10">
        <v>10</v>
      </c>
      <c r="Q702" s="10">
        <v>85.4</v>
      </c>
      <c r="R702" s="10" t="s">
        <v>57</v>
      </c>
      <c r="S702" s="10">
        <v>146.9</v>
      </c>
      <c r="T702" s="10">
        <v>47.3</v>
      </c>
      <c r="U702" s="64">
        <v>43749</v>
      </c>
      <c r="V702" s="29">
        <v>47401</v>
      </c>
      <c r="W702" s="10" t="s">
        <v>10</v>
      </c>
      <c r="X702" s="10" t="s">
        <v>17</v>
      </c>
    </row>
    <row r="703" spans="1:24" ht="54" customHeight="1" x14ac:dyDescent="0.25">
      <c r="A703" s="10">
        <f t="shared" si="0"/>
        <v>700</v>
      </c>
      <c r="B703" s="11" t="s">
        <v>1905</v>
      </c>
      <c r="C703" s="24" t="s">
        <v>1906</v>
      </c>
      <c r="D703" s="52" t="s">
        <v>442</v>
      </c>
      <c r="E703" s="10" t="s">
        <v>3</v>
      </c>
      <c r="F703" s="11" t="s">
        <v>1907</v>
      </c>
      <c r="G703" s="11"/>
      <c r="H703" s="11"/>
      <c r="I703" s="11">
        <v>1988</v>
      </c>
      <c r="J703" s="11" t="s">
        <v>1740</v>
      </c>
      <c r="K703" s="15" t="str">
        <f>HYPERLINK("https://drive.google.com/open?id=1olNXwN6O7EqQ47IkA2pAkSyR84Ia7OFR","ОД 000012 ")</f>
        <v xml:space="preserve">ОД 000012 </v>
      </c>
      <c r="L703" s="15" t="str">
        <f>HYPERLINK("https://drive.google.com/open?id=1VbS6c1PegAYggNmBEyb3Q0PJ8e5dfCzZ","Сертифікат")</f>
        <v>Сертифікат</v>
      </c>
      <c r="M703" s="11" t="s">
        <v>26</v>
      </c>
      <c r="N703" s="10">
        <v>2651.9</v>
      </c>
      <c r="O703" s="10">
        <v>8752</v>
      </c>
      <c r="P703" s="10">
        <v>2</v>
      </c>
      <c r="Q703" s="10">
        <v>85.99</v>
      </c>
      <c r="R703" s="10" t="s">
        <v>66</v>
      </c>
      <c r="S703" s="10">
        <v>166.5</v>
      </c>
      <c r="T703" s="10">
        <v>30.8</v>
      </c>
      <c r="U703" s="29">
        <v>43749</v>
      </c>
      <c r="V703" s="29">
        <v>47401</v>
      </c>
      <c r="W703" s="10" t="s">
        <v>10</v>
      </c>
      <c r="X703" s="10" t="s">
        <v>17</v>
      </c>
    </row>
    <row r="704" spans="1:24" ht="54" customHeight="1" x14ac:dyDescent="0.25">
      <c r="A704" s="10">
        <f t="shared" si="0"/>
        <v>701</v>
      </c>
      <c r="B704" s="11" t="s">
        <v>1908</v>
      </c>
      <c r="C704" s="10" t="s">
        <v>441</v>
      </c>
      <c r="D704" s="47" t="s">
        <v>442</v>
      </c>
      <c r="E704" s="10" t="s">
        <v>0</v>
      </c>
      <c r="F704" s="11" t="s">
        <v>1909</v>
      </c>
      <c r="G704" s="11"/>
      <c r="H704" s="11"/>
      <c r="I704" s="11">
        <v>1978</v>
      </c>
      <c r="J704" s="27" t="s">
        <v>1910</v>
      </c>
      <c r="K704" s="15" t="str">
        <f>HYPERLINK("https://drive.google.com/open?id=15O0yrHsJ1dJ-8aNqd_QMvfT8MS2M_HyM","СБ-0045")</f>
        <v>СБ-0045</v>
      </c>
      <c r="L704" s="15" t="str">
        <f>HYPERLINK("https://drive.google.com/open?id=1Mmq7T03wwjgcVQfYC2IzJW6NQIr8xUoR","Сертифікат")</f>
        <v>Сертифікат</v>
      </c>
      <c r="M704" s="11" t="s">
        <v>24</v>
      </c>
      <c r="N704" s="10">
        <v>5879</v>
      </c>
      <c r="O704" s="10">
        <v>15285.4</v>
      </c>
      <c r="P704" s="10">
        <v>9</v>
      </c>
      <c r="Q704" s="10">
        <v>136.77000000000001</v>
      </c>
      <c r="R704" s="10" t="s">
        <v>57</v>
      </c>
      <c r="S704" s="10">
        <v>271.89999999999998</v>
      </c>
      <c r="T704" s="10">
        <v>51.58</v>
      </c>
      <c r="U704" s="29">
        <v>43741</v>
      </c>
      <c r="V704" s="29">
        <v>47393</v>
      </c>
      <c r="W704" s="10" t="s">
        <v>10</v>
      </c>
      <c r="X704" s="10" t="s">
        <v>17</v>
      </c>
    </row>
    <row r="705" spans="1:24" ht="54" customHeight="1" x14ac:dyDescent="0.25">
      <c r="A705" s="10">
        <f t="shared" si="0"/>
        <v>702</v>
      </c>
      <c r="B705" s="11" t="s">
        <v>1911</v>
      </c>
      <c r="C705" s="10" t="s">
        <v>52</v>
      </c>
      <c r="D705" s="10" t="s">
        <v>52</v>
      </c>
      <c r="E705" s="10" t="s">
        <v>0</v>
      </c>
      <c r="F705" s="11" t="s">
        <v>1912</v>
      </c>
      <c r="G705" s="11"/>
      <c r="H705" s="11"/>
      <c r="I705" s="11">
        <v>1988</v>
      </c>
      <c r="J705" s="11" t="s">
        <v>1913</v>
      </c>
      <c r="K705" s="15" t="str">
        <f>HYPERLINK("https://drive.google.com/open?id=1nqq3jhRKcUE5AuynF5eep42on63-Iy8z","СБ-0059")</f>
        <v>СБ-0059</v>
      </c>
      <c r="L705" s="15" t="str">
        <f>HYPERLINK("https://drive.google.com/open?id=1NBDm8JWcDmu-zgraJNI9mNMgn6oCYPac","Сертифікат")</f>
        <v>Сертифікат</v>
      </c>
      <c r="M705" s="11" t="s">
        <v>26</v>
      </c>
      <c r="N705" s="10">
        <v>10306.5</v>
      </c>
      <c r="O705" s="10">
        <v>28549.1</v>
      </c>
      <c r="P705" s="10">
        <v>16</v>
      </c>
      <c r="Q705" s="10">
        <v>234.2</v>
      </c>
      <c r="R705" s="10" t="s">
        <v>57</v>
      </c>
      <c r="S705" s="10">
        <v>276.10000000000002</v>
      </c>
      <c r="T705" s="10">
        <v>53.3</v>
      </c>
      <c r="U705" s="29">
        <v>43749</v>
      </c>
      <c r="V705" s="29">
        <v>47401</v>
      </c>
      <c r="W705" s="10" t="s">
        <v>10</v>
      </c>
      <c r="X705" s="10" t="s">
        <v>17</v>
      </c>
    </row>
    <row r="706" spans="1:24" ht="54" customHeight="1" x14ac:dyDescent="0.25">
      <c r="A706" s="10">
        <f t="shared" si="0"/>
        <v>703</v>
      </c>
      <c r="B706" s="11" t="s">
        <v>1914</v>
      </c>
      <c r="C706" s="10" t="s">
        <v>357</v>
      </c>
      <c r="D706" s="10" t="s">
        <v>142</v>
      </c>
      <c r="E706" s="10" t="s">
        <v>0</v>
      </c>
      <c r="F706" s="11" t="s">
        <v>1915</v>
      </c>
      <c r="G706" s="11"/>
      <c r="H706" s="11"/>
      <c r="I706" s="11" t="s">
        <v>836</v>
      </c>
      <c r="J706" s="10" t="s">
        <v>668</v>
      </c>
      <c r="K706" s="15" t="str">
        <f>HYPERLINK("https://drive.google.com/open?id=1NSlpy3KnsggBDFhLrg81QLR2deMl7d6Q","АА000077")</f>
        <v>АА000077</v>
      </c>
      <c r="L706" s="15" t="str">
        <f>HYPERLINK("https://drive.google.com/open?id=1GVMdH_V0FF9UnIWq65OU5xXcLQMZpFDv","Сертифікат")</f>
        <v>Сертифікат</v>
      </c>
      <c r="M706" s="11" t="s">
        <v>18</v>
      </c>
      <c r="N706" s="10">
        <v>7518.3</v>
      </c>
      <c r="O706" s="10">
        <v>22184</v>
      </c>
      <c r="P706" s="10">
        <v>10</v>
      </c>
      <c r="Q706" s="10">
        <v>86</v>
      </c>
      <c r="R706" s="10" t="s">
        <v>57</v>
      </c>
      <c r="S706" s="10">
        <v>147.5</v>
      </c>
      <c r="T706" s="10">
        <v>47.1</v>
      </c>
      <c r="U706" s="29">
        <v>43749</v>
      </c>
      <c r="V706" s="29">
        <v>47401</v>
      </c>
      <c r="W706" s="10" t="s">
        <v>10</v>
      </c>
      <c r="X706" s="10" t="s">
        <v>17</v>
      </c>
    </row>
    <row r="707" spans="1:24" ht="54" customHeight="1" x14ac:dyDescent="0.25">
      <c r="A707" s="10">
        <f t="shared" si="0"/>
        <v>704</v>
      </c>
      <c r="B707" s="11" t="s">
        <v>1916</v>
      </c>
      <c r="C707" s="10" t="s">
        <v>1917</v>
      </c>
      <c r="D707" s="10" t="s">
        <v>442</v>
      </c>
      <c r="E707" s="10" t="s">
        <v>3</v>
      </c>
      <c r="F707" s="11" t="s">
        <v>1918</v>
      </c>
      <c r="G707" s="11"/>
      <c r="H707" s="11"/>
      <c r="I707" s="11">
        <v>1981</v>
      </c>
      <c r="J707" s="11" t="s">
        <v>1740</v>
      </c>
      <c r="K707" s="15" t="str">
        <f>HYPERLINK("https://drive.google.com/open?id=1olNXwN6O7EqQ47IkA2pAkSyR84Ia7OFR","ОД 000012 ")</f>
        <v xml:space="preserve">ОД 000012 </v>
      </c>
      <c r="L707" s="15" t="str">
        <f>HYPERLINK("https://drive.google.com/open?id=1b4gvhgmJvDo-_RZIPWgNR7k2nQOUlXFK","Сертифікат")</f>
        <v>Сертифікат</v>
      </c>
      <c r="M707" s="11" t="s">
        <v>26</v>
      </c>
      <c r="N707" s="10">
        <v>1081.9000000000001</v>
      </c>
      <c r="O707" s="10">
        <v>4220</v>
      </c>
      <c r="P707" s="10">
        <v>2</v>
      </c>
      <c r="Q707" s="10">
        <v>116.6</v>
      </c>
      <c r="R707" s="10" t="s">
        <v>66</v>
      </c>
      <c r="S707" s="10">
        <v>200.2</v>
      </c>
      <c r="T707" s="10">
        <v>37.6</v>
      </c>
      <c r="U707" s="29">
        <v>43749</v>
      </c>
      <c r="V707" s="29">
        <v>47401</v>
      </c>
      <c r="W707" s="10" t="s">
        <v>13</v>
      </c>
      <c r="X707" s="10" t="s">
        <v>17</v>
      </c>
    </row>
    <row r="708" spans="1:24" ht="54" customHeight="1" x14ac:dyDescent="0.25">
      <c r="A708" s="10">
        <f t="shared" si="0"/>
        <v>705</v>
      </c>
      <c r="B708" s="11" t="s">
        <v>1919</v>
      </c>
      <c r="C708" s="10" t="s">
        <v>243</v>
      </c>
      <c r="D708" s="10" t="s">
        <v>238</v>
      </c>
      <c r="E708" s="10" t="s">
        <v>7</v>
      </c>
      <c r="F708" s="11" t="s">
        <v>1920</v>
      </c>
      <c r="G708" s="11"/>
      <c r="H708" s="11"/>
      <c r="I708" s="11">
        <v>2007</v>
      </c>
      <c r="J708" s="11" t="s">
        <v>432</v>
      </c>
      <c r="K708" s="15" t="str">
        <f>HYPERLINK("https://drive.google.com/open?id=1euBM6QoP56NhYkl2g8T2IRU9qquzh3C9","АА000006")</f>
        <v>АА000006</v>
      </c>
      <c r="L708" s="15" t="str">
        <f>HYPERLINK("https://drive.google.com/open?id=15F4bauBhOubgoxU1N8YQS46OOZbaMlQA","Сертифікат")</f>
        <v>Сертифікат</v>
      </c>
      <c r="M708" s="11" t="s">
        <v>15</v>
      </c>
      <c r="N708" s="10">
        <v>82617</v>
      </c>
      <c r="O708" s="10">
        <v>530325.9</v>
      </c>
      <c r="P708" s="10">
        <v>4</v>
      </c>
      <c r="Q708" s="10">
        <v>31.1</v>
      </c>
      <c r="R708" s="10" t="s">
        <v>66</v>
      </c>
      <c r="S708" s="10">
        <v>222.56</v>
      </c>
      <c r="T708" s="10">
        <v>44.4</v>
      </c>
      <c r="U708" s="29">
        <v>43749</v>
      </c>
      <c r="V708" s="29">
        <v>47401</v>
      </c>
      <c r="W708" s="10" t="s">
        <v>13</v>
      </c>
      <c r="X708" s="10" t="s">
        <v>17</v>
      </c>
    </row>
    <row r="709" spans="1:24" ht="54" customHeight="1" x14ac:dyDescent="0.25">
      <c r="A709" s="10">
        <f t="shared" si="0"/>
        <v>706</v>
      </c>
      <c r="B709" s="11" t="s">
        <v>1921</v>
      </c>
      <c r="C709" s="10" t="s">
        <v>1683</v>
      </c>
      <c r="D709" s="10" t="s">
        <v>86</v>
      </c>
      <c r="E709" s="10" t="s">
        <v>0</v>
      </c>
      <c r="F709" s="11" t="s">
        <v>1572</v>
      </c>
      <c r="G709" s="11"/>
      <c r="H709" s="11"/>
      <c r="I709" s="11">
        <v>1977</v>
      </c>
      <c r="J709" s="11" t="s">
        <v>1591</v>
      </c>
      <c r="K709" s="15" t="str">
        <f>HYPERLINK("https://drive.google.com/open?id=1Eu3b-SQR6QMzDrWPm53uhmGYQaQSos-l","KPI-CE №000011")</f>
        <v>KPI-CE №000011</v>
      </c>
      <c r="L709" s="15" t="str">
        <f>HYPERLINK("https://drive.google.com/open?id=1zDBSp1vi0oDhjrFic7d-i8uEC9XWbkOR","Сертифікат")</f>
        <v>Сертифікат</v>
      </c>
      <c r="M709" s="11" t="s">
        <v>26</v>
      </c>
      <c r="N709" s="10">
        <v>4641</v>
      </c>
      <c r="O709" s="10">
        <v>13924</v>
      </c>
      <c r="P709" s="31">
        <v>43621</v>
      </c>
      <c r="Q709" s="10">
        <v>181.36</v>
      </c>
      <c r="R709" s="10" t="s">
        <v>57</v>
      </c>
      <c r="S709" s="10">
        <v>289.72000000000003</v>
      </c>
      <c r="T709" s="10">
        <v>121.7</v>
      </c>
      <c r="U709" s="29">
        <v>43752</v>
      </c>
      <c r="V709" s="29">
        <v>47404</v>
      </c>
      <c r="W709" s="10" t="s">
        <v>10</v>
      </c>
      <c r="X709" s="10" t="s">
        <v>17</v>
      </c>
    </row>
    <row r="710" spans="1:24" ht="54" customHeight="1" x14ac:dyDescent="0.25">
      <c r="A710" s="10">
        <f t="shared" si="0"/>
        <v>707</v>
      </c>
      <c r="B710" s="22" t="s">
        <v>1922</v>
      </c>
      <c r="C710" s="47" t="s">
        <v>1923</v>
      </c>
      <c r="D710" s="10" t="s">
        <v>86</v>
      </c>
      <c r="E710" s="10" t="s">
        <v>2</v>
      </c>
      <c r="F710" s="77" t="s">
        <v>1924</v>
      </c>
      <c r="G710" s="11"/>
      <c r="H710" s="11"/>
      <c r="I710" s="11">
        <v>1962</v>
      </c>
      <c r="J710" s="11" t="s">
        <v>240</v>
      </c>
      <c r="K710" s="15" t="s">
        <v>241</v>
      </c>
      <c r="L710" s="15" t="str">
        <f>HYPERLINK("https://drive.google.com/open?id=1DezJwS_YaEpR_ZJUNB9LQArrtgXGVKdG","Сертифікат")</f>
        <v>Сертифікат</v>
      </c>
      <c r="M710" s="11" t="s">
        <v>22</v>
      </c>
      <c r="N710" s="10">
        <v>359.6</v>
      </c>
      <c r="O710" s="10">
        <v>1366.5</v>
      </c>
      <c r="P710" s="10">
        <v>2</v>
      </c>
      <c r="Q710" s="10">
        <v>74.34</v>
      </c>
      <c r="R710" s="10" t="s">
        <v>66</v>
      </c>
      <c r="S710" s="10">
        <v>370.75</v>
      </c>
      <c r="T710" s="10">
        <v>97.69</v>
      </c>
      <c r="U710" s="29">
        <v>43752</v>
      </c>
      <c r="V710" s="29">
        <v>47404</v>
      </c>
      <c r="W710" s="10" t="s">
        <v>10</v>
      </c>
      <c r="X710" s="10" t="s">
        <v>17</v>
      </c>
    </row>
    <row r="711" spans="1:24" ht="54" customHeight="1" x14ac:dyDescent="0.25">
      <c r="A711" s="10">
        <f t="shared" si="0"/>
        <v>708</v>
      </c>
      <c r="B711" s="11" t="s">
        <v>1925</v>
      </c>
      <c r="C711" s="10" t="s">
        <v>243</v>
      </c>
      <c r="D711" s="10" t="s">
        <v>238</v>
      </c>
      <c r="E711" s="10" t="s">
        <v>2</v>
      </c>
      <c r="F711" s="11" t="s">
        <v>1926</v>
      </c>
      <c r="G711" s="11"/>
      <c r="H711" s="11"/>
      <c r="I711" s="11" t="s">
        <v>1927</v>
      </c>
      <c r="J711" s="20" t="s">
        <v>209</v>
      </c>
      <c r="K711" s="15" t="s">
        <v>210</v>
      </c>
      <c r="L711" s="15" t="str">
        <f>HYPERLINK("https://drive.google.com/open?id=1oOr_SnT2l1Dtq2I_uxJSioWBzdy_O8Wn","Сертифікат")</f>
        <v>Сертифікат</v>
      </c>
      <c r="M711" s="11" t="s">
        <v>15</v>
      </c>
      <c r="N711" s="10">
        <v>1787</v>
      </c>
      <c r="O711" s="10">
        <v>7593</v>
      </c>
      <c r="P711" s="10">
        <v>2</v>
      </c>
      <c r="Q711" s="10">
        <v>30</v>
      </c>
      <c r="R711" s="10" t="s">
        <v>66</v>
      </c>
      <c r="S711" s="10">
        <v>432</v>
      </c>
      <c r="T711" s="10">
        <v>79</v>
      </c>
      <c r="U711" s="29">
        <v>43749</v>
      </c>
      <c r="V711" s="29">
        <v>47401</v>
      </c>
      <c r="W711" s="10" t="s">
        <v>13</v>
      </c>
      <c r="X711" s="10" t="s">
        <v>17</v>
      </c>
    </row>
    <row r="712" spans="1:24" ht="54" customHeight="1" x14ac:dyDescent="0.25">
      <c r="A712" s="10">
        <f t="shared" si="0"/>
        <v>709</v>
      </c>
      <c r="B712" s="11" t="s">
        <v>1928</v>
      </c>
      <c r="C712" s="10" t="s">
        <v>243</v>
      </c>
      <c r="D712" s="10" t="s">
        <v>238</v>
      </c>
      <c r="E712" s="10" t="s">
        <v>2</v>
      </c>
      <c r="F712" s="11" t="s">
        <v>1929</v>
      </c>
      <c r="G712" s="11"/>
      <c r="H712" s="11"/>
      <c r="I712" s="11">
        <v>1990</v>
      </c>
      <c r="J712" s="11" t="s">
        <v>908</v>
      </c>
      <c r="K712" s="46" t="s">
        <v>909</v>
      </c>
      <c r="L712" s="15" t="str">
        <f>HYPERLINK("https://drive.google.com/open?id=15qSuVfHz-xZLxBEpt-vfXRaumj8t-Y4-","Сертифікат")</f>
        <v>Сертифікат</v>
      </c>
      <c r="M712" s="11" t="s">
        <v>22</v>
      </c>
      <c r="N712" s="10">
        <v>815.8</v>
      </c>
      <c r="O712" s="10">
        <v>2372</v>
      </c>
      <c r="P712" s="10">
        <v>2</v>
      </c>
      <c r="Q712" s="10">
        <v>87.2</v>
      </c>
      <c r="R712" s="10" t="s">
        <v>66</v>
      </c>
      <c r="S712" s="10">
        <v>334.15</v>
      </c>
      <c r="T712" s="10">
        <v>66.66</v>
      </c>
      <c r="U712" s="29">
        <v>43753</v>
      </c>
      <c r="V712" s="29">
        <v>47405</v>
      </c>
      <c r="W712" s="10" t="s">
        <v>10</v>
      </c>
      <c r="X712" s="10" t="s">
        <v>17</v>
      </c>
    </row>
    <row r="713" spans="1:24" ht="54" customHeight="1" x14ac:dyDescent="0.25">
      <c r="A713" s="10">
        <f t="shared" si="0"/>
        <v>710</v>
      </c>
      <c r="B713" s="11" t="s">
        <v>1930</v>
      </c>
      <c r="C713" s="52" t="s">
        <v>814</v>
      </c>
      <c r="D713" s="47" t="s">
        <v>815</v>
      </c>
      <c r="E713" s="10" t="s">
        <v>4</v>
      </c>
      <c r="F713" s="11" t="s">
        <v>1931</v>
      </c>
      <c r="G713" s="11"/>
      <c r="H713" s="11"/>
      <c r="I713" s="11" t="s">
        <v>1932</v>
      </c>
      <c r="J713" s="27" t="s">
        <v>1094</v>
      </c>
      <c r="K713" s="15" t="str">
        <f>HYPERLINK("https://drive.google.com/open?id=1Qlik4TIJLPoTQ6woAYUYpDbbA-PfyWE1"," AA000059")</f>
        <v xml:space="preserve"> AA000059</v>
      </c>
      <c r="L713" s="15" t="str">
        <f>HYPERLINK("https://drive.google.com/open?id=13XF32Yh-zBK1JnyaA68UkepINZalekzu","Сертифікат")</f>
        <v>Сертифікат</v>
      </c>
      <c r="M713" s="11" t="s">
        <v>24</v>
      </c>
      <c r="N713" s="10">
        <v>2495</v>
      </c>
      <c r="O713" s="10">
        <v>7980</v>
      </c>
      <c r="P713" s="10">
        <v>2</v>
      </c>
      <c r="Q713" s="10">
        <v>87.6</v>
      </c>
      <c r="R713" s="10" t="s">
        <v>66</v>
      </c>
      <c r="S713" s="10">
        <v>401</v>
      </c>
      <c r="T713" s="10">
        <v>79</v>
      </c>
      <c r="U713" s="29">
        <v>43752</v>
      </c>
      <c r="V713" s="29">
        <v>47404</v>
      </c>
      <c r="W713" s="10" t="s">
        <v>10</v>
      </c>
      <c r="X713" s="10" t="s">
        <v>17</v>
      </c>
    </row>
    <row r="714" spans="1:24" ht="54" customHeight="1" x14ac:dyDescent="0.25">
      <c r="A714" s="10">
        <f t="shared" si="0"/>
        <v>711</v>
      </c>
      <c r="B714" s="11" t="s">
        <v>1933</v>
      </c>
      <c r="C714" s="47" t="s">
        <v>357</v>
      </c>
      <c r="D714" s="10" t="s">
        <v>142</v>
      </c>
      <c r="E714" s="10" t="s">
        <v>0</v>
      </c>
      <c r="F714" s="11" t="s">
        <v>1934</v>
      </c>
      <c r="G714" s="11"/>
      <c r="H714" s="11"/>
      <c r="I714" s="11" t="s">
        <v>1935</v>
      </c>
      <c r="J714" s="11" t="s">
        <v>93</v>
      </c>
      <c r="K714" s="15" t="str">
        <f>HYPERLINK("https://drive.google.com/open?id=16knL7rF64EXtCB0-Ch1v5DtfiE2GYjkB"," ЕЕ-002-10-18 ")</f>
        <v xml:space="preserve"> ЕЕ-002-10-18 </v>
      </c>
      <c r="L714" s="15" t="str">
        <f>HYPERLINK("https://drive.google.com/open?id=1yE7SeP8czA2j2nROCcnOuQPR7EAHpXyr","Сертифікат")</f>
        <v>Сертифікат</v>
      </c>
      <c r="M714" s="11" t="s">
        <v>20</v>
      </c>
      <c r="N714" s="10">
        <v>5294.6</v>
      </c>
      <c r="O714" s="10">
        <v>16287.7</v>
      </c>
      <c r="P714" s="10">
        <v>10</v>
      </c>
      <c r="Q714" s="10">
        <v>104.9</v>
      </c>
      <c r="R714" s="10" t="s">
        <v>57</v>
      </c>
      <c r="S714" s="10">
        <v>152</v>
      </c>
      <c r="T714" s="10">
        <v>30</v>
      </c>
      <c r="U714" s="29">
        <v>43749</v>
      </c>
      <c r="V714" s="29">
        <v>47401</v>
      </c>
      <c r="W714" s="10" t="s">
        <v>13</v>
      </c>
      <c r="X714" s="10" t="s">
        <v>17</v>
      </c>
    </row>
    <row r="715" spans="1:24" ht="54" customHeight="1" x14ac:dyDescent="0.25">
      <c r="A715" s="10">
        <f t="shared" si="0"/>
        <v>712</v>
      </c>
      <c r="B715" s="11" t="s">
        <v>1936</v>
      </c>
      <c r="C715" s="10" t="s">
        <v>1937</v>
      </c>
      <c r="D715" s="10" t="s">
        <v>86</v>
      </c>
      <c r="E715" s="10" t="s">
        <v>0</v>
      </c>
      <c r="F715" s="11" t="s">
        <v>0</v>
      </c>
      <c r="G715" s="11"/>
      <c r="H715" s="11"/>
      <c r="I715" s="11" t="s">
        <v>836</v>
      </c>
      <c r="J715" s="11" t="s">
        <v>1938</v>
      </c>
      <c r="K715" s="15" t="str">
        <f>HYPERLINK("https://drive.google.com/open?id=1ux3TUjcSr_mQlpwM_YWEvaLnTJhO1_Y4","АА000010")</f>
        <v>АА000010</v>
      </c>
      <c r="L715" s="15" t="str">
        <f>HYPERLINK("https://drive.google.com/open?id=1HYooXMz_mSQOY9Jmdr7Cul4hI1SpNNo-","Сертифікат")</f>
        <v>Сертифікат</v>
      </c>
      <c r="M715" s="11" t="s">
        <v>18</v>
      </c>
      <c r="N715" s="10">
        <v>3530</v>
      </c>
      <c r="O715" s="10">
        <v>10590</v>
      </c>
      <c r="P715" s="10">
        <v>4</v>
      </c>
      <c r="Q715" s="10">
        <v>86.42</v>
      </c>
      <c r="R715" s="10" t="s">
        <v>57</v>
      </c>
      <c r="S715" s="10">
        <v>98.96</v>
      </c>
      <c r="T715" s="10">
        <v>23.26</v>
      </c>
      <c r="U715" s="29">
        <v>43748</v>
      </c>
      <c r="V715" s="29">
        <v>47400</v>
      </c>
      <c r="W715" s="10" t="s">
        <v>13</v>
      </c>
      <c r="X715" s="10" t="s">
        <v>17</v>
      </c>
    </row>
    <row r="716" spans="1:24" ht="54" customHeight="1" x14ac:dyDescent="0.25">
      <c r="A716" s="10">
        <f t="shared" si="0"/>
        <v>713</v>
      </c>
      <c r="B716" s="11" t="s">
        <v>1939</v>
      </c>
      <c r="C716" s="10" t="s">
        <v>1937</v>
      </c>
      <c r="D716" s="10" t="s">
        <v>86</v>
      </c>
      <c r="E716" s="10" t="s">
        <v>2</v>
      </c>
      <c r="F716" s="11" t="s">
        <v>1940</v>
      </c>
      <c r="G716" s="11"/>
      <c r="H716" s="11"/>
      <c r="I716" s="11">
        <v>1991</v>
      </c>
      <c r="J716" s="11" t="s">
        <v>240</v>
      </c>
      <c r="K716" s="15" t="s">
        <v>241</v>
      </c>
      <c r="L716" s="15" t="str">
        <f>HYPERLINK("https://drive.google.com/open?id=1CtXSUqN-DkO1P4UX6_U0gwLojYq1hMom","Сертифікат")</f>
        <v>Сертифікат</v>
      </c>
      <c r="M716" s="11" t="s">
        <v>22</v>
      </c>
      <c r="N716" s="10">
        <v>1240</v>
      </c>
      <c r="O716" s="10">
        <v>4092</v>
      </c>
      <c r="P716" s="10">
        <v>2</v>
      </c>
      <c r="Q716" s="10">
        <v>80.14</v>
      </c>
      <c r="R716" s="10" t="s">
        <v>66</v>
      </c>
      <c r="S716" s="10">
        <v>296.62</v>
      </c>
      <c r="T716" s="10">
        <v>104.58</v>
      </c>
      <c r="U716" s="29">
        <v>43752</v>
      </c>
      <c r="V716" s="29">
        <v>43752</v>
      </c>
      <c r="W716" s="10" t="s">
        <v>10</v>
      </c>
      <c r="X716" s="10" t="s">
        <v>17</v>
      </c>
    </row>
    <row r="717" spans="1:24" ht="54" customHeight="1" x14ac:dyDescent="0.25">
      <c r="A717" s="10">
        <f t="shared" si="0"/>
        <v>714</v>
      </c>
      <c r="B717" s="11" t="s">
        <v>1941</v>
      </c>
      <c r="C717" s="10" t="s">
        <v>284</v>
      </c>
      <c r="D717" s="10" t="s">
        <v>285</v>
      </c>
      <c r="E717" s="10" t="s">
        <v>0</v>
      </c>
      <c r="F717" s="11" t="s">
        <v>1942</v>
      </c>
      <c r="G717" s="11"/>
      <c r="H717" s="11"/>
      <c r="I717" s="11">
        <v>1991</v>
      </c>
      <c r="J717" s="11" t="s">
        <v>1943</v>
      </c>
      <c r="K717" s="15" t="str">
        <f>HYPERLINK("https://drive.google.com/open?id=1KDbRWIJ2_1eEIhfRT3nDnUfkw9fBa1aQ","024-19/Е")</f>
        <v>024-19/Е</v>
      </c>
      <c r="L717" s="15" t="str">
        <f>HYPERLINK("https://drive.google.com/open?id=1w5xav9pCxDBgvSiArvBhgUzsdbBayphT","Сертифікат")</f>
        <v>Сертифікат</v>
      </c>
      <c r="M717" s="11" t="s">
        <v>24</v>
      </c>
      <c r="N717" s="10">
        <v>6669.3</v>
      </c>
      <c r="O717" s="10">
        <v>18593</v>
      </c>
      <c r="P717" s="10">
        <v>9</v>
      </c>
      <c r="Q717" s="10">
        <v>141</v>
      </c>
      <c r="R717" s="10" t="s">
        <v>57</v>
      </c>
      <c r="S717" s="10">
        <v>231.3</v>
      </c>
      <c r="T717" s="10">
        <v>43.7</v>
      </c>
      <c r="U717" s="29">
        <v>43753</v>
      </c>
      <c r="V717" s="29">
        <v>47405</v>
      </c>
      <c r="W717" s="10" t="s">
        <v>10</v>
      </c>
      <c r="X717" s="10" t="s">
        <v>17</v>
      </c>
    </row>
    <row r="718" spans="1:24" ht="54" customHeight="1" x14ac:dyDescent="0.25">
      <c r="A718" s="10">
        <f t="shared" si="0"/>
        <v>715</v>
      </c>
      <c r="B718" s="11" t="s">
        <v>1944</v>
      </c>
      <c r="C718" s="10" t="s">
        <v>243</v>
      </c>
      <c r="D718" s="10" t="s">
        <v>238</v>
      </c>
      <c r="E718" s="10" t="s">
        <v>2</v>
      </c>
      <c r="F718" s="11" t="s">
        <v>1945</v>
      </c>
      <c r="G718" s="11"/>
      <c r="H718" s="11"/>
      <c r="I718" s="11" t="s">
        <v>1946</v>
      </c>
      <c r="J718" s="11" t="s">
        <v>209</v>
      </c>
      <c r="K718" s="15" t="s">
        <v>210</v>
      </c>
      <c r="L718" s="15" t="str">
        <f>HYPERLINK("https://drive.google.com/open?id=1yBAMuUz7wgIu0jIznOkFTuob4jj9lYeV","Сертифікат")</f>
        <v>Сертифікат</v>
      </c>
      <c r="M718" s="11" t="s">
        <v>15</v>
      </c>
      <c r="N718" s="10">
        <v>1379</v>
      </c>
      <c r="O718" s="10">
        <v>4276</v>
      </c>
      <c r="P718" s="10">
        <v>1</v>
      </c>
      <c r="Q718" s="10">
        <v>48</v>
      </c>
      <c r="R718" s="10" t="s">
        <v>66</v>
      </c>
      <c r="S718" s="10">
        <v>492</v>
      </c>
      <c r="T718" s="10">
        <v>91</v>
      </c>
      <c r="U718" s="29">
        <v>43748</v>
      </c>
      <c r="V718" s="29">
        <v>47400</v>
      </c>
      <c r="W718" s="10" t="s">
        <v>10</v>
      </c>
      <c r="X718" s="10" t="s">
        <v>17</v>
      </c>
    </row>
    <row r="719" spans="1:24" ht="54" customHeight="1" x14ac:dyDescent="0.25">
      <c r="A719" s="10">
        <f t="shared" si="0"/>
        <v>716</v>
      </c>
      <c r="B719" s="11" t="s">
        <v>1947</v>
      </c>
      <c r="C719" s="10" t="s">
        <v>1948</v>
      </c>
      <c r="D719" s="10" t="s">
        <v>142</v>
      </c>
      <c r="E719" s="10" t="s">
        <v>0</v>
      </c>
      <c r="F719" s="11" t="s">
        <v>1949</v>
      </c>
      <c r="G719" s="11"/>
      <c r="H719" s="11"/>
      <c r="I719" s="11">
        <v>1980</v>
      </c>
      <c r="J719" s="11" t="s">
        <v>1950</v>
      </c>
      <c r="K719" s="15" t="str">
        <f>HYPERLINK("https://drive.google.com/open?id=1VJQzachoPV6RuQQdauZ7MVrxqnU4ohmt","ЕЕ-004-10-18")</f>
        <v>ЕЕ-004-10-18</v>
      </c>
      <c r="L719" s="15" t="str">
        <f>HYPERLINK("https://drive.google.com/open?id=1H5Sq3hPiSAr5069o1hCdcU_G-YOfWZsa","Сертифікат")</f>
        <v>Сертифікат</v>
      </c>
      <c r="M719" s="11" t="s">
        <v>26</v>
      </c>
      <c r="N719" s="10">
        <v>4053</v>
      </c>
      <c r="O719" s="10">
        <v>11144</v>
      </c>
      <c r="P719" s="10">
        <v>5</v>
      </c>
      <c r="Q719" s="10">
        <v>227.1</v>
      </c>
      <c r="R719" s="10" t="s">
        <v>57</v>
      </c>
      <c r="S719" s="10">
        <v>399</v>
      </c>
      <c r="T719" s="10">
        <v>77</v>
      </c>
      <c r="U719" s="29">
        <v>43752</v>
      </c>
      <c r="V719" s="29">
        <v>47404</v>
      </c>
      <c r="W719" s="10" t="s">
        <v>10</v>
      </c>
      <c r="X719" s="10" t="s">
        <v>17</v>
      </c>
    </row>
    <row r="720" spans="1:24" ht="54" customHeight="1" x14ac:dyDescent="0.25">
      <c r="A720" s="10">
        <f t="shared" si="0"/>
        <v>717</v>
      </c>
      <c r="B720" s="11" t="s">
        <v>1951</v>
      </c>
      <c r="C720" s="24" t="s">
        <v>1952</v>
      </c>
      <c r="D720" s="10" t="s">
        <v>69</v>
      </c>
      <c r="E720" s="10" t="s">
        <v>2</v>
      </c>
      <c r="F720" s="11" t="s">
        <v>1953</v>
      </c>
      <c r="G720" s="11"/>
      <c r="H720" s="11"/>
      <c r="I720" s="11">
        <v>2019</v>
      </c>
      <c r="J720" s="10" t="s">
        <v>609</v>
      </c>
      <c r="K720" s="15" t="str">
        <f>HYPERLINK("https://drive.google.com/open?id=1MmGP6rtYcZwVyIqDA-ykUrezieQsOMPg","ОД 000024")</f>
        <v>ОД 000024</v>
      </c>
      <c r="L720" s="15" t="str">
        <f>HYPERLINK("https://drive.google.com/open?id=1aByJIFP8eP6vovOWe4P83c2GJo5-u5fD","Сертифікат")</f>
        <v>Сертифікат</v>
      </c>
      <c r="M720" s="11" t="s">
        <v>20</v>
      </c>
      <c r="N720" s="10">
        <v>507.6</v>
      </c>
      <c r="O720" s="10">
        <v>1821.6</v>
      </c>
      <c r="P720" s="10">
        <v>2</v>
      </c>
      <c r="Q720" s="10">
        <v>60.8</v>
      </c>
      <c r="R720" s="10" t="s">
        <v>66</v>
      </c>
      <c r="S720" s="10">
        <v>213.2</v>
      </c>
      <c r="T720" s="10">
        <v>39.6</v>
      </c>
      <c r="U720" s="29">
        <v>43745</v>
      </c>
      <c r="V720" s="29">
        <v>47397</v>
      </c>
      <c r="W720" s="10" t="s">
        <v>13</v>
      </c>
      <c r="X720" s="10" t="s">
        <v>17</v>
      </c>
    </row>
    <row r="721" spans="1:24" ht="54" customHeight="1" x14ac:dyDescent="0.25">
      <c r="A721" s="10">
        <f t="shared" si="0"/>
        <v>718</v>
      </c>
      <c r="B721" s="11" t="s">
        <v>1954</v>
      </c>
      <c r="C721" s="10" t="s">
        <v>1955</v>
      </c>
      <c r="D721" s="24" t="s">
        <v>142</v>
      </c>
      <c r="E721" s="10" t="s">
        <v>2</v>
      </c>
      <c r="F721" s="11" t="s">
        <v>1956</v>
      </c>
      <c r="G721" s="11"/>
      <c r="H721" s="11"/>
      <c r="I721" s="11">
        <v>1982</v>
      </c>
      <c r="J721" s="11" t="s">
        <v>1285</v>
      </c>
      <c r="K721" s="15" t="s">
        <v>1286</v>
      </c>
      <c r="L721" s="15" t="str">
        <f>HYPERLINK("https://drive.google.com/open?id=1VnUpzcpehs2EDcj4baEAarw-eSHuZKXk","Сертифікат")</f>
        <v>Сертифікат</v>
      </c>
      <c r="M721" s="11" t="s">
        <v>26</v>
      </c>
      <c r="N721" s="10">
        <v>748</v>
      </c>
      <c r="O721" s="10" t="s">
        <v>1957</v>
      </c>
      <c r="P721" s="10">
        <v>2</v>
      </c>
      <c r="Q721" s="10">
        <v>127</v>
      </c>
      <c r="R721" s="10" t="s">
        <v>66</v>
      </c>
      <c r="S721" s="10">
        <v>479</v>
      </c>
      <c r="T721" s="10">
        <v>95</v>
      </c>
      <c r="U721" s="29">
        <v>43753</v>
      </c>
      <c r="V721" s="29">
        <v>47405</v>
      </c>
      <c r="W721" s="10" t="s">
        <v>10</v>
      </c>
      <c r="X721" s="10" t="s">
        <v>17</v>
      </c>
    </row>
    <row r="722" spans="1:24" ht="54" customHeight="1" x14ac:dyDescent="0.25">
      <c r="A722" s="10">
        <f t="shared" si="0"/>
        <v>719</v>
      </c>
      <c r="B722" s="11" t="s">
        <v>1939</v>
      </c>
      <c r="C722" s="10" t="s">
        <v>1937</v>
      </c>
      <c r="D722" s="10" t="s">
        <v>86</v>
      </c>
      <c r="E722" s="10" t="s">
        <v>2</v>
      </c>
      <c r="F722" s="11" t="s">
        <v>1958</v>
      </c>
      <c r="G722" s="11"/>
      <c r="H722" s="11"/>
      <c r="I722" s="11">
        <v>1991</v>
      </c>
      <c r="J722" s="11" t="s">
        <v>240</v>
      </c>
      <c r="K722" s="15" t="str">
        <f>HYPERLINK("https://drive.google.com/open?id=1bdfPcoVY7gGnfSqAUR9FcOU1nrSE71tH","АА000020")</f>
        <v>АА000020</v>
      </c>
      <c r="L722" s="15" t="str">
        <f>HYPERLINK("https://drive.google.com/open?id=1f-Eu87RdeOn6Nqc_8XLO0EezYFsdpLcF","Сертифікат")</f>
        <v>Сертифікат</v>
      </c>
      <c r="M722" s="11" t="s">
        <v>22</v>
      </c>
      <c r="N722" s="10">
        <v>1240</v>
      </c>
      <c r="O722" s="10">
        <v>4092</v>
      </c>
      <c r="P722" s="10">
        <v>2</v>
      </c>
      <c r="Q722" s="10">
        <v>80.14</v>
      </c>
      <c r="R722" s="10" t="s">
        <v>66</v>
      </c>
      <c r="S722" s="10">
        <v>296.62</v>
      </c>
      <c r="T722" s="10">
        <v>104.58</v>
      </c>
      <c r="U722" s="29">
        <v>43752</v>
      </c>
      <c r="V722" s="29">
        <v>47404</v>
      </c>
      <c r="W722" s="10" t="s">
        <v>10</v>
      </c>
      <c r="X722" s="10" t="s">
        <v>17</v>
      </c>
    </row>
    <row r="723" spans="1:24" ht="54" customHeight="1" x14ac:dyDescent="0.25">
      <c r="A723" s="10">
        <f t="shared" si="0"/>
        <v>720</v>
      </c>
      <c r="B723" s="11" t="s">
        <v>1959</v>
      </c>
      <c r="C723" s="10" t="s">
        <v>1960</v>
      </c>
      <c r="D723" s="10" t="s">
        <v>75</v>
      </c>
      <c r="E723" s="10" t="s">
        <v>4</v>
      </c>
      <c r="F723" s="11" t="s">
        <v>1961</v>
      </c>
      <c r="G723" s="11"/>
      <c r="H723" s="11"/>
      <c r="I723" s="11" t="s">
        <v>1962</v>
      </c>
      <c r="J723" s="11" t="s">
        <v>642</v>
      </c>
      <c r="K723" s="15" t="str">
        <f>HYPERLINK("https://drive.google.com/open?id=1cxGxrVWMvCNlS6TwjKIt2Jn85z6h57TB","ЕЕ-036-05-19")</f>
        <v>ЕЕ-036-05-19</v>
      </c>
      <c r="L723" s="15" t="str">
        <f>HYPERLINK("https://drive.google.com/open?id=1ykH2rDUwRhMHQW39KaXY6CbFm1YqTdt7","Сертифікат")</f>
        <v>Сертифікат</v>
      </c>
      <c r="M723" s="11" t="s">
        <v>24</v>
      </c>
      <c r="N723" s="10">
        <v>1597</v>
      </c>
      <c r="O723" s="10">
        <v>5450</v>
      </c>
      <c r="P723" s="10">
        <v>2</v>
      </c>
      <c r="Q723" s="10">
        <v>86.4</v>
      </c>
      <c r="R723" s="10" t="s">
        <v>57</v>
      </c>
      <c r="S723" s="10">
        <v>135</v>
      </c>
      <c r="T723" s="10">
        <v>32</v>
      </c>
      <c r="U723" s="29">
        <v>43749</v>
      </c>
      <c r="V723" s="29">
        <v>47401</v>
      </c>
      <c r="W723" s="10" t="s">
        <v>10</v>
      </c>
      <c r="X723" s="10" t="s">
        <v>17</v>
      </c>
    </row>
    <row r="724" spans="1:24" ht="54" customHeight="1" x14ac:dyDescent="0.25">
      <c r="A724" s="10">
        <f t="shared" si="0"/>
        <v>721</v>
      </c>
      <c r="B724" s="11" t="s">
        <v>1963</v>
      </c>
      <c r="C724" s="10" t="s">
        <v>1581</v>
      </c>
      <c r="D724" s="10" t="s">
        <v>86</v>
      </c>
      <c r="E724" s="10" t="s">
        <v>0</v>
      </c>
      <c r="F724" s="11" t="s">
        <v>1964</v>
      </c>
      <c r="G724" s="11"/>
      <c r="H724" s="11"/>
      <c r="I724" s="11" t="s">
        <v>1962</v>
      </c>
      <c r="J724" s="11" t="s">
        <v>1785</v>
      </c>
      <c r="K724" s="15" t="str">
        <f>HYPERLINK("https://drive.google.com/open?id=15Xk3uo5qG9oRKI9grUcCoqrWkkn8yxac","ОД 02071010/0297-19")</f>
        <v>ОД 02071010/0297-19</v>
      </c>
      <c r="L724" s="15" t="str">
        <f>HYPERLINK("https://drive.google.com/open?id=17FHFGVDbqZxYR81kY2Q0pJLGPKi1byxT","Сертифікат")</f>
        <v>Сертифікат</v>
      </c>
      <c r="M724" s="11" t="s">
        <v>22</v>
      </c>
      <c r="N724" s="10">
        <v>5070</v>
      </c>
      <c r="O724" s="10">
        <v>15769</v>
      </c>
      <c r="P724" s="10">
        <v>8</v>
      </c>
      <c r="Q724" s="10">
        <v>124.8</v>
      </c>
      <c r="R724" s="10" t="s">
        <v>57</v>
      </c>
      <c r="S724" s="10">
        <v>166.3</v>
      </c>
      <c r="T724" s="10">
        <v>32.700000000000003</v>
      </c>
      <c r="U724" s="29">
        <v>43754</v>
      </c>
      <c r="V724" s="29">
        <v>47406</v>
      </c>
      <c r="W724" s="10" t="s">
        <v>13</v>
      </c>
      <c r="X724" s="10" t="s">
        <v>17</v>
      </c>
    </row>
    <row r="725" spans="1:24" ht="54" customHeight="1" x14ac:dyDescent="0.25">
      <c r="A725" s="10">
        <f t="shared" si="0"/>
        <v>722</v>
      </c>
      <c r="B725" s="27" t="s">
        <v>1965</v>
      </c>
      <c r="C725" s="47" t="s">
        <v>74</v>
      </c>
      <c r="D725" s="10" t="s">
        <v>75</v>
      </c>
      <c r="E725" s="10" t="s">
        <v>0</v>
      </c>
      <c r="F725" s="27" t="s">
        <v>1966</v>
      </c>
      <c r="G725" s="11"/>
      <c r="H725" s="11"/>
      <c r="I725" s="11" t="s">
        <v>1967</v>
      </c>
      <c r="J725" s="11" t="s">
        <v>1617</v>
      </c>
      <c r="K725" s="51" t="s">
        <v>1968</v>
      </c>
      <c r="L725" s="65" t="str">
        <f>HYPERLINK("https://drive.google.com/open?id=1p5yKd0MlSHj6-M2R5rJNSEyjONavcsey","Сертифікат")</f>
        <v>Сертифікат</v>
      </c>
      <c r="M725" s="11" t="s">
        <v>18</v>
      </c>
      <c r="N725" s="57">
        <v>3320.78</v>
      </c>
      <c r="O725" s="63">
        <v>9962.34</v>
      </c>
      <c r="P725" s="10">
        <v>2</v>
      </c>
      <c r="Q725" s="57">
        <v>130.69999999999999</v>
      </c>
      <c r="R725" s="10" t="s">
        <v>57</v>
      </c>
      <c r="S725" s="57">
        <v>157.69999999999999</v>
      </c>
      <c r="T725" s="10">
        <v>31.3</v>
      </c>
      <c r="U725" s="29">
        <v>43754</v>
      </c>
      <c r="V725" s="29">
        <v>47406</v>
      </c>
      <c r="W725" s="10" t="s">
        <v>10</v>
      </c>
      <c r="X725" s="10" t="s">
        <v>17</v>
      </c>
    </row>
    <row r="726" spans="1:24" ht="54" customHeight="1" x14ac:dyDescent="0.25">
      <c r="A726" s="10">
        <f t="shared" si="0"/>
        <v>723</v>
      </c>
      <c r="B726" s="11" t="s">
        <v>1969</v>
      </c>
      <c r="C726" s="10" t="s">
        <v>647</v>
      </c>
      <c r="D726" s="10" t="s">
        <v>648</v>
      </c>
      <c r="E726" s="10" t="s">
        <v>0</v>
      </c>
      <c r="F726" s="11" t="s">
        <v>1009</v>
      </c>
      <c r="G726" s="11"/>
      <c r="H726" s="11"/>
      <c r="I726" s="11" t="s">
        <v>1970</v>
      </c>
      <c r="J726" s="11" t="s">
        <v>432</v>
      </c>
      <c r="K726" s="15" t="str">
        <f>HYPERLINK("https://drive.google.com/open?id=1euBM6QoP56NhYkl2g8T2IRU9qquzh3C9","АА000006")</f>
        <v>АА000006</v>
      </c>
      <c r="L726" s="15" t="str">
        <f>HYPERLINK("https://drive.google.com/open?id=1KEKtNZWp0yyXwoMFfxemXegV9-0u7-ft","Сертифікат")</f>
        <v>Сертифікат</v>
      </c>
      <c r="M726" s="11" t="s">
        <v>18</v>
      </c>
      <c r="N726" s="10">
        <v>2753</v>
      </c>
      <c r="O726" s="10">
        <v>7708.4</v>
      </c>
      <c r="P726" s="10">
        <v>5</v>
      </c>
      <c r="Q726" s="10">
        <v>80.12</v>
      </c>
      <c r="R726" s="10" t="s">
        <v>57</v>
      </c>
      <c r="S726" s="10">
        <v>146.78</v>
      </c>
      <c r="T726" s="10">
        <v>24.07</v>
      </c>
      <c r="U726" s="29">
        <v>43754</v>
      </c>
      <c r="V726" s="29">
        <v>47406</v>
      </c>
      <c r="W726" s="10" t="s">
        <v>13</v>
      </c>
      <c r="X726" s="10" t="s">
        <v>17</v>
      </c>
    </row>
    <row r="727" spans="1:24" ht="54" customHeight="1" x14ac:dyDescent="0.25">
      <c r="A727" s="10">
        <f t="shared" si="0"/>
        <v>724</v>
      </c>
      <c r="B727" s="11" t="s">
        <v>1971</v>
      </c>
      <c r="C727" s="10" t="s">
        <v>1972</v>
      </c>
      <c r="D727" s="10" t="s">
        <v>86</v>
      </c>
      <c r="E727" s="10" t="s">
        <v>2</v>
      </c>
      <c r="F727" s="11" t="s">
        <v>1973</v>
      </c>
      <c r="G727" s="11"/>
      <c r="H727" s="11"/>
      <c r="I727" s="11">
        <v>1962</v>
      </c>
      <c r="J727" s="11" t="s">
        <v>240</v>
      </c>
      <c r="K727" s="15" t="str">
        <f t="shared" ref="K727:K728" si="51">HYPERLINK("https://drive.google.com/open?id=1bdfPcoVY7gGnfSqAUR9FcOU1nrSE71tH","АА000020")</f>
        <v>АА000020</v>
      </c>
      <c r="L727" s="15" t="str">
        <f>HYPERLINK("https://drive.google.com/open?id=1MI0uP8uMACnpRHnn81wNv3MrjIwiN6NM","Сертифікат")</f>
        <v>Сертифікат</v>
      </c>
      <c r="M727" s="11" t="s">
        <v>22</v>
      </c>
      <c r="N727" s="10">
        <v>936.8</v>
      </c>
      <c r="O727" s="10">
        <v>3606.68</v>
      </c>
      <c r="P727" s="10">
        <v>2</v>
      </c>
      <c r="Q727" s="10">
        <v>86.43</v>
      </c>
      <c r="R727" s="10" t="s">
        <v>66</v>
      </c>
      <c r="S727" s="10">
        <v>437.43</v>
      </c>
      <c r="T727" s="10">
        <v>115.52</v>
      </c>
      <c r="U727" s="29">
        <v>43752</v>
      </c>
      <c r="V727" s="29">
        <v>47404</v>
      </c>
      <c r="W727" s="10" t="s">
        <v>10</v>
      </c>
      <c r="X727" s="10" t="s">
        <v>17</v>
      </c>
    </row>
    <row r="728" spans="1:24" ht="54" customHeight="1" x14ac:dyDescent="0.25">
      <c r="A728" s="10">
        <f t="shared" si="0"/>
        <v>725</v>
      </c>
      <c r="B728" s="11" t="s">
        <v>1974</v>
      </c>
      <c r="C728" s="10" t="s">
        <v>1975</v>
      </c>
      <c r="D728" s="10" t="s">
        <v>86</v>
      </c>
      <c r="E728" s="10" t="s">
        <v>2</v>
      </c>
      <c r="F728" s="11" t="s">
        <v>1976</v>
      </c>
      <c r="G728" s="11"/>
      <c r="H728" s="11"/>
      <c r="I728" s="11">
        <v>1939</v>
      </c>
      <c r="J728" s="11" t="s">
        <v>240</v>
      </c>
      <c r="K728" s="15" t="str">
        <f t="shared" si="51"/>
        <v>АА000020</v>
      </c>
      <c r="L728" s="15" t="str">
        <f>HYPERLINK("https://drive.google.com/open?id=1znOYP1HGxP9ZxjsgeolmW0VALNAkQtlc","Сертифікат")</f>
        <v>Сертифікат</v>
      </c>
      <c r="M728" s="11" t="s">
        <v>22</v>
      </c>
      <c r="N728" s="10">
        <v>825.3</v>
      </c>
      <c r="O728" s="10">
        <v>3006.33</v>
      </c>
      <c r="P728" s="10">
        <v>2</v>
      </c>
      <c r="Q728" s="10">
        <v>79.180000000000007</v>
      </c>
      <c r="R728" s="10" t="s">
        <v>66</v>
      </c>
      <c r="S728" s="10">
        <v>324.20999999999998</v>
      </c>
      <c r="T728" s="10">
        <v>73.989999999999995</v>
      </c>
      <c r="U728" s="45">
        <v>43755</v>
      </c>
      <c r="V728" s="29">
        <v>47407</v>
      </c>
      <c r="W728" s="10" t="s">
        <v>10</v>
      </c>
      <c r="X728" s="10" t="s">
        <v>17</v>
      </c>
    </row>
    <row r="729" spans="1:24" ht="54" customHeight="1" x14ac:dyDescent="0.25">
      <c r="A729" s="10">
        <f t="shared" si="0"/>
        <v>726</v>
      </c>
      <c r="B729" s="11" t="s">
        <v>1977</v>
      </c>
      <c r="C729" s="10" t="s">
        <v>773</v>
      </c>
      <c r="D729" s="10" t="s">
        <v>247</v>
      </c>
      <c r="E729" s="10" t="s">
        <v>2</v>
      </c>
      <c r="F729" s="11" t="s">
        <v>1978</v>
      </c>
      <c r="G729" s="11"/>
      <c r="H729" s="11"/>
      <c r="I729" s="11" t="s">
        <v>1970</v>
      </c>
      <c r="J729" s="11" t="s">
        <v>1979</v>
      </c>
      <c r="K729" s="15" t="str">
        <f>HYPERLINK("https://drive.google.com/open?id=1U8E2QZc2aVkLefu0bMtcU-m1DwZhYzUD","АА000075")</f>
        <v>АА000075</v>
      </c>
      <c r="L729" s="15" t="str">
        <f>HYPERLINK("https://drive.google.com/open?id=1nd2Ml1BEXv6F07U-ieUmupr75fmhKJRo","Сертифікат")</f>
        <v>Сертифікат</v>
      </c>
      <c r="M729" s="11" t="s">
        <v>15</v>
      </c>
      <c r="N729" s="10">
        <v>2812</v>
      </c>
      <c r="O729" s="10">
        <v>9286</v>
      </c>
      <c r="P729" s="10">
        <v>3</v>
      </c>
      <c r="Q729" s="10">
        <v>36.5</v>
      </c>
      <c r="R729" s="10" t="s">
        <v>66</v>
      </c>
      <c r="S729" s="10">
        <v>254</v>
      </c>
      <c r="T729" s="10">
        <v>49</v>
      </c>
      <c r="U729" s="29">
        <v>43755</v>
      </c>
      <c r="V729" s="29">
        <v>47407</v>
      </c>
      <c r="W729" s="10" t="s">
        <v>13</v>
      </c>
      <c r="X729" s="10" t="s">
        <v>17</v>
      </c>
    </row>
    <row r="730" spans="1:24" ht="54" customHeight="1" x14ac:dyDescent="0.25">
      <c r="A730" s="10">
        <f t="shared" si="0"/>
        <v>727</v>
      </c>
      <c r="B730" s="11" t="s">
        <v>1980</v>
      </c>
      <c r="C730" s="47" t="s">
        <v>1981</v>
      </c>
      <c r="D730" s="10" t="s">
        <v>86</v>
      </c>
      <c r="E730" s="10" t="s">
        <v>3</v>
      </c>
      <c r="F730" s="11" t="s">
        <v>1897</v>
      </c>
      <c r="G730" s="11"/>
      <c r="H730" s="11"/>
      <c r="I730" s="11">
        <v>1961</v>
      </c>
      <c r="J730" s="11" t="s">
        <v>1160</v>
      </c>
      <c r="K730" s="15" t="str">
        <f>HYPERLINK("https://drive.google.com/open?id=1Xvt1WHN4a3lh1GkA7Hg2sSdXHdM5XEXy","АР 000072")</f>
        <v>АР 000072</v>
      </c>
      <c r="L730" s="15" t="str">
        <f>HYPERLINK("https://drive.google.com/open?id=1OH2b3oCR_JLkARp0V76fpLBjTFxAl6Yd","Сертифікат")</f>
        <v>Сертифікат</v>
      </c>
      <c r="M730" s="11" t="s">
        <v>26</v>
      </c>
      <c r="N730" s="10">
        <v>609.53</v>
      </c>
      <c r="O730" s="10">
        <v>2285.73</v>
      </c>
      <c r="P730" s="10">
        <v>1</v>
      </c>
      <c r="Q730" s="10">
        <v>75</v>
      </c>
      <c r="R730" s="10" t="s">
        <v>66</v>
      </c>
      <c r="S730" s="10">
        <v>370.4</v>
      </c>
      <c r="T730" s="10">
        <v>79.5</v>
      </c>
      <c r="U730" s="29">
        <v>43755</v>
      </c>
      <c r="V730" s="29">
        <v>47407</v>
      </c>
      <c r="W730" s="10" t="s">
        <v>13</v>
      </c>
      <c r="X730" s="10" t="s">
        <v>17</v>
      </c>
    </row>
    <row r="731" spans="1:24" ht="54" customHeight="1" x14ac:dyDescent="0.25">
      <c r="A731" s="10">
        <f t="shared" si="0"/>
        <v>728</v>
      </c>
      <c r="B731" s="11" t="s">
        <v>1982</v>
      </c>
      <c r="C731" s="10" t="s">
        <v>1983</v>
      </c>
      <c r="D731" s="10" t="s">
        <v>174</v>
      </c>
      <c r="E731" s="10" t="s">
        <v>0</v>
      </c>
      <c r="F731" s="11" t="s">
        <v>1984</v>
      </c>
      <c r="G731" s="11"/>
      <c r="H731" s="11"/>
      <c r="I731" s="11" t="s">
        <v>1985</v>
      </c>
      <c r="J731" s="20" t="s">
        <v>176</v>
      </c>
      <c r="K731" s="15" t="s">
        <v>177</v>
      </c>
      <c r="L731" s="15" t="str">
        <f>HYPERLINK("https://drive.google.com/open?id=1PTOdUAaYvJjrYHQVIHQDPOE25ePlvbTO","Сертифікат")</f>
        <v>Сертифікат</v>
      </c>
      <c r="M731" s="11" t="s">
        <v>24</v>
      </c>
      <c r="N731" s="10">
        <v>8866</v>
      </c>
      <c r="O731" s="10">
        <v>25910</v>
      </c>
      <c r="P731" s="10">
        <v>10</v>
      </c>
      <c r="Q731" s="10">
        <v>140.19999999999999</v>
      </c>
      <c r="R731" s="10" t="s">
        <v>57</v>
      </c>
      <c r="S731" s="10">
        <v>237.3</v>
      </c>
      <c r="T731" s="10">
        <v>45.9</v>
      </c>
      <c r="U731" s="29">
        <v>43752</v>
      </c>
      <c r="V731" s="29">
        <v>47404</v>
      </c>
      <c r="W731" s="10" t="s">
        <v>10</v>
      </c>
      <c r="X731" s="10" t="s">
        <v>17</v>
      </c>
    </row>
    <row r="732" spans="1:24" ht="54" customHeight="1" x14ac:dyDescent="0.25">
      <c r="A732" s="10">
        <f t="shared" si="0"/>
        <v>729</v>
      </c>
      <c r="B732" s="11" t="s">
        <v>1986</v>
      </c>
      <c r="C732" s="10" t="s">
        <v>207</v>
      </c>
      <c r="D732" s="10" t="s">
        <v>148</v>
      </c>
      <c r="E732" s="10" t="s">
        <v>0</v>
      </c>
      <c r="F732" s="11" t="s">
        <v>1987</v>
      </c>
      <c r="G732" s="11"/>
      <c r="H732" s="11"/>
      <c r="I732" s="11" t="s">
        <v>836</v>
      </c>
      <c r="J732" s="20" t="s">
        <v>732</v>
      </c>
      <c r="K732" s="15" t="str">
        <f>HYPERLINK("https://drive.google.com/open?id=1YmIUNUHq4P-kOoyLjfDDMpvQv5hFDMTd","ОРІ-АВ00010")</f>
        <v>ОРІ-АВ00010</v>
      </c>
      <c r="L732" s="15" t="str">
        <f>HYPERLINK("https://drive.google.com/open?id=1jZJs2x0WYhKjf29K_Zl4qGxKOJW0ZAhv","Сертифікат")</f>
        <v>Сертифікат</v>
      </c>
      <c r="M732" s="11" t="s">
        <v>18</v>
      </c>
      <c r="N732" s="10">
        <v>2627.16</v>
      </c>
      <c r="O732" s="10">
        <v>7881.48</v>
      </c>
      <c r="P732" s="10">
        <v>4</v>
      </c>
      <c r="Q732" s="10">
        <v>87</v>
      </c>
      <c r="R732" s="10" t="s">
        <v>57</v>
      </c>
      <c r="S732" s="10">
        <v>146</v>
      </c>
      <c r="T732" s="10">
        <v>28</v>
      </c>
      <c r="U732" s="29">
        <v>43756</v>
      </c>
      <c r="V732" s="29">
        <v>47408</v>
      </c>
      <c r="W732" s="10" t="s">
        <v>13</v>
      </c>
      <c r="X732" s="10" t="s">
        <v>17</v>
      </c>
    </row>
    <row r="733" spans="1:24" ht="54" customHeight="1" x14ac:dyDescent="0.25">
      <c r="A733" s="10">
        <f t="shared" si="0"/>
        <v>730</v>
      </c>
      <c r="B733" s="11" t="s">
        <v>1988</v>
      </c>
      <c r="C733" s="10" t="s">
        <v>1507</v>
      </c>
      <c r="D733" s="10" t="s">
        <v>317</v>
      </c>
      <c r="E733" s="10" t="s">
        <v>3</v>
      </c>
      <c r="F733" s="11" t="s">
        <v>1989</v>
      </c>
      <c r="G733" s="11"/>
      <c r="H733" s="11"/>
      <c r="I733" s="11">
        <v>1954</v>
      </c>
      <c r="J733" s="11" t="s">
        <v>1520</v>
      </c>
      <c r="K733" s="15" t="str">
        <f>HYPERLINK("https://drive.google.com/open?id=1h7SxjX8kLI3GcDpujJYP0DlexJilmQJ7","АР №000071")</f>
        <v>АР №000071</v>
      </c>
      <c r="L733" s="15" t="str">
        <f>HYPERLINK("https://drive.google.com/open?id=1Td7nZrK4-OMEFKbH1o4iFS6_32rzI-xM","Сертифікат")</f>
        <v>Сертифікат</v>
      </c>
      <c r="M733" s="11" t="s">
        <v>26</v>
      </c>
      <c r="N733" s="10">
        <v>3178.24</v>
      </c>
      <c r="O733" s="10">
        <v>11001</v>
      </c>
      <c r="P733" s="10">
        <v>2</v>
      </c>
      <c r="Q733" s="10">
        <v>74</v>
      </c>
      <c r="R733" s="10" t="s">
        <v>66</v>
      </c>
      <c r="S733" s="10">
        <v>1236.7</v>
      </c>
      <c r="T733" s="10">
        <v>239.3</v>
      </c>
      <c r="U733" s="29">
        <v>43747</v>
      </c>
      <c r="V733" s="29">
        <v>47399</v>
      </c>
      <c r="W733" s="10" t="s">
        <v>13</v>
      </c>
      <c r="X733" s="10" t="s">
        <v>17</v>
      </c>
    </row>
    <row r="734" spans="1:24" ht="54" customHeight="1" x14ac:dyDescent="0.25">
      <c r="A734" s="10">
        <f t="shared" si="0"/>
        <v>731</v>
      </c>
      <c r="B734" s="11" t="s">
        <v>1990</v>
      </c>
      <c r="C734" s="10" t="s">
        <v>805</v>
      </c>
      <c r="D734" s="10" t="s">
        <v>86</v>
      </c>
      <c r="E734" s="10" t="s">
        <v>2</v>
      </c>
      <c r="F734" s="11" t="s">
        <v>1991</v>
      </c>
      <c r="G734" s="11"/>
      <c r="H734" s="11"/>
      <c r="I734" s="11">
        <v>1987</v>
      </c>
      <c r="J734" s="11" t="s">
        <v>240</v>
      </c>
      <c r="K734" s="15" t="str">
        <f>HYPERLINK("https://drive.google.com/open?id=1bdfPcoVY7gGnfSqAUR9FcOU1nrSE71tH","АА000020")</f>
        <v>АА000020</v>
      </c>
      <c r="L734" s="15" t="str">
        <f>HYPERLINK("https://drive.google.com/open?id=1XBpYWh7au9WjUTkEcFYWVhAOpwK1aVpG","Сертифікат")</f>
        <v>Сертифікат</v>
      </c>
      <c r="M734" s="11" t="s">
        <v>20</v>
      </c>
      <c r="N734" s="10">
        <v>886</v>
      </c>
      <c r="O734" s="10">
        <v>2525</v>
      </c>
      <c r="P734" s="10">
        <v>2</v>
      </c>
      <c r="Q734" s="10">
        <v>63.25</v>
      </c>
      <c r="R734" s="10" t="s">
        <v>66</v>
      </c>
      <c r="S734" s="10">
        <v>235.52</v>
      </c>
      <c r="T734" s="10">
        <v>61.83</v>
      </c>
      <c r="U734" s="29">
        <v>43755</v>
      </c>
      <c r="V734" s="29">
        <v>47407</v>
      </c>
      <c r="W734" s="10" t="s">
        <v>10</v>
      </c>
      <c r="X734" s="10" t="s">
        <v>17</v>
      </c>
    </row>
    <row r="735" spans="1:24" ht="54" customHeight="1" x14ac:dyDescent="0.25">
      <c r="A735" s="10">
        <f t="shared" si="0"/>
        <v>732</v>
      </c>
      <c r="B735" s="11" t="s">
        <v>1992</v>
      </c>
      <c r="C735" s="10" t="s">
        <v>74</v>
      </c>
      <c r="D735" s="10" t="s">
        <v>1993</v>
      </c>
      <c r="E735" s="10" t="s">
        <v>3</v>
      </c>
      <c r="F735" s="11" t="s">
        <v>1994</v>
      </c>
      <c r="G735" s="11"/>
      <c r="H735" s="11"/>
      <c r="I735" s="11">
        <v>1988</v>
      </c>
      <c r="J735" s="11" t="s">
        <v>209</v>
      </c>
      <c r="K735" s="15" t="s">
        <v>210</v>
      </c>
      <c r="L735" s="15" t="str">
        <f>HYPERLINK("https://drive.google.com/open?id=1YlPKiuvnLSFoISHLUdbklPDNiE2PpJYN","Сертифікат")</f>
        <v>Сертифікат</v>
      </c>
      <c r="M735" s="11" t="s">
        <v>24</v>
      </c>
      <c r="N735" s="10">
        <v>2247</v>
      </c>
      <c r="O735" s="10">
        <v>17661</v>
      </c>
      <c r="P735" s="10">
        <v>2</v>
      </c>
      <c r="Q735" s="10">
        <v>53</v>
      </c>
      <c r="R735" s="10" t="s">
        <v>66</v>
      </c>
      <c r="S735" s="10">
        <v>659</v>
      </c>
      <c r="T735" s="10">
        <v>129</v>
      </c>
      <c r="U735" s="29">
        <v>43754</v>
      </c>
      <c r="V735" s="29">
        <v>47406</v>
      </c>
      <c r="W735" s="10" t="s">
        <v>10</v>
      </c>
      <c r="X735" s="10" t="s">
        <v>17</v>
      </c>
    </row>
    <row r="736" spans="1:24" ht="54" customHeight="1" x14ac:dyDescent="0.25">
      <c r="A736" s="10">
        <f t="shared" si="0"/>
        <v>733</v>
      </c>
      <c r="B736" s="11" t="s">
        <v>1995</v>
      </c>
      <c r="C736" s="10" t="s">
        <v>1996</v>
      </c>
      <c r="D736" s="10" t="s">
        <v>86</v>
      </c>
      <c r="E736" s="10" t="s">
        <v>2</v>
      </c>
      <c r="F736" s="11" t="s">
        <v>1997</v>
      </c>
      <c r="G736" s="11"/>
      <c r="H736" s="11"/>
      <c r="I736" s="11" t="s">
        <v>157</v>
      </c>
      <c r="J736" s="11" t="s">
        <v>93</v>
      </c>
      <c r="K736" s="15" t="str">
        <f t="shared" ref="K736:K737" si="52">HYPERLINK("https://drive.google.com/open?id=16knL7rF64EXtCB0-Ch1v5DtfiE2GYjkB","ЕЕ-002-10-18")</f>
        <v>ЕЕ-002-10-18</v>
      </c>
      <c r="L736" s="15" t="str">
        <f>HYPERLINK("https://drive.google.com/open?id=1wQhqw7sWh9aKmcL1bZWeBHPUsMss2eDX","Сертифікат")</f>
        <v>Сертифікат</v>
      </c>
      <c r="M736" s="11" t="s">
        <v>26</v>
      </c>
      <c r="N736" s="10">
        <v>966.8</v>
      </c>
      <c r="O736" s="10">
        <v>2941.5</v>
      </c>
      <c r="P736" s="10">
        <v>2</v>
      </c>
      <c r="Q736" s="10">
        <v>104.2</v>
      </c>
      <c r="R736" s="10" t="s">
        <v>66</v>
      </c>
      <c r="S736" s="10">
        <v>403</v>
      </c>
      <c r="T736" s="10">
        <v>80</v>
      </c>
      <c r="U736" s="29">
        <v>43753</v>
      </c>
      <c r="V736" s="29">
        <v>47405</v>
      </c>
      <c r="W736" s="10" t="s">
        <v>10</v>
      </c>
      <c r="X736" s="10" t="s">
        <v>17</v>
      </c>
    </row>
    <row r="737" spans="1:24" ht="54" customHeight="1" x14ac:dyDescent="0.25">
      <c r="A737" s="10">
        <f t="shared" si="0"/>
        <v>734</v>
      </c>
      <c r="B737" s="11" t="s">
        <v>1998</v>
      </c>
      <c r="C737" s="10" t="s">
        <v>1999</v>
      </c>
      <c r="D737" s="10" t="s">
        <v>86</v>
      </c>
      <c r="E737" s="10" t="s">
        <v>2</v>
      </c>
      <c r="F737" s="11" t="s">
        <v>2000</v>
      </c>
      <c r="G737" s="11"/>
      <c r="H737" s="11"/>
      <c r="I737" s="11">
        <v>1955</v>
      </c>
      <c r="J737" s="11" t="s">
        <v>93</v>
      </c>
      <c r="K737" s="15" t="str">
        <f t="shared" si="52"/>
        <v>ЕЕ-002-10-18</v>
      </c>
      <c r="L737" s="15" t="str">
        <f>HYPERLINK("https://drive.google.com/open?id=13WgXgWser2N2wzUZVsQm3WX2m9ggEk0a","Сертифікат")</f>
        <v>Сертифікат</v>
      </c>
      <c r="M737" s="11" t="s">
        <v>24</v>
      </c>
      <c r="N737" s="10">
        <v>1159.2</v>
      </c>
      <c r="O737" s="10">
        <v>4312.8</v>
      </c>
      <c r="P737" s="10">
        <v>2</v>
      </c>
      <c r="Q737" s="10">
        <v>96</v>
      </c>
      <c r="R737" s="10" t="s">
        <v>66</v>
      </c>
      <c r="S737" s="10">
        <v>451</v>
      </c>
      <c r="T737" s="10">
        <v>89</v>
      </c>
      <c r="U737" s="29">
        <v>43755</v>
      </c>
      <c r="V737" s="29">
        <v>47407</v>
      </c>
      <c r="W737" s="10" t="s">
        <v>10</v>
      </c>
      <c r="X737" s="10" t="s">
        <v>17</v>
      </c>
    </row>
    <row r="738" spans="1:24" ht="54" customHeight="1" x14ac:dyDescent="0.25">
      <c r="A738" s="10">
        <f t="shared" si="0"/>
        <v>735</v>
      </c>
      <c r="B738" s="11" t="s">
        <v>2001</v>
      </c>
      <c r="C738" s="10" t="s">
        <v>1937</v>
      </c>
      <c r="D738" s="10" t="s">
        <v>86</v>
      </c>
      <c r="E738" s="10" t="s">
        <v>2</v>
      </c>
      <c r="F738" s="11" t="s">
        <v>2002</v>
      </c>
      <c r="G738" s="11"/>
      <c r="H738" s="11"/>
      <c r="I738" s="11">
        <v>1998</v>
      </c>
      <c r="J738" s="10" t="s">
        <v>668</v>
      </c>
      <c r="K738" s="15" t="str">
        <f t="shared" ref="K738:K739" si="53">HYPERLINK("https://drive.google.com/open?id=1NSlpy3KnsggBDFhLrg81QLR2deMl7d6Q","АА000077")</f>
        <v>АА000077</v>
      </c>
      <c r="L738" s="15" t="str">
        <f>HYPERLINK("https://drive.google.com/open?id=1MYtgWBrqg_Bz74VCRvLpX3P9wCa6Lh2A","Сертифікат")</f>
        <v>Сертифікат</v>
      </c>
      <c r="M738" s="11" t="s">
        <v>26</v>
      </c>
      <c r="N738" s="10">
        <v>1724.7</v>
      </c>
      <c r="O738" s="10">
        <v>5382</v>
      </c>
      <c r="P738" s="10">
        <v>4</v>
      </c>
      <c r="Q738" s="10">
        <v>80.099999999999994</v>
      </c>
      <c r="R738" s="10" t="s">
        <v>66</v>
      </c>
      <c r="S738" s="10">
        <v>343.4</v>
      </c>
      <c r="T738" s="10">
        <v>91.4</v>
      </c>
      <c r="U738" s="45">
        <v>43756</v>
      </c>
      <c r="V738" s="29">
        <v>47408</v>
      </c>
      <c r="W738" s="10" t="s">
        <v>10</v>
      </c>
      <c r="X738" s="10" t="s">
        <v>17</v>
      </c>
    </row>
    <row r="739" spans="1:24" ht="54" customHeight="1" x14ac:dyDescent="0.25">
      <c r="A739" s="10">
        <f t="shared" si="0"/>
        <v>736</v>
      </c>
      <c r="B739" s="11" t="s">
        <v>2004</v>
      </c>
      <c r="C739" s="10" t="s">
        <v>85</v>
      </c>
      <c r="D739" s="10" t="s">
        <v>86</v>
      </c>
      <c r="E739" s="10" t="s">
        <v>2</v>
      </c>
      <c r="F739" s="11" t="s">
        <v>2003</v>
      </c>
      <c r="G739" s="11"/>
      <c r="H739" s="11"/>
      <c r="I739" s="63">
        <v>1997</v>
      </c>
      <c r="J739" s="10" t="s">
        <v>668</v>
      </c>
      <c r="K739" s="15" t="str">
        <f t="shared" si="53"/>
        <v>АА000077</v>
      </c>
      <c r="L739" s="15" t="str">
        <f>HYPERLINK("https://drive.google.com/open?id=1s5D1IALE3POnwm4Zu_Mu6JlapLy8NZwa","Сертифікат")</f>
        <v>Сертифікат</v>
      </c>
      <c r="M739" s="11" t="s">
        <v>26</v>
      </c>
      <c r="N739" s="10">
        <v>27038.400000000001</v>
      </c>
      <c r="O739" s="10">
        <v>92321</v>
      </c>
      <c r="P739" s="10">
        <v>13</v>
      </c>
      <c r="Q739" s="10">
        <v>94.8</v>
      </c>
      <c r="R739" s="10" t="s">
        <v>66</v>
      </c>
      <c r="S739" s="10">
        <v>504.1</v>
      </c>
      <c r="T739" s="10">
        <v>146.6</v>
      </c>
      <c r="U739" s="45">
        <v>43756</v>
      </c>
      <c r="V739" s="29">
        <v>47408</v>
      </c>
      <c r="W739" s="10" t="s">
        <v>10</v>
      </c>
      <c r="X739" s="10" t="s">
        <v>17</v>
      </c>
    </row>
    <row r="740" spans="1:24" ht="54" customHeight="1" x14ac:dyDescent="0.25">
      <c r="A740" s="10">
        <f t="shared" si="0"/>
        <v>737</v>
      </c>
      <c r="B740" s="11" t="s">
        <v>2005</v>
      </c>
      <c r="C740" s="10" t="s">
        <v>102</v>
      </c>
      <c r="D740" s="10" t="s">
        <v>103</v>
      </c>
      <c r="E740" s="10" t="s">
        <v>2</v>
      </c>
      <c r="F740" s="11" t="s">
        <v>2006</v>
      </c>
      <c r="G740" s="11"/>
      <c r="H740" s="11"/>
      <c r="I740" s="11" t="s">
        <v>2007</v>
      </c>
      <c r="J740" s="10" t="s">
        <v>2008</v>
      </c>
      <c r="K740" s="51" t="str">
        <f>HYPERLINK("https://drive.google.com/open?id=1Do6lmdSbyvLLqC0yOLG1tDAG0TFH3W3N","ОД 02071010/0117-19")</f>
        <v>ОД 02071010/0117-19</v>
      </c>
      <c r="L740" s="15" t="str">
        <f>HYPERLINK("https://drive.google.com/open?id=1Lw_LfcU0x2Mayb9tO1gL1W49tRE6pF84","Сертифікат")</f>
        <v>Сертифікат</v>
      </c>
      <c r="M740" s="11" t="s">
        <v>15</v>
      </c>
      <c r="N740" s="10">
        <v>1302.0999999999999</v>
      </c>
      <c r="O740" s="10">
        <v>7507.7</v>
      </c>
      <c r="P740" s="31">
        <v>43497</v>
      </c>
      <c r="Q740" s="10">
        <v>42.42</v>
      </c>
      <c r="R740" s="10" t="s">
        <v>66</v>
      </c>
      <c r="S740" s="10">
        <v>826.97</v>
      </c>
      <c r="T740" s="10">
        <v>151.01</v>
      </c>
      <c r="U740" s="45">
        <v>43756</v>
      </c>
      <c r="V740" s="29">
        <v>47408</v>
      </c>
      <c r="W740" s="10" t="s">
        <v>13</v>
      </c>
      <c r="X740" s="10" t="s">
        <v>17</v>
      </c>
    </row>
    <row r="741" spans="1:24" ht="54" customHeight="1" x14ac:dyDescent="0.25">
      <c r="A741" s="10">
        <f t="shared" si="0"/>
        <v>738</v>
      </c>
      <c r="B741" s="11" t="s">
        <v>2009</v>
      </c>
      <c r="C741" s="47" t="s">
        <v>2010</v>
      </c>
      <c r="D741" s="52" t="s">
        <v>69</v>
      </c>
      <c r="E741" s="10" t="s">
        <v>0</v>
      </c>
      <c r="F741" s="11" t="s">
        <v>2011</v>
      </c>
      <c r="G741" s="11"/>
      <c r="H741" s="11"/>
      <c r="I741" s="11">
        <v>1993</v>
      </c>
      <c r="J741" s="24" t="s">
        <v>1057</v>
      </c>
      <c r="K741" s="15" t="str">
        <f>HYPERLINK("https://drive.google.com/open?id=1jOJ8C4qs2yVEI7j7G_2k_QwYSBK43oV5","ЕЕ-024-02-19")</f>
        <v>ЕЕ-024-02-19</v>
      </c>
      <c r="L741" s="15" t="str">
        <f>HYPERLINK("https://drive.google.com/open?id=1BrFl8hvgibZ3dlKKFvnN9wX7XkvCcvjk","Сертифікат")</f>
        <v>Сертифікат</v>
      </c>
      <c r="M741" s="11" t="s">
        <v>26</v>
      </c>
      <c r="N741" s="10">
        <v>901.4</v>
      </c>
      <c r="O741" s="10">
        <v>2522.4</v>
      </c>
      <c r="P741" s="10">
        <v>4</v>
      </c>
      <c r="Q741" s="10">
        <v>304.89999999999998</v>
      </c>
      <c r="R741" s="10" t="s">
        <v>57</v>
      </c>
      <c r="S741" s="10">
        <v>378.8</v>
      </c>
      <c r="T741" s="10">
        <v>75</v>
      </c>
      <c r="U741" s="45">
        <v>43756</v>
      </c>
      <c r="V741" s="29">
        <v>47408</v>
      </c>
      <c r="W741" s="10" t="s">
        <v>13</v>
      </c>
      <c r="X741" s="10" t="s">
        <v>14</v>
      </c>
    </row>
    <row r="742" spans="1:24" ht="54" customHeight="1" x14ac:dyDescent="0.25">
      <c r="A742" s="10">
        <f t="shared" si="0"/>
        <v>739</v>
      </c>
      <c r="B742" s="11" t="s">
        <v>2012</v>
      </c>
      <c r="C742" s="52" t="s">
        <v>243</v>
      </c>
      <c r="D742" s="10" t="s">
        <v>238</v>
      </c>
      <c r="E742" s="10" t="s">
        <v>0</v>
      </c>
      <c r="F742" s="11" t="s">
        <v>2013</v>
      </c>
      <c r="G742" s="11"/>
      <c r="H742" s="11"/>
      <c r="I742" s="11" t="s">
        <v>1962</v>
      </c>
      <c r="J742" s="11" t="s">
        <v>843</v>
      </c>
      <c r="K742" s="15" t="str">
        <f>HYPERLINK("https://drive.google.com/open?id=17KtRSyjmLaDiewjK-BWiyP5RCeXuyEaI"," ХР 000013")</f>
        <v xml:space="preserve"> ХР 000013</v>
      </c>
      <c r="L742" s="15" t="str">
        <f>HYPERLINK("https://drive.google.com/open?id=1XDA0VTKxEY061Q-FBKr5mcr19pgEVZsY","Сертифікат")</f>
        <v>Сертифікат</v>
      </c>
      <c r="M742" s="11" t="s">
        <v>20</v>
      </c>
      <c r="N742" s="10">
        <v>9155.48</v>
      </c>
      <c r="O742" s="10">
        <v>27466.400000000001</v>
      </c>
      <c r="P742" s="10">
        <v>9</v>
      </c>
      <c r="Q742" s="10">
        <v>94.39</v>
      </c>
      <c r="R742" s="10" t="s">
        <v>57</v>
      </c>
      <c r="S742" s="10">
        <v>155.5</v>
      </c>
      <c r="T742" s="10">
        <v>30.5</v>
      </c>
      <c r="U742" s="45">
        <v>43753</v>
      </c>
      <c r="V742" s="29">
        <v>47405</v>
      </c>
      <c r="W742" s="10" t="s">
        <v>10</v>
      </c>
      <c r="X742" s="10" t="s">
        <v>17</v>
      </c>
    </row>
    <row r="743" spans="1:24" ht="54" customHeight="1" x14ac:dyDescent="0.25">
      <c r="A743" s="10">
        <f t="shared" si="0"/>
        <v>740</v>
      </c>
      <c r="B743" s="11" t="s">
        <v>2014</v>
      </c>
      <c r="C743" s="10" t="s">
        <v>243</v>
      </c>
      <c r="D743" s="10" t="s">
        <v>238</v>
      </c>
      <c r="E743" s="10" t="s">
        <v>0</v>
      </c>
      <c r="F743" s="11" t="s">
        <v>2015</v>
      </c>
      <c r="G743" s="11"/>
      <c r="H743" s="11"/>
      <c r="I743" s="11">
        <v>2019</v>
      </c>
      <c r="J743" s="11" t="s">
        <v>2016</v>
      </c>
      <c r="K743" s="15" t="str">
        <f>HYPERLINK("https://drive.google.com/open?id=1NDvr0vu80IIwRY2k-kYSYk4ErtrruV_6","ХПІ.00015")</f>
        <v>ХПІ.00015</v>
      </c>
      <c r="L743" s="15" t="str">
        <f>HYPERLINK("https://drive.google.com/open?id=1Mxfs9zKq_nlR2YfOZgRbHczEJDyWonRc","Сертифікат")</f>
        <v>Сертифікат</v>
      </c>
      <c r="M743" s="11" t="s">
        <v>15</v>
      </c>
      <c r="N743" s="10">
        <v>12997.8</v>
      </c>
      <c r="O743" s="10">
        <v>35371.629999999997</v>
      </c>
      <c r="P743" s="10">
        <v>23</v>
      </c>
      <c r="Q743" s="10">
        <v>78.900000000000006</v>
      </c>
      <c r="R743" s="10" t="s">
        <v>57</v>
      </c>
      <c r="S743" s="10">
        <v>99.715000000000003</v>
      </c>
      <c r="T743" s="10">
        <v>19.943000000000001</v>
      </c>
      <c r="U743" s="29">
        <v>43741</v>
      </c>
      <c r="V743" s="29">
        <v>47393</v>
      </c>
      <c r="W743" s="10" t="s">
        <v>10</v>
      </c>
      <c r="X743" s="10" t="s">
        <v>17</v>
      </c>
    </row>
    <row r="744" spans="1:24" ht="54" customHeight="1" x14ac:dyDescent="0.25">
      <c r="A744" s="10">
        <f t="shared" si="0"/>
        <v>741</v>
      </c>
      <c r="B744" s="11" t="s">
        <v>2017</v>
      </c>
      <c r="C744" s="10" t="s">
        <v>1507</v>
      </c>
      <c r="D744" s="10" t="s">
        <v>317</v>
      </c>
      <c r="E744" s="10" t="s">
        <v>7</v>
      </c>
      <c r="F744" s="11" t="s">
        <v>2018</v>
      </c>
      <c r="G744" s="11"/>
      <c r="H744" s="11"/>
      <c r="I744" s="11">
        <v>2019</v>
      </c>
      <c r="J744" s="11" t="s">
        <v>1168</v>
      </c>
      <c r="K744" s="15" t="str">
        <f>HYPERLINK("https://drive.google.com/open?id=1IAlNZe4csuyp8RH-DTYn3L4-p1-qcHtF","ЕЕ-001-10-18")</f>
        <v>ЕЕ-001-10-18</v>
      </c>
      <c r="L744" s="15" t="str">
        <f>HYPERLINK("https://drive.google.com/open?id=1PSG4t0wh4Wp5flvAvwUcscfmCSnNO98I","Сертифікат")</f>
        <v>Сертифікат</v>
      </c>
      <c r="M744" s="11" t="s">
        <v>15</v>
      </c>
      <c r="N744" s="10">
        <v>979.5</v>
      </c>
      <c r="O744" s="10">
        <v>3246</v>
      </c>
      <c r="P744" s="10">
        <v>2</v>
      </c>
      <c r="Q744" s="10">
        <v>40.1</v>
      </c>
      <c r="R744" s="10" t="s">
        <v>66</v>
      </c>
      <c r="S744" s="10">
        <v>347</v>
      </c>
      <c r="T744" s="10">
        <v>66</v>
      </c>
      <c r="U744" s="29">
        <v>43756</v>
      </c>
      <c r="V744" s="29">
        <v>47408</v>
      </c>
      <c r="W744" s="10" t="s">
        <v>13</v>
      </c>
      <c r="X744" s="10" t="s">
        <v>17</v>
      </c>
    </row>
    <row r="745" spans="1:24" ht="54" customHeight="1" x14ac:dyDescent="0.25">
      <c r="A745" s="10">
        <f t="shared" si="0"/>
        <v>742</v>
      </c>
      <c r="B745" s="11" t="s">
        <v>2019</v>
      </c>
      <c r="C745" s="10" t="s">
        <v>85</v>
      </c>
      <c r="D745" s="10" t="s">
        <v>86</v>
      </c>
      <c r="E745" s="10" t="s">
        <v>2</v>
      </c>
      <c r="F745" s="11" t="s">
        <v>2020</v>
      </c>
      <c r="G745" s="11"/>
      <c r="H745" s="11"/>
      <c r="I745" s="11">
        <v>1982</v>
      </c>
      <c r="J745" s="11" t="s">
        <v>642</v>
      </c>
      <c r="K745" s="15" t="str">
        <f>HYPERLINK("https://drive.google.com/open?id=1cxGxrVWMvCNlS6TwjKIt2Jn85z6h57TB","ЕЕ-036-05-19")</f>
        <v>ЕЕ-036-05-19</v>
      </c>
      <c r="L745" s="15" t="str">
        <f>HYPERLINK("https://drive.google.com/open?id=1Gy_w9X8cbeHU40Rdg_1wDD-gdI2pBHE9","Сертифікат")</f>
        <v>Сертифікат</v>
      </c>
      <c r="M745" s="11" t="s">
        <v>26</v>
      </c>
      <c r="N745" s="10">
        <v>1096.0999999999999</v>
      </c>
      <c r="O745" s="10">
        <v>3520</v>
      </c>
      <c r="P745" s="10">
        <v>4</v>
      </c>
      <c r="Q745" s="10">
        <v>109.8</v>
      </c>
      <c r="R745" s="10" t="s">
        <v>66</v>
      </c>
      <c r="S745" s="10">
        <v>450</v>
      </c>
      <c r="T745" s="10">
        <v>89</v>
      </c>
      <c r="U745" s="29">
        <v>43756</v>
      </c>
      <c r="V745" s="29">
        <v>47408</v>
      </c>
      <c r="W745" s="10" t="s">
        <v>10</v>
      </c>
      <c r="X745" s="10" t="s">
        <v>17</v>
      </c>
    </row>
    <row r="746" spans="1:24" ht="54" customHeight="1" x14ac:dyDescent="0.25">
      <c r="A746" s="10">
        <f t="shared" si="0"/>
        <v>743</v>
      </c>
      <c r="B746" s="11" t="s">
        <v>2021</v>
      </c>
      <c r="C746" s="10" t="s">
        <v>814</v>
      </c>
      <c r="D746" s="10" t="s">
        <v>815</v>
      </c>
      <c r="E746" s="10" t="s">
        <v>4</v>
      </c>
      <c r="F746" s="11" t="s">
        <v>2022</v>
      </c>
      <c r="G746" s="11"/>
      <c r="H746" s="11"/>
      <c r="I746" s="11" t="s">
        <v>2023</v>
      </c>
      <c r="J746" s="11" t="s">
        <v>1094</v>
      </c>
      <c r="K746" s="15" t="str">
        <f>HYPERLINK("https://drive.google.com/open?id=1Qlik4TIJLPoTQ6woAYUYpDbbA-PfyWE1","АА000059")</f>
        <v>АА000059</v>
      </c>
      <c r="L746" s="15" t="str">
        <f>HYPERLINK("https://drive.google.com/open?id=1fBZQl4mb95ybX7S-Y7yIJw5kRK5OkxZL","Сертифікат")</f>
        <v>Сертифікат</v>
      </c>
      <c r="M746" s="11" t="s">
        <v>24</v>
      </c>
      <c r="N746" s="10">
        <v>2349</v>
      </c>
      <c r="O746" s="10">
        <v>8709</v>
      </c>
      <c r="P746" s="10">
        <v>2</v>
      </c>
      <c r="Q746" s="10">
        <v>94.8</v>
      </c>
      <c r="R746" s="10" t="s">
        <v>66</v>
      </c>
      <c r="S746" s="10">
        <v>490</v>
      </c>
      <c r="T746" s="10">
        <v>97</v>
      </c>
      <c r="U746" s="29">
        <v>43752</v>
      </c>
      <c r="V746" s="29">
        <v>47404</v>
      </c>
      <c r="W746" s="10" t="s">
        <v>10</v>
      </c>
      <c r="X746" s="10" t="s">
        <v>17</v>
      </c>
    </row>
    <row r="747" spans="1:24" ht="54" customHeight="1" x14ac:dyDescent="0.25">
      <c r="A747" s="10">
        <f t="shared" si="0"/>
        <v>744</v>
      </c>
      <c r="B747" s="11" t="s">
        <v>2024</v>
      </c>
      <c r="C747" s="10" t="s">
        <v>52</v>
      </c>
      <c r="D747" s="10" t="s">
        <v>52</v>
      </c>
      <c r="E747" s="10" t="s">
        <v>2</v>
      </c>
      <c r="F747" s="11" t="s">
        <v>2025</v>
      </c>
      <c r="G747" s="11"/>
      <c r="H747" s="11"/>
      <c r="I747" s="11" t="s">
        <v>2026</v>
      </c>
      <c r="J747" s="11" t="s">
        <v>1205</v>
      </c>
      <c r="K747" s="15" t="str">
        <f>HYPERLINK("https://drive.google.com/open?id=1AgHhVTxS6GZgfWxgXmp01ENmEAgVKsdV","ОД 02071010/1001-18")</f>
        <v>ОД 02071010/1001-18</v>
      </c>
      <c r="L747" s="15" t="str">
        <f>HYPERLINK("https://drive.google.com/open?id=1oDFHGiwjzFkUIehwDrgz3sbctScXdJbR","Сертифікат")</f>
        <v>Сертифікат</v>
      </c>
      <c r="M747" s="11" t="s">
        <v>18</v>
      </c>
      <c r="N747" s="10">
        <v>3116</v>
      </c>
      <c r="O747" s="10">
        <v>7544.82</v>
      </c>
      <c r="P747" s="10">
        <v>8</v>
      </c>
      <c r="Q747" s="10">
        <v>42.33</v>
      </c>
      <c r="R747" s="10" t="s">
        <v>66</v>
      </c>
      <c r="S747" s="10">
        <v>153.93</v>
      </c>
      <c r="T747" s="10">
        <v>29.97</v>
      </c>
      <c r="U747" s="29">
        <v>43755</v>
      </c>
      <c r="V747" s="29">
        <v>47407</v>
      </c>
      <c r="W747" s="10" t="s">
        <v>10</v>
      </c>
      <c r="X747" s="10" t="s">
        <v>17</v>
      </c>
    </row>
    <row r="748" spans="1:24" ht="54" customHeight="1" x14ac:dyDescent="0.25">
      <c r="A748" s="10">
        <f t="shared" si="0"/>
        <v>745</v>
      </c>
      <c r="B748" s="11" t="s">
        <v>2027</v>
      </c>
      <c r="C748" s="10" t="s">
        <v>78</v>
      </c>
      <c r="D748" s="10" t="s">
        <v>79</v>
      </c>
      <c r="E748" s="10" t="s">
        <v>3</v>
      </c>
      <c r="F748" s="11" t="s">
        <v>2028</v>
      </c>
      <c r="G748" s="11"/>
      <c r="H748" s="11"/>
      <c r="I748" s="11">
        <v>2007</v>
      </c>
      <c r="J748" s="11" t="s">
        <v>54</v>
      </c>
      <c r="K748" s="15" t="str">
        <f t="shared" ref="K748:K749" si="54">HYPERLINK("https://drive.google.com/open?id=12WC1Bu_lEABhJzMA7VMSl0Xd5ugZr4vK","АА000002")</f>
        <v>АА000002</v>
      </c>
      <c r="L748" s="15" t="str">
        <f>HYPERLINK("https://drive.google.com/open?id=1SpXA7p25GpWc4twoVWfXM6cgkBZcQAQI","Сертифікат")</f>
        <v>Сертифікат</v>
      </c>
      <c r="M748" s="11" t="s">
        <v>24</v>
      </c>
      <c r="N748" s="10">
        <v>392</v>
      </c>
      <c r="O748" s="10">
        <v>1255</v>
      </c>
      <c r="P748" s="10">
        <v>1</v>
      </c>
      <c r="Q748" s="10">
        <v>57</v>
      </c>
      <c r="R748" s="10" t="s">
        <v>66</v>
      </c>
      <c r="S748" s="10">
        <v>116</v>
      </c>
      <c r="T748" s="10">
        <v>22</v>
      </c>
      <c r="U748" s="29">
        <v>43615</v>
      </c>
      <c r="V748" s="29">
        <v>47267</v>
      </c>
      <c r="W748" s="10" t="s">
        <v>10</v>
      </c>
      <c r="X748" s="10" t="s">
        <v>17</v>
      </c>
    </row>
    <row r="749" spans="1:24" ht="54" customHeight="1" x14ac:dyDescent="0.25">
      <c r="A749" s="10">
        <f t="shared" si="0"/>
        <v>746</v>
      </c>
      <c r="B749" s="11" t="s">
        <v>2029</v>
      </c>
      <c r="C749" s="47" t="s">
        <v>166</v>
      </c>
      <c r="D749" s="10" t="s">
        <v>79</v>
      </c>
      <c r="E749" s="10" t="s">
        <v>3</v>
      </c>
      <c r="F749" s="27" t="s">
        <v>2030</v>
      </c>
      <c r="G749" s="11"/>
      <c r="H749" s="11"/>
      <c r="I749" s="11">
        <v>1972</v>
      </c>
      <c r="J749" s="11" t="s">
        <v>54</v>
      </c>
      <c r="K749" s="15" t="str">
        <f t="shared" si="54"/>
        <v>АА000002</v>
      </c>
      <c r="L749" s="15" t="str">
        <f>HYPERLINK("https://drive.google.com/open?id=1sZWYoM_8uSSc-IRQfI_vVVI7trSzFE5v","Сертифікат")</f>
        <v>Сертифікат</v>
      </c>
      <c r="M749" s="11" t="s">
        <v>26</v>
      </c>
      <c r="N749" s="10">
        <v>4072</v>
      </c>
      <c r="O749" s="10">
        <v>9623</v>
      </c>
      <c r="P749" s="10">
        <v>3</v>
      </c>
      <c r="Q749" s="10">
        <v>93</v>
      </c>
      <c r="R749" s="10" t="s">
        <v>66</v>
      </c>
      <c r="S749" s="10">
        <v>374</v>
      </c>
      <c r="T749" s="10">
        <v>73</v>
      </c>
      <c r="U749" s="29">
        <v>43615</v>
      </c>
      <c r="V749" s="29">
        <v>47267</v>
      </c>
      <c r="W749" s="10" t="s">
        <v>10</v>
      </c>
      <c r="X749" s="10" t="s">
        <v>17</v>
      </c>
    </row>
    <row r="750" spans="1:24" ht="54" customHeight="1" x14ac:dyDescent="0.25">
      <c r="A750" s="10">
        <f t="shared" si="0"/>
        <v>747</v>
      </c>
      <c r="B750" s="11" t="s">
        <v>2031</v>
      </c>
      <c r="C750" s="10" t="s">
        <v>78</v>
      </c>
      <c r="D750" s="10" t="s">
        <v>79</v>
      </c>
      <c r="E750" s="10" t="s">
        <v>0</v>
      </c>
      <c r="F750" s="11" t="s">
        <v>2032</v>
      </c>
      <c r="G750" s="11"/>
      <c r="H750" s="11"/>
      <c r="I750" s="11">
        <v>1976</v>
      </c>
      <c r="J750" s="11" t="s">
        <v>432</v>
      </c>
      <c r="K750" s="15" t="str">
        <f>HYPERLINK("https://drive.google.com/open?id=1euBM6QoP56NhYkl2g8T2IRU9qquzh3C9","АА000006")</f>
        <v>АА000006</v>
      </c>
      <c r="L750" s="15" t="str">
        <f>HYPERLINK("https://drive.google.com/open?id=1I5CYeEvIhF_2U4ddpYcddc8_DRXyGyQg","Сертифікат")</f>
        <v>Сертифікат</v>
      </c>
      <c r="M750" s="11" t="s">
        <v>26</v>
      </c>
      <c r="N750" s="10">
        <v>6936.9</v>
      </c>
      <c r="O750" s="10">
        <v>20859.900000000001</v>
      </c>
      <c r="P750" s="10" t="s">
        <v>2033</v>
      </c>
      <c r="Q750" s="10">
        <v>160.78</v>
      </c>
      <c r="R750" s="10" t="s">
        <v>57</v>
      </c>
      <c r="S750" s="10">
        <v>214.37</v>
      </c>
      <c r="T750" s="10">
        <v>42.66</v>
      </c>
      <c r="U750" s="29">
        <v>43756</v>
      </c>
      <c r="V750" s="29">
        <v>43762</v>
      </c>
      <c r="W750" s="10" t="s">
        <v>10</v>
      </c>
      <c r="X750" s="10" t="s">
        <v>17</v>
      </c>
    </row>
    <row r="751" spans="1:24" ht="54" customHeight="1" x14ac:dyDescent="0.25">
      <c r="A751" s="10">
        <f t="shared" si="0"/>
        <v>748</v>
      </c>
      <c r="B751" s="11" t="s">
        <v>2034</v>
      </c>
      <c r="C751" s="10" t="s">
        <v>78</v>
      </c>
      <c r="D751" s="10" t="s">
        <v>79</v>
      </c>
      <c r="E751" s="10" t="s">
        <v>5</v>
      </c>
      <c r="F751" s="11" t="s">
        <v>2035</v>
      </c>
      <c r="G751" s="11"/>
      <c r="H751" s="11"/>
      <c r="I751" s="11">
        <v>1947</v>
      </c>
      <c r="J751" s="11" t="s">
        <v>54</v>
      </c>
      <c r="K751" s="15" t="str">
        <f>HYPERLINK("https://drive.google.com/open?id=12WC1Bu_lEABhJzMA7VMSl0Xd5ugZr4vK","АА000002")</f>
        <v>АА000002</v>
      </c>
      <c r="L751" s="15" t="str">
        <f>HYPERLINK("https://drive.google.com/open?id=1hUYLBO00pI7TfQvUroWxKl3axaXRKT9q","Сертифікат")</f>
        <v>Сертифікат</v>
      </c>
      <c r="M751" s="11" t="s">
        <v>22</v>
      </c>
      <c r="N751" s="10">
        <v>1476</v>
      </c>
      <c r="O751" s="10">
        <v>5907</v>
      </c>
      <c r="P751" s="10">
        <v>3</v>
      </c>
      <c r="Q751" s="10">
        <v>76</v>
      </c>
      <c r="R751" s="10" t="s">
        <v>66</v>
      </c>
      <c r="S751" s="10">
        <v>424</v>
      </c>
      <c r="T751" s="10">
        <v>84</v>
      </c>
      <c r="U751" s="29">
        <v>43615</v>
      </c>
      <c r="V751" s="29">
        <v>47267</v>
      </c>
      <c r="W751" s="10" t="s">
        <v>10</v>
      </c>
      <c r="X751" s="10" t="s">
        <v>17</v>
      </c>
    </row>
    <row r="752" spans="1:24" ht="54" customHeight="1" x14ac:dyDescent="0.25">
      <c r="A752" s="10">
        <f t="shared" si="0"/>
        <v>749</v>
      </c>
      <c r="B752" s="11" t="s">
        <v>2036</v>
      </c>
      <c r="C752" s="10" t="s">
        <v>52</v>
      </c>
      <c r="D752" s="10" t="s">
        <v>52</v>
      </c>
      <c r="E752" s="10" t="s">
        <v>0</v>
      </c>
      <c r="F752" s="11" t="s">
        <v>2037</v>
      </c>
      <c r="G752" s="11"/>
      <c r="H752" s="11"/>
      <c r="I752" s="11" t="s">
        <v>836</v>
      </c>
      <c r="J752" s="11" t="s">
        <v>1504</v>
      </c>
      <c r="K752" s="15" t="str">
        <f>HYPERLINK("https://drive.google.com/open?id=1cNdHo19T35eklBUZY_qj1BVJ98P3D_u8","АА000071")</f>
        <v>АА000071</v>
      </c>
      <c r="L752" s="15" t="str">
        <f>HYPERLINK("https://drive.google.com/open?id=10STOO9AHeou9E4e-6yyJIaEK0S_QGDg2","Сертифікат")</f>
        <v>Сертифікат</v>
      </c>
      <c r="M752" s="11" t="s">
        <v>15</v>
      </c>
      <c r="N752" s="10">
        <v>17231.7</v>
      </c>
      <c r="O752" s="10">
        <v>51635</v>
      </c>
      <c r="P752" s="10">
        <v>25</v>
      </c>
      <c r="Q752" s="10">
        <v>64.900000000000006</v>
      </c>
      <c r="R752" s="10" t="s">
        <v>57</v>
      </c>
      <c r="S752" s="10">
        <v>90.1</v>
      </c>
      <c r="T752" s="10">
        <v>23.6</v>
      </c>
      <c r="U752" s="45">
        <v>43760</v>
      </c>
      <c r="V752" s="29">
        <v>47412</v>
      </c>
      <c r="W752" s="10" t="s">
        <v>13</v>
      </c>
      <c r="X752" s="10" t="s">
        <v>17</v>
      </c>
    </row>
    <row r="753" spans="1:24" ht="54" customHeight="1" x14ac:dyDescent="0.25">
      <c r="A753" s="10">
        <f t="shared" si="0"/>
        <v>750</v>
      </c>
      <c r="B753" s="11" t="s">
        <v>2038</v>
      </c>
      <c r="C753" s="10" t="s">
        <v>68</v>
      </c>
      <c r="D753" s="10" t="s">
        <v>69</v>
      </c>
      <c r="E753" s="10" t="s">
        <v>2</v>
      </c>
      <c r="F753" s="11" t="s">
        <v>2039</v>
      </c>
      <c r="G753" s="11"/>
      <c r="H753" s="11"/>
      <c r="I753" s="11" t="s">
        <v>2040</v>
      </c>
      <c r="J753" s="11" t="s">
        <v>2041</v>
      </c>
      <c r="K753" s="15" t="str">
        <f>HYPERLINK("https://drive.google.com/open?id=1Au8E_bZbjxLFzKqIuTi9p7_Ogz2fLbnG","АА000030")</f>
        <v>АА000030</v>
      </c>
      <c r="L753" s="15" t="str">
        <f>HYPERLINK("https://drive.google.com/open?id=1iWzTQesiTiiYyHi1I-792qSxZXkElmPg","Сертифікат")</f>
        <v>Сертифікат</v>
      </c>
      <c r="M753" s="11" t="s">
        <v>15</v>
      </c>
      <c r="N753" s="10">
        <v>1013.4</v>
      </c>
      <c r="O753" s="10">
        <v>3192</v>
      </c>
      <c r="P753" s="10">
        <v>2</v>
      </c>
      <c r="Q753" s="10">
        <v>37.9</v>
      </c>
      <c r="R753" s="10" t="s">
        <v>66</v>
      </c>
      <c r="S753" s="10">
        <v>177.3</v>
      </c>
      <c r="T753" s="10">
        <v>39.1</v>
      </c>
      <c r="U753" s="29">
        <v>43746</v>
      </c>
      <c r="V753" s="29">
        <v>47398</v>
      </c>
      <c r="W753" s="10" t="s">
        <v>10</v>
      </c>
      <c r="X753" s="10" t="s">
        <v>17</v>
      </c>
    </row>
    <row r="754" spans="1:24" ht="54" customHeight="1" x14ac:dyDescent="0.25">
      <c r="A754" s="10">
        <f t="shared" si="0"/>
        <v>751</v>
      </c>
      <c r="B754" s="11" t="s">
        <v>2042</v>
      </c>
      <c r="C754" s="10" t="s">
        <v>2043</v>
      </c>
      <c r="D754" s="10" t="s">
        <v>1295</v>
      </c>
      <c r="E754" s="10" t="s">
        <v>3</v>
      </c>
      <c r="F754" s="11" t="s">
        <v>2044</v>
      </c>
      <c r="G754" s="11"/>
      <c r="H754" s="11"/>
      <c r="I754" s="11" t="s">
        <v>2045</v>
      </c>
      <c r="J754" s="27" t="s">
        <v>1660</v>
      </c>
      <c r="K754" s="15" t="str">
        <f>HYPERLINK("https://drive.google.com/open?id=1oLEtNwc-cHUiCjT6H-8zpZIM41iqf7Hj","ХМ 02071234/001")</f>
        <v>ХМ 02071234/001</v>
      </c>
      <c r="L754" s="15" t="str">
        <f>HYPERLINK("https://drive.google.com/open?id=1jiEpqaaZXaZsNY1Z0Y7m-tWNsb2_nuTH","Сертифікат")</f>
        <v>Сертифікат</v>
      </c>
      <c r="M754" s="11" t="s">
        <v>22</v>
      </c>
      <c r="N754" s="10">
        <v>1784.3</v>
      </c>
      <c r="O754" s="10">
        <v>4996.04</v>
      </c>
      <c r="P754" s="10" t="s">
        <v>698</v>
      </c>
      <c r="Q754" s="10">
        <v>46.01</v>
      </c>
      <c r="R754" s="10" t="s">
        <v>66</v>
      </c>
      <c r="S754" s="10">
        <v>94.65</v>
      </c>
      <c r="T754" s="10">
        <v>19.309999999999999</v>
      </c>
      <c r="U754" s="29">
        <v>43760</v>
      </c>
      <c r="V754" s="29">
        <v>47412</v>
      </c>
      <c r="W754" s="10" t="s">
        <v>13</v>
      </c>
      <c r="X754" s="10" t="s">
        <v>11</v>
      </c>
    </row>
    <row r="755" spans="1:24" ht="54" customHeight="1" x14ac:dyDescent="0.25">
      <c r="A755" s="10">
        <f t="shared" si="0"/>
        <v>752</v>
      </c>
      <c r="B755" s="11" t="s">
        <v>2034</v>
      </c>
      <c r="C755" s="10" t="s">
        <v>78</v>
      </c>
      <c r="D755" s="10" t="s">
        <v>79</v>
      </c>
      <c r="E755" s="10" t="s">
        <v>5</v>
      </c>
      <c r="F755" s="11" t="s">
        <v>2035</v>
      </c>
      <c r="G755" s="11"/>
      <c r="H755" s="11"/>
      <c r="I755" s="11">
        <v>1965</v>
      </c>
      <c r="J755" s="11" t="s">
        <v>54</v>
      </c>
      <c r="K755" s="15" t="str">
        <f>HYPERLINK("https://drive.google.com/open?id=12WC1Bu_lEABhJzMA7VMSl0Xd5ugZr4vK","АА000002")</f>
        <v>АА000002</v>
      </c>
      <c r="L755" s="15" t="str">
        <f>HYPERLINK("https://drive.google.com/open?id=1xtHxtXzEfzx_fn0j-kf6Q9mNt5fUhYne","Сертифікат")</f>
        <v>Сертифікат</v>
      </c>
      <c r="M755" s="11" t="s">
        <v>20</v>
      </c>
      <c r="N755" s="10">
        <v>3136</v>
      </c>
      <c r="O755" s="10">
        <v>10901</v>
      </c>
      <c r="P755" s="10">
        <v>3</v>
      </c>
      <c r="Q755" s="10">
        <v>57</v>
      </c>
      <c r="R755" s="10" t="s">
        <v>66</v>
      </c>
      <c r="S755" s="10">
        <v>312</v>
      </c>
      <c r="T755" s="10">
        <v>61</v>
      </c>
      <c r="U755" s="29">
        <v>43615</v>
      </c>
      <c r="V755" s="29">
        <v>47267</v>
      </c>
      <c r="W755" s="10" t="s">
        <v>10</v>
      </c>
      <c r="X755" s="10" t="s">
        <v>17</v>
      </c>
    </row>
    <row r="756" spans="1:24" ht="54" customHeight="1" x14ac:dyDescent="0.25">
      <c r="A756" s="10">
        <f t="shared" si="0"/>
        <v>753</v>
      </c>
      <c r="B756" s="11" t="s">
        <v>2046</v>
      </c>
      <c r="C756" s="24" t="s">
        <v>405</v>
      </c>
      <c r="D756" s="52" t="s">
        <v>148</v>
      </c>
      <c r="E756" s="10" t="s">
        <v>0</v>
      </c>
      <c r="F756" s="11" t="s">
        <v>2047</v>
      </c>
      <c r="G756" s="11"/>
      <c r="H756" s="11"/>
      <c r="I756" s="11">
        <v>1980</v>
      </c>
      <c r="J756" s="27" t="s">
        <v>276</v>
      </c>
      <c r="K756" s="15" t="str">
        <f>HYPERLINK("https://drive.google.com/open?id=1xKDm5adVHh4bLbZX5D9_DIs--dpuGyBZ","СБ-0022")</f>
        <v>СБ-0022</v>
      </c>
      <c r="L756" s="15" t="str">
        <f>HYPERLINK("https://drive.google.com/open?id=18kxkmfOlBkz__RydMF02FaWC3Y-fkPnt","Сертифікат")</f>
        <v>Сертифікат</v>
      </c>
      <c r="M756" s="11" t="s">
        <v>26</v>
      </c>
      <c r="N756" s="10">
        <v>6035</v>
      </c>
      <c r="O756" s="10">
        <v>15087</v>
      </c>
      <c r="P756" s="10">
        <v>5</v>
      </c>
      <c r="Q756" s="10">
        <v>173</v>
      </c>
      <c r="R756" s="10" t="s">
        <v>57</v>
      </c>
      <c r="S756" s="10">
        <v>300</v>
      </c>
      <c r="T756" s="10">
        <v>51</v>
      </c>
      <c r="U756" s="29">
        <v>43760</v>
      </c>
      <c r="V756" s="29">
        <v>47412</v>
      </c>
      <c r="W756" s="10" t="s">
        <v>10</v>
      </c>
      <c r="X756" s="10" t="s">
        <v>17</v>
      </c>
    </row>
    <row r="757" spans="1:24" ht="54" customHeight="1" x14ac:dyDescent="0.25">
      <c r="A757" s="10">
        <f t="shared" si="0"/>
        <v>754</v>
      </c>
      <c r="B757" s="11" t="s">
        <v>2048</v>
      </c>
      <c r="C757" s="10" t="s">
        <v>359</v>
      </c>
      <c r="D757" s="10" t="s">
        <v>124</v>
      </c>
      <c r="E757" s="10" t="s">
        <v>0</v>
      </c>
      <c r="F757" s="11" t="s">
        <v>2049</v>
      </c>
      <c r="G757" s="11"/>
      <c r="H757" s="11"/>
      <c r="I757" s="11">
        <v>1969</v>
      </c>
      <c r="J757" s="11" t="s">
        <v>64</v>
      </c>
      <c r="K757" s="15" t="str">
        <f>HYPERLINK("https://drive.google.com/open?id=1-fr_zsf-7fSXhRxegEztRfDKVGALmS4z","АА000004")</f>
        <v>АА000004</v>
      </c>
      <c r="L757" s="15" t="str">
        <f>HYPERLINK("https://drive.google.com/open?id=1zkc2LsPk7K_G3Qq1we5ip9Nl42ZpjRrf","Сертифікат")</f>
        <v>Сертифікат</v>
      </c>
      <c r="M757" s="11" t="s">
        <v>26</v>
      </c>
      <c r="N757" s="10">
        <v>5209</v>
      </c>
      <c r="O757" s="10">
        <v>13861</v>
      </c>
      <c r="P757" s="10">
        <v>5</v>
      </c>
      <c r="Q757" s="10">
        <v>153</v>
      </c>
      <c r="R757" s="10" t="s">
        <v>57</v>
      </c>
      <c r="S757" s="10">
        <v>184</v>
      </c>
      <c r="T757" s="10">
        <v>68</v>
      </c>
      <c r="U757" s="29">
        <v>43759</v>
      </c>
      <c r="V757" s="29">
        <v>47411</v>
      </c>
      <c r="W757" s="10" t="s">
        <v>10</v>
      </c>
      <c r="X757" s="10" t="s">
        <v>17</v>
      </c>
    </row>
    <row r="758" spans="1:24" ht="54" customHeight="1" x14ac:dyDescent="0.25">
      <c r="A758" s="10">
        <f t="shared" si="0"/>
        <v>755</v>
      </c>
      <c r="B758" s="11" t="s">
        <v>2050</v>
      </c>
      <c r="C758" s="10" t="s">
        <v>1145</v>
      </c>
      <c r="D758" s="10" t="s">
        <v>1295</v>
      </c>
      <c r="E758" s="10" t="s">
        <v>0</v>
      </c>
      <c r="F758" s="11" t="s">
        <v>1009</v>
      </c>
      <c r="G758" s="11"/>
      <c r="H758" s="11"/>
      <c r="I758" s="11" t="s">
        <v>836</v>
      </c>
      <c r="J758" s="27" t="s">
        <v>1660</v>
      </c>
      <c r="K758" s="15" t="str">
        <f>HYPERLINK("https://drive.google.com/open?id=1oLEtNwc-cHUiCjT6H-8zpZIM41iqf7Hj","ХМ 02071234/001")</f>
        <v>ХМ 02071234/001</v>
      </c>
      <c r="L758" s="15" t="str">
        <f>HYPERLINK("https://drive.google.com/open?id=1OFcazR_Kq_LomB8S-KPdVExJumgS7oyA","Сертифікат")</f>
        <v>Сертифікат</v>
      </c>
      <c r="M758" s="11" t="s">
        <v>20</v>
      </c>
      <c r="N758" s="10">
        <v>2472</v>
      </c>
      <c r="O758" s="10">
        <v>6921</v>
      </c>
      <c r="P758" s="10">
        <v>10</v>
      </c>
      <c r="Q758" s="10">
        <v>89.09</v>
      </c>
      <c r="R758" s="10" t="s">
        <v>57</v>
      </c>
      <c r="S758" s="10">
        <v>109.66</v>
      </c>
      <c r="T758" s="10">
        <v>21.72</v>
      </c>
      <c r="U758" s="29">
        <v>43761</v>
      </c>
      <c r="V758" s="66">
        <v>47413</v>
      </c>
      <c r="W758" s="10" t="s">
        <v>10</v>
      </c>
      <c r="X758" s="10" t="s">
        <v>17</v>
      </c>
    </row>
    <row r="759" spans="1:24" ht="54" customHeight="1" x14ac:dyDescent="0.25">
      <c r="A759" s="10">
        <f t="shared" si="0"/>
        <v>756</v>
      </c>
      <c r="B759" s="11" t="s">
        <v>2051</v>
      </c>
      <c r="C759" s="10" t="s">
        <v>2052</v>
      </c>
      <c r="D759" s="10" t="s">
        <v>75</v>
      </c>
      <c r="E759" s="10" t="s">
        <v>5</v>
      </c>
      <c r="F759" s="11" t="s">
        <v>2053</v>
      </c>
      <c r="G759" s="11"/>
      <c r="H759" s="11"/>
      <c r="I759" s="11">
        <v>1960</v>
      </c>
      <c r="J759" s="11" t="s">
        <v>2054</v>
      </c>
      <c r="K759" s="15" t="str">
        <f>HYPERLINK("https://drive.google.com/open?id=15mzOVo5DzvZRYSFkEsMp5jV14CeCYhNn","АЕ00007")</f>
        <v>АЕ00007</v>
      </c>
      <c r="L759" s="15" t="str">
        <f>HYPERLINK("https://drive.google.com/open?id=1A31ieSrm1ehFA-bKc_1K5xGS3czr2Ihc","Сертифікат")</f>
        <v>Сертифікат</v>
      </c>
      <c r="M759" s="11" t="s">
        <v>26</v>
      </c>
      <c r="N759" s="10">
        <v>1041</v>
      </c>
      <c r="O759" s="10">
        <v>3669.5</v>
      </c>
      <c r="P759" s="10">
        <v>2</v>
      </c>
      <c r="Q759" s="10">
        <v>103.4</v>
      </c>
      <c r="R759" s="10" t="s">
        <v>66</v>
      </c>
      <c r="S759" s="10">
        <v>521.9</v>
      </c>
      <c r="T759" s="10">
        <v>144</v>
      </c>
      <c r="U759" s="29">
        <v>43760</v>
      </c>
      <c r="V759" s="29">
        <v>47412</v>
      </c>
      <c r="W759" s="10" t="s">
        <v>13</v>
      </c>
      <c r="X759" s="10" t="s">
        <v>17</v>
      </c>
    </row>
    <row r="760" spans="1:24" ht="54" customHeight="1" x14ac:dyDescent="0.25">
      <c r="A760" s="10">
        <f t="shared" si="0"/>
        <v>757</v>
      </c>
      <c r="B760" s="11" t="s">
        <v>2055</v>
      </c>
      <c r="C760" s="47" t="s">
        <v>1279</v>
      </c>
      <c r="D760" s="10" t="s">
        <v>442</v>
      </c>
      <c r="E760" s="10" t="s">
        <v>0</v>
      </c>
      <c r="F760" s="11" t="s">
        <v>2056</v>
      </c>
      <c r="G760" s="11"/>
      <c r="H760" s="11"/>
      <c r="I760" s="11">
        <v>1996</v>
      </c>
      <c r="J760" s="10" t="s">
        <v>458</v>
      </c>
      <c r="K760" s="15" t="s">
        <v>459</v>
      </c>
      <c r="L760" s="15" t="str">
        <f>HYPERLINK("https://drive.google.com/open?id=17NDEMIv5IkbOaQ1kZV_fmiNw8c7Ko4y2","Сертифікат")</f>
        <v>Сертифікат</v>
      </c>
      <c r="M760" s="11" t="s">
        <v>22</v>
      </c>
      <c r="N760" s="10">
        <v>13500</v>
      </c>
      <c r="O760" s="10">
        <v>37057</v>
      </c>
      <c r="P760" s="10">
        <v>9</v>
      </c>
      <c r="Q760" s="10">
        <v>126</v>
      </c>
      <c r="R760" s="10" t="s">
        <v>57</v>
      </c>
      <c r="S760" s="10">
        <v>229</v>
      </c>
      <c r="T760" s="10">
        <v>44</v>
      </c>
      <c r="U760" s="29">
        <v>43760</v>
      </c>
      <c r="V760" s="66">
        <v>47412</v>
      </c>
      <c r="W760" s="10" t="s">
        <v>10</v>
      </c>
      <c r="X760" s="10" t="s">
        <v>17</v>
      </c>
    </row>
    <row r="761" spans="1:24" ht="54" customHeight="1" x14ac:dyDescent="0.25">
      <c r="A761" s="10">
        <f t="shared" si="0"/>
        <v>758</v>
      </c>
      <c r="B761" s="11" t="s">
        <v>2057</v>
      </c>
      <c r="C761" s="10" t="s">
        <v>2058</v>
      </c>
      <c r="D761" s="10" t="s">
        <v>648</v>
      </c>
      <c r="E761" s="10" t="s">
        <v>2</v>
      </c>
      <c r="F761" s="11" t="s">
        <v>2059</v>
      </c>
      <c r="G761" s="11"/>
      <c r="H761" s="11"/>
      <c r="I761" s="11" t="s">
        <v>836</v>
      </c>
      <c r="J761" s="11" t="s">
        <v>209</v>
      </c>
      <c r="K761" s="46" t="s">
        <v>210</v>
      </c>
      <c r="L761" s="46" t="str">
        <f>HYPERLINK("https://drive.google.com/open?id=1rwnQ4OoFzAzLjU9-cr2iw9E76JPnJN0q","Сертифікат")</f>
        <v>Сертифікат</v>
      </c>
      <c r="M761" s="11" t="s">
        <v>15</v>
      </c>
      <c r="N761" s="10">
        <v>1542</v>
      </c>
      <c r="O761" s="10">
        <v>11658</v>
      </c>
      <c r="P761" s="10">
        <v>2</v>
      </c>
      <c r="Q761" s="10">
        <v>36</v>
      </c>
      <c r="R761" s="10" t="s">
        <v>66</v>
      </c>
      <c r="S761" s="10">
        <v>333</v>
      </c>
      <c r="T761" s="10">
        <v>62</v>
      </c>
      <c r="U761" s="29">
        <v>43759</v>
      </c>
      <c r="V761" s="29">
        <v>47411</v>
      </c>
      <c r="W761" s="10" t="s">
        <v>10</v>
      </c>
      <c r="X761" s="10" t="s">
        <v>17</v>
      </c>
    </row>
    <row r="762" spans="1:24" ht="54" customHeight="1" x14ac:dyDescent="0.25">
      <c r="A762" s="10">
        <f t="shared" si="0"/>
        <v>759</v>
      </c>
      <c r="B762" s="11" t="s">
        <v>2060</v>
      </c>
      <c r="C762" s="10" t="s">
        <v>1561</v>
      </c>
      <c r="D762" s="10" t="s">
        <v>86</v>
      </c>
      <c r="E762" s="10" t="s">
        <v>7</v>
      </c>
      <c r="F762" s="11" t="s">
        <v>2061</v>
      </c>
      <c r="G762" s="11"/>
      <c r="H762" s="11"/>
      <c r="I762" s="11" t="s">
        <v>836</v>
      </c>
      <c r="J762" s="11" t="s">
        <v>1205</v>
      </c>
      <c r="K762" s="15" t="str">
        <f>HYPERLINK("https://drive.google.com/open?id=1AgHhVTxS6GZgfWxgXmp01ENmEAgVKsdV","ОД 02071010/1001-18")</f>
        <v>ОД 02071010/1001-18</v>
      </c>
      <c r="L762" s="15" t="str">
        <f>HYPERLINK("https://drive.google.com/open?id=1tKcoYQxieB4GLK2eLF8eo5v-Gbw4IGwz","Сертифікат")</f>
        <v>Сертифікат</v>
      </c>
      <c r="M762" s="11" t="s">
        <v>18</v>
      </c>
      <c r="N762" s="10">
        <v>2128.38</v>
      </c>
      <c r="O762" s="10">
        <v>7382.94</v>
      </c>
      <c r="P762" s="10">
        <v>2</v>
      </c>
      <c r="Q762" s="10">
        <v>58.12</v>
      </c>
      <c r="R762" s="10" t="s">
        <v>66</v>
      </c>
      <c r="S762" s="10">
        <v>463.75</v>
      </c>
      <c r="T762" s="10">
        <v>84.68</v>
      </c>
      <c r="U762" s="29">
        <v>43760</v>
      </c>
      <c r="V762" s="66">
        <v>47412</v>
      </c>
      <c r="W762" s="10" t="s">
        <v>10</v>
      </c>
      <c r="X762" s="10" t="s">
        <v>17</v>
      </c>
    </row>
    <row r="763" spans="1:24" ht="54" customHeight="1" x14ac:dyDescent="0.25">
      <c r="A763" s="10">
        <f t="shared" si="0"/>
        <v>760</v>
      </c>
      <c r="B763" s="27" t="s">
        <v>2062</v>
      </c>
      <c r="C763" s="10" t="s">
        <v>441</v>
      </c>
      <c r="D763" s="10" t="s">
        <v>442</v>
      </c>
      <c r="E763" s="10" t="s">
        <v>0</v>
      </c>
      <c r="F763" s="27" t="s">
        <v>0</v>
      </c>
      <c r="G763" s="11"/>
      <c r="H763" s="11"/>
      <c r="I763" s="11" t="s">
        <v>836</v>
      </c>
      <c r="J763" s="11" t="s">
        <v>797</v>
      </c>
      <c r="K763" s="15" t="s">
        <v>798</v>
      </c>
      <c r="L763" s="15" t="str">
        <f>HYPERLINK("https://drive.google.com/open?id=1kJeYCZpYmZWGaFTbxmyjN26jvy-v25Wc","Сертифікат")</f>
        <v>Сертифікат</v>
      </c>
      <c r="M763" s="11" t="s">
        <v>15</v>
      </c>
      <c r="N763" s="10">
        <v>5781.4</v>
      </c>
      <c r="O763" s="10">
        <v>19078.599999999999</v>
      </c>
      <c r="P763" s="10">
        <v>7</v>
      </c>
      <c r="Q763" s="10">
        <v>62.5</v>
      </c>
      <c r="R763" s="10" t="s">
        <v>57</v>
      </c>
      <c r="S763" s="10">
        <v>203.8</v>
      </c>
      <c r="T763" s="10">
        <v>63.2</v>
      </c>
      <c r="U763" s="29">
        <v>43756</v>
      </c>
      <c r="V763" s="66">
        <v>47408</v>
      </c>
      <c r="W763" s="10" t="s">
        <v>10</v>
      </c>
      <c r="X763" s="10" t="s">
        <v>17</v>
      </c>
    </row>
    <row r="764" spans="1:24" ht="54" customHeight="1" x14ac:dyDescent="0.25">
      <c r="A764" s="10">
        <f t="shared" si="0"/>
        <v>761</v>
      </c>
      <c r="B764" s="11" t="s">
        <v>2063</v>
      </c>
      <c r="C764" s="10" t="s">
        <v>2052</v>
      </c>
      <c r="D764" s="10" t="s">
        <v>75</v>
      </c>
      <c r="E764" s="10" t="s">
        <v>5</v>
      </c>
      <c r="F764" s="11" t="s">
        <v>2064</v>
      </c>
      <c r="G764" s="11"/>
      <c r="H764" s="11"/>
      <c r="I764" s="11">
        <v>1960</v>
      </c>
      <c r="J764" s="11" t="s">
        <v>2054</v>
      </c>
      <c r="K764" s="15" t="str">
        <f>HYPERLINK("https://drive.google.com/open?id=15mzOVo5DzvZRYSFkEsMp5jV14CeCYhNn","АЕ00007")</f>
        <v>АЕ00007</v>
      </c>
      <c r="L764" s="15" t="str">
        <f>HYPERLINK("https://drive.google.com/open?id=1c1RIrmkppDUvLa6AINx3pAGYkmuJwfm3","Сертифікат")</f>
        <v>Сертифікат</v>
      </c>
      <c r="M764" s="11" t="s">
        <v>26</v>
      </c>
      <c r="N764" s="10">
        <v>2276.1</v>
      </c>
      <c r="O764" s="10">
        <v>7738.74</v>
      </c>
      <c r="P764" s="10">
        <v>3</v>
      </c>
      <c r="Q764" s="10">
        <v>107.2</v>
      </c>
      <c r="R764" s="10" t="s">
        <v>66</v>
      </c>
      <c r="S764" s="10">
        <v>518.1</v>
      </c>
      <c r="T764" s="10">
        <v>141.80000000000001</v>
      </c>
      <c r="U764" s="29">
        <v>43761</v>
      </c>
      <c r="V764" s="66">
        <v>47413</v>
      </c>
      <c r="W764" s="10" t="s">
        <v>13</v>
      </c>
      <c r="X764" s="10" t="s">
        <v>17</v>
      </c>
    </row>
    <row r="765" spans="1:24" ht="54" customHeight="1" x14ac:dyDescent="0.25">
      <c r="A765" s="10">
        <f t="shared" si="0"/>
        <v>762</v>
      </c>
      <c r="B765" s="11" t="s">
        <v>2065</v>
      </c>
      <c r="C765" s="10" t="s">
        <v>2066</v>
      </c>
      <c r="D765" s="10" t="s">
        <v>442</v>
      </c>
      <c r="E765" s="10" t="s">
        <v>0</v>
      </c>
      <c r="F765" s="11" t="s">
        <v>2067</v>
      </c>
      <c r="G765" s="11"/>
      <c r="H765" s="11"/>
      <c r="I765" s="11" t="s">
        <v>685</v>
      </c>
      <c r="J765" s="11" t="s">
        <v>2068</v>
      </c>
      <c r="K765" s="15" t="str">
        <f t="shared" ref="K765:K766" si="55">HYPERLINK("https://drive.google.com/open?id=1eDNgKEHfM6t-2kRETx2zBe_apzCfXzE1","ОД №000007")</f>
        <v>ОД №000007</v>
      </c>
      <c r="L765" s="15" t="str">
        <f>HYPERLINK("https://drive.google.com/open?id=1btliUq7K0PBfp5zp_qOq2-U5N-MR6TUF","Сертифікат")</f>
        <v>Сертифікат</v>
      </c>
      <c r="M765" s="11" t="s">
        <v>26</v>
      </c>
      <c r="N765" s="10">
        <v>1678.08</v>
      </c>
      <c r="O765" s="10">
        <v>6376.7</v>
      </c>
      <c r="P765" s="10">
        <v>4</v>
      </c>
      <c r="Q765" s="10">
        <v>224.8</v>
      </c>
      <c r="R765" s="10" t="s">
        <v>57</v>
      </c>
      <c r="S765" s="10">
        <v>401.5</v>
      </c>
      <c r="T765" s="10">
        <v>75.8</v>
      </c>
      <c r="U765" s="29">
        <v>43749</v>
      </c>
      <c r="V765" s="66">
        <v>47401</v>
      </c>
      <c r="W765" s="10" t="s">
        <v>10</v>
      </c>
      <c r="X765" s="10" t="s">
        <v>17</v>
      </c>
    </row>
    <row r="766" spans="1:24" ht="54" customHeight="1" x14ac:dyDescent="0.25">
      <c r="A766" s="10">
        <f t="shared" si="0"/>
        <v>763</v>
      </c>
      <c r="B766" s="11" t="s">
        <v>2065</v>
      </c>
      <c r="C766" s="10" t="s">
        <v>2066</v>
      </c>
      <c r="D766" s="10" t="s">
        <v>442</v>
      </c>
      <c r="E766" s="10" t="s">
        <v>0</v>
      </c>
      <c r="F766" s="11" t="s">
        <v>2069</v>
      </c>
      <c r="G766" s="11"/>
      <c r="H766" s="11"/>
      <c r="I766" s="11" t="s">
        <v>685</v>
      </c>
      <c r="J766" s="11" t="s">
        <v>2068</v>
      </c>
      <c r="K766" s="15" t="str">
        <f t="shared" si="55"/>
        <v>ОД №000007</v>
      </c>
      <c r="L766" s="15" t="str">
        <f>HYPERLINK("https://drive.google.com/open?id=19krfGQ_9KpNO0uR8F8HgfImmnCnVAt6g","Сертифікат")</f>
        <v>Сертифікат</v>
      </c>
      <c r="M766" s="11" t="s">
        <v>24</v>
      </c>
      <c r="N766" s="10">
        <v>680.88</v>
      </c>
      <c r="O766" s="10">
        <v>2635.9</v>
      </c>
      <c r="P766" s="10">
        <v>2</v>
      </c>
      <c r="Q766" s="10">
        <v>223.3</v>
      </c>
      <c r="R766" s="10" t="s">
        <v>57</v>
      </c>
      <c r="S766" s="10">
        <v>246.5</v>
      </c>
      <c r="T766" s="10">
        <v>49.3</v>
      </c>
      <c r="U766" s="29">
        <v>43749</v>
      </c>
      <c r="V766" s="66">
        <v>47401</v>
      </c>
      <c r="W766" s="10" t="s">
        <v>10</v>
      </c>
      <c r="X766" s="10" t="s">
        <v>17</v>
      </c>
    </row>
    <row r="767" spans="1:24" ht="50.25" customHeight="1" x14ac:dyDescent="0.25">
      <c r="A767" s="10">
        <f t="shared" si="0"/>
        <v>764</v>
      </c>
      <c r="B767" s="11" t="s">
        <v>2070</v>
      </c>
      <c r="C767" s="52" t="s">
        <v>2052</v>
      </c>
      <c r="D767" s="47" t="s">
        <v>75</v>
      </c>
      <c r="E767" s="10" t="s">
        <v>5</v>
      </c>
      <c r="F767" s="11" t="s">
        <v>2071</v>
      </c>
      <c r="G767" s="11"/>
      <c r="H767" s="11"/>
      <c r="I767" s="11">
        <v>1989</v>
      </c>
      <c r="J767" s="11" t="s">
        <v>2054</v>
      </c>
      <c r="K767" s="15" t="str">
        <f>HYPERLINK("https://drive.google.com/open?id=15mzOVo5DzvZRYSFkEsMp5jV14CeCYhNn","№АЕ00007")</f>
        <v>№АЕ00007</v>
      </c>
      <c r="L767" s="15" t="str">
        <f>HYPERLINK("https://drive.google.com/open?id=12q6PMz7GwGWWeQWwkbTzK36ytPqxRcdP","Сертифікат")</f>
        <v>Сертифікат</v>
      </c>
      <c r="M767" s="11" t="s">
        <v>26</v>
      </c>
      <c r="N767" s="10">
        <v>3142.9</v>
      </c>
      <c r="O767" s="10">
        <v>16254.2</v>
      </c>
      <c r="P767" s="10">
        <v>4</v>
      </c>
      <c r="Q767" s="10">
        <v>111.1</v>
      </c>
      <c r="R767" s="10" t="s">
        <v>66</v>
      </c>
      <c r="S767" s="10">
        <v>581.1</v>
      </c>
      <c r="T767" s="10">
        <v>158</v>
      </c>
      <c r="U767" s="29">
        <v>43761</v>
      </c>
      <c r="V767" s="66">
        <v>47413</v>
      </c>
      <c r="W767" s="10" t="s">
        <v>13</v>
      </c>
      <c r="X767" s="10" t="s">
        <v>17</v>
      </c>
    </row>
    <row r="768" spans="1:24" ht="50.25" customHeight="1" x14ac:dyDescent="0.25">
      <c r="A768" s="10">
        <f t="shared" si="0"/>
        <v>765</v>
      </c>
      <c r="B768" s="11" t="s">
        <v>2072</v>
      </c>
      <c r="C768" s="47" t="s">
        <v>2073</v>
      </c>
      <c r="D768" s="52" t="s">
        <v>69</v>
      </c>
      <c r="E768" s="10" t="s">
        <v>3</v>
      </c>
      <c r="F768" s="11" t="s">
        <v>2074</v>
      </c>
      <c r="G768" s="11"/>
      <c r="H768" s="11"/>
      <c r="I768" s="11">
        <v>2019</v>
      </c>
      <c r="J768" s="11" t="s">
        <v>1622</v>
      </c>
      <c r="K768" s="15" t="str">
        <f>HYPERLINK("https://drive.google.com/open?id=1YFy-QkXteFQ7Qy3y-cGXRmFusNCMcXqN"," ОД № 000019 ")</f>
        <v xml:space="preserve"> ОД № 000019 </v>
      </c>
      <c r="L768" s="15" t="str">
        <f>HYPERLINK("https://drive.google.com/open?id=13LIMc-Q-lGEsciDTu9tJlwYpEnAQzlgl","Сертифікат")</f>
        <v>Сертифікат</v>
      </c>
      <c r="M768" s="11" t="s">
        <v>18</v>
      </c>
      <c r="N768" s="10">
        <v>5336</v>
      </c>
      <c r="O768" s="10">
        <v>19424</v>
      </c>
      <c r="P768" s="10" t="s">
        <v>2075</v>
      </c>
      <c r="Q768" s="10">
        <v>32.700000000000003</v>
      </c>
      <c r="R768" s="10" t="s">
        <v>66</v>
      </c>
      <c r="S768" s="10">
        <v>75.2</v>
      </c>
      <c r="T768" s="10">
        <v>14.1</v>
      </c>
      <c r="U768" s="29">
        <v>43753</v>
      </c>
      <c r="V768" s="66">
        <v>47405</v>
      </c>
      <c r="W768" s="10" t="s">
        <v>13</v>
      </c>
      <c r="X768" s="10" t="s">
        <v>17</v>
      </c>
    </row>
    <row r="769" spans="1:24" ht="50.25" customHeight="1" x14ac:dyDescent="0.25">
      <c r="A769" s="10">
        <f t="shared" si="0"/>
        <v>766</v>
      </c>
      <c r="B769" s="11" t="s">
        <v>2076</v>
      </c>
      <c r="C769" s="10" t="s">
        <v>243</v>
      </c>
      <c r="D769" s="10" t="s">
        <v>238</v>
      </c>
      <c r="E769" s="10" t="s">
        <v>7</v>
      </c>
      <c r="F769" s="11" t="s">
        <v>2077</v>
      </c>
      <c r="G769" s="11"/>
      <c r="H769" s="11"/>
      <c r="I769" s="11" t="s">
        <v>1231</v>
      </c>
      <c r="J769" s="11" t="s">
        <v>2078</v>
      </c>
      <c r="K769" s="15" t="str">
        <f>HYPERLINK("https://drive.google.com/open?id=1Dy7TR5-TW7HHFgoURAEWFg2CT6g-sR4I","ЕА 02070766/15-19")</f>
        <v>ЕА 02070766/15-19</v>
      </c>
      <c r="L769" s="15" t="str">
        <f>HYPERLINK("https://drive.google.com/open?id=1ONW3Se81o_AL5bnywbxxI-w-4Nj-TVf_","Сертифікат")</f>
        <v>Сертифікат</v>
      </c>
      <c r="M769" s="11" t="s">
        <v>18</v>
      </c>
      <c r="N769" s="10">
        <v>834.24</v>
      </c>
      <c r="O769" s="10">
        <v>4524.25</v>
      </c>
      <c r="P769" s="10">
        <v>1</v>
      </c>
      <c r="Q769" s="10">
        <v>58.4</v>
      </c>
      <c r="R769" s="10" t="s">
        <v>66</v>
      </c>
      <c r="S769" s="10">
        <v>841.9</v>
      </c>
      <c r="T769" s="10">
        <v>153.69999999999999</v>
      </c>
      <c r="U769" s="29">
        <v>43762</v>
      </c>
      <c r="V769" s="66">
        <v>47414</v>
      </c>
      <c r="W769" s="10" t="s">
        <v>13</v>
      </c>
      <c r="X769" s="10" t="s">
        <v>17</v>
      </c>
    </row>
    <row r="770" spans="1:24" ht="50.25" customHeight="1" x14ac:dyDescent="0.25">
      <c r="A770" s="10">
        <f t="shared" si="0"/>
        <v>767</v>
      </c>
      <c r="B770" s="11" t="s">
        <v>2079</v>
      </c>
      <c r="C770" s="47" t="s">
        <v>2080</v>
      </c>
      <c r="D770" s="52" t="s">
        <v>69</v>
      </c>
      <c r="E770" s="10" t="s">
        <v>3</v>
      </c>
      <c r="F770" s="11" t="s">
        <v>2081</v>
      </c>
      <c r="G770" s="11"/>
      <c r="H770" s="11"/>
      <c r="I770" s="11" t="s">
        <v>2082</v>
      </c>
      <c r="J770" s="11" t="s">
        <v>609</v>
      </c>
      <c r="K770" s="15" t="str">
        <f>HYPERLINK("https://drive.google.com/open?id=1MmGP6rtYcZwVyIqDA-ykUrezieQsOMPg","ОД 000024")</f>
        <v>ОД 000024</v>
      </c>
      <c r="L770" s="48" t="s">
        <v>56</v>
      </c>
      <c r="M770" s="11" t="s">
        <v>26</v>
      </c>
      <c r="N770" s="10">
        <v>444.6</v>
      </c>
      <c r="O770" s="10">
        <v>1226</v>
      </c>
      <c r="P770" s="10">
        <v>1</v>
      </c>
      <c r="Q770" s="10">
        <v>71.3</v>
      </c>
      <c r="R770" s="10" t="s">
        <v>66</v>
      </c>
      <c r="S770" s="10">
        <v>91.1</v>
      </c>
      <c r="T770" s="10">
        <v>17.3</v>
      </c>
      <c r="U770" s="29">
        <v>43753</v>
      </c>
      <c r="V770" s="66">
        <v>47405</v>
      </c>
      <c r="W770" s="10" t="s">
        <v>13</v>
      </c>
      <c r="X770" s="10" t="s">
        <v>17</v>
      </c>
    </row>
    <row r="771" spans="1:24" ht="50.25" customHeight="1" x14ac:dyDescent="0.25">
      <c r="A771" s="10">
        <f t="shared" si="0"/>
        <v>768</v>
      </c>
      <c r="B771" s="11" t="s">
        <v>2083</v>
      </c>
      <c r="C771" s="10" t="s">
        <v>1589</v>
      </c>
      <c r="D771" s="10" t="s">
        <v>485</v>
      </c>
      <c r="E771" s="10" t="s">
        <v>0</v>
      </c>
      <c r="F771" s="11" t="s">
        <v>2084</v>
      </c>
      <c r="G771" s="11"/>
      <c r="H771" s="11"/>
      <c r="I771" s="11">
        <v>2019</v>
      </c>
      <c r="J771" s="11" t="s">
        <v>2085</v>
      </c>
      <c r="K771" s="15" t="str">
        <f>HYPERLINK("https://drive.google.com/open?id=1MsEPTqK0O8pAXIuNxJMSPEXdPU_FHsx3","ЕЕ00044")</f>
        <v>ЕЕ00044</v>
      </c>
      <c r="L771" s="15" t="str">
        <f>HYPERLINK("https://drive.google.com/open?id=19jvS5nJ20DSbfgrS-cu-AR-lRQxlLHPN","Сертифікат")</f>
        <v>Сертифікат</v>
      </c>
      <c r="M771" s="11" t="s">
        <v>18</v>
      </c>
      <c r="N771" s="10">
        <v>6214.2</v>
      </c>
      <c r="O771" s="10">
        <v>19015.45</v>
      </c>
      <c r="P771" s="10">
        <v>10</v>
      </c>
      <c r="Q771" s="10">
        <v>86.92</v>
      </c>
      <c r="R771" s="10" t="s">
        <v>57</v>
      </c>
      <c r="S771" s="10">
        <v>118.14</v>
      </c>
      <c r="T771" s="10">
        <v>22.44</v>
      </c>
      <c r="U771" s="29">
        <v>43748</v>
      </c>
      <c r="V771" s="66">
        <v>47400</v>
      </c>
      <c r="W771" s="10" t="s">
        <v>10</v>
      </c>
      <c r="X771" s="10" t="s">
        <v>17</v>
      </c>
    </row>
    <row r="772" spans="1:24" ht="50.25" customHeight="1" x14ac:dyDescent="0.25">
      <c r="A772" s="10">
        <f t="shared" si="0"/>
        <v>769</v>
      </c>
      <c r="B772" s="11" t="s">
        <v>2086</v>
      </c>
      <c r="C772" s="47" t="s">
        <v>814</v>
      </c>
      <c r="D772" s="10" t="s">
        <v>815</v>
      </c>
      <c r="E772" s="10" t="s">
        <v>0</v>
      </c>
      <c r="F772" s="11" t="s">
        <v>2087</v>
      </c>
      <c r="G772" s="11"/>
      <c r="H772" s="11"/>
      <c r="I772" s="11">
        <v>2019</v>
      </c>
      <c r="J772" s="24" t="s">
        <v>817</v>
      </c>
      <c r="K772" s="15" t="str">
        <f>HYPERLINK("https://drive.google.com/open?id=195Nt2QyFm2vF_nQatQf2cvvhnudkfcTY","ЕЕ 00020 ")</f>
        <v xml:space="preserve">ЕЕ 00020 </v>
      </c>
      <c r="L772" s="15" t="str">
        <f>HYPERLINK("https://drive.google.com/open?id=1pA5v1xD97pyX0F9c3tYO6mPa9Q8dOWpw","Сертифікат")</f>
        <v>Сертифікат</v>
      </c>
      <c r="M772" s="11" t="s">
        <v>20</v>
      </c>
      <c r="N772" s="10">
        <v>7607.83</v>
      </c>
      <c r="O772" s="10">
        <v>23388.71</v>
      </c>
      <c r="P772" s="10">
        <v>11</v>
      </c>
      <c r="Q772" s="10">
        <v>105.92</v>
      </c>
      <c r="R772" s="10" t="s">
        <v>57</v>
      </c>
      <c r="S772" s="10">
        <v>249.53</v>
      </c>
      <c r="T772" s="10">
        <v>47.59</v>
      </c>
      <c r="U772" s="29">
        <v>43763</v>
      </c>
      <c r="V772" s="29">
        <v>47415</v>
      </c>
      <c r="W772" s="10" t="s">
        <v>13</v>
      </c>
      <c r="X772" s="10" t="s">
        <v>17</v>
      </c>
    </row>
    <row r="773" spans="1:24" ht="50.25" customHeight="1" x14ac:dyDescent="0.25">
      <c r="A773" s="10">
        <f t="shared" si="0"/>
        <v>770</v>
      </c>
      <c r="B773" s="11" t="s">
        <v>2088</v>
      </c>
      <c r="C773" s="10" t="s">
        <v>357</v>
      </c>
      <c r="D773" s="10" t="s">
        <v>142</v>
      </c>
      <c r="E773" s="10" t="s">
        <v>0</v>
      </c>
      <c r="F773" s="11" t="s">
        <v>2089</v>
      </c>
      <c r="G773" s="11"/>
      <c r="H773" s="11"/>
      <c r="I773" s="11">
        <v>2019</v>
      </c>
      <c r="J773" s="10" t="s">
        <v>93</v>
      </c>
      <c r="K773" s="15" t="s">
        <v>94</v>
      </c>
      <c r="L773" s="15" t="str">
        <f>HYPERLINK("https://drive.google.com/open?id=1uu6yuFbrF-aroNRmjM6Ca7glmAlYpPul","Сертифікат")</f>
        <v>Сертифікат</v>
      </c>
      <c r="M773" s="11" t="s">
        <v>20</v>
      </c>
      <c r="N773" s="10">
        <v>2757.4</v>
      </c>
      <c r="O773" s="10">
        <v>8434.2000000000007</v>
      </c>
      <c r="P773" s="10">
        <v>11</v>
      </c>
      <c r="Q773" s="10">
        <v>102.2</v>
      </c>
      <c r="R773" s="10" t="s">
        <v>57</v>
      </c>
      <c r="S773" s="10">
        <v>150</v>
      </c>
      <c r="T773" s="10">
        <v>29</v>
      </c>
      <c r="U773" s="29">
        <v>43762</v>
      </c>
      <c r="V773" s="66">
        <v>47414</v>
      </c>
      <c r="W773" s="10" t="s">
        <v>13</v>
      </c>
      <c r="X773" s="10" t="s">
        <v>17</v>
      </c>
    </row>
    <row r="774" spans="1:24" ht="50.25" customHeight="1" x14ac:dyDescent="0.25">
      <c r="A774" s="10">
        <f t="shared" si="0"/>
        <v>771</v>
      </c>
      <c r="B774" s="11" t="s">
        <v>2090</v>
      </c>
      <c r="C774" s="10" t="s">
        <v>357</v>
      </c>
      <c r="D774" s="10" t="s">
        <v>142</v>
      </c>
      <c r="E774" s="10" t="s">
        <v>0</v>
      </c>
      <c r="F774" s="11" t="s">
        <v>2091</v>
      </c>
      <c r="G774" s="11"/>
      <c r="H774" s="11"/>
      <c r="I774" s="11">
        <v>2019</v>
      </c>
      <c r="J774" s="10" t="s">
        <v>93</v>
      </c>
      <c r="K774" s="15" t="s">
        <v>94</v>
      </c>
      <c r="L774" s="15" t="str">
        <f>HYPERLINK("https://drive.google.com/open?id=1ODeaeeC2ctkANhknhRTFUWEE4Q8K-AJt","Сертифікат")</f>
        <v>Сертифікат</v>
      </c>
      <c r="M774" s="11" t="s">
        <v>20</v>
      </c>
      <c r="N774" s="10">
        <v>6168.1</v>
      </c>
      <c r="O774" s="10" t="s">
        <v>2092</v>
      </c>
      <c r="P774" s="10">
        <v>11</v>
      </c>
      <c r="Q774" s="10">
        <v>101.8</v>
      </c>
      <c r="R774" s="10" t="s">
        <v>57</v>
      </c>
      <c r="S774" s="10">
        <v>149</v>
      </c>
      <c r="T774" s="10">
        <v>29</v>
      </c>
      <c r="U774" s="29">
        <v>43760</v>
      </c>
      <c r="V774" s="66">
        <v>47412</v>
      </c>
      <c r="W774" s="10" t="s">
        <v>13</v>
      </c>
      <c r="X774" s="10" t="s">
        <v>17</v>
      </c>
    </row>
    <row r="775" spans="1:24" ht="50.25" customHeight="1" x14ac:dyDescent="0.25">
      <c r="A775" s="10">
        <f t="shared" si="0"/>
        <v>772</v>
      </c>
      <c r="B775" s="11" t="s">
        <v>2093</v>
      </c>
      <c r="C775" s="11" t="s">
        <v>1364</v>
      </c>
      <c r="D775" s="10" t="s">
        <v>174</v>
      </c>
      <c r="E775" s="10" t="s">
        <v>0</v>
      </c>
      <c r="F775" s="11" t="s">
        <v>2094</v>
      </c>
      <c r="G775" s="11"/>
      <c r="H775" s="11"/>
      <c r="I775" s="11">
        <v>1961</v>
      </c>
      <c r="J775" s="11" t="s">
        <v>184</v>
      </c>
      <c r="K775" s="15" t="str">
        <f t="shared" ref="K775:K776" si="56">HYPERLINK("https://drive.google.com/open?id=1N5cfbs-lzTPxyeN_VgrmB-L1SYeUQSuZ","СБ-0031")</f>
        <v>СБ-0031</v>
      </c>
      <c r="L775" s="15" t="str">
        <f>HYPERLINK("https://drive.google.com/open?id=10M0w6fJE9GJApGDRmCj61JEmCOVjDa8d","Сертифікат")</f>
        <v>Сертифікат</v>
      </c>
      <c r="M775" s="11" t="s">
        <v>24</v>
      </c>
      <c r="N775" s="10">
        <v>4289</v>
      </c>
      <c r="O775" s="10">
        <v>11710</v>
      </c>
      <c r="P775" s="10">
        <v>5</v>
      </c>
      <c r="Q775" s="10">
        <v>150</v>
      </c>
      <c r="R775" s="10" t="s">
        <v>57</v>
      </c>
      <c r="S775" s="10">
        <v>253.7</v>
      </c>
      <c r="T775" s="10">
        <v>49.5</v>
      </c>
      <c r="U775" s="29">
        <v>43762</v>
      </c>
      <c r="V775" s="66">
        <v>47414</v>
      </c>
      <c r="W775" s="10" t="s">
        <v>10</v>
      </c>
      <c r="X775" s="10" t="s">
        <v>17</v>
      </c>
    </row>
    <row r="776" spans="1:24" ht="50.25" customHeight="1" x14ac:dyDescent="0.25">
      <c r="A776" s="10">
        <f t="shared" si="0"/>
        <v>773</v>
      </c>
      <c r="B776" s="11" t="s">
        <v>2095</v>
      </c>
      <c r="C776" s="11" t="s">
        <v>1364</v>
      </c>
      <c r="D776" s="10" t="s">
        <v>174</v>
      </c>
      <c r="E776" s="10" t="s">
        <v>0</v>
      </c>
      <c r="F776" s="11" t="s">
        <v>2094</v>
      </c>
      <c r="G776" s="11"/>
      <c r="H776" s="11"/>
      <c r="I776" s="11">
        <v>1961</v>
      </c>
      <c r="J776" s="11" t="s">
        <v>184</v>
      </c>
      <c r="K776" s="15" t="str">
        <f t="shared" si="56"/>
        <v>СБ-0031</v>
      </c>
      <c r="L776" s="15" t="str">
        <f>HYPERLINK("https://drive.google.com/open?id=1X8FhYoVJT0Ru5p4y8OePEJvyfI-yj7av","Сертифікат")</f>
        <v>Сертифікат</v>
      </c>
      <c r="M776" s="11" t="s">
        <v>24</v>
      </c>
      <c r="N776" s="10">
        <v>4371</v>
      </c>
      <c r="O776" s="10">
        <v>11934</v>
      </c>
      <c r="P776" s="10">
        <v>5</v>
      </c>
      <c r="Q776" s="10">
        <v>149</v>
      </c>
      <c r="R776" s="10" t="s">
        <v>57</v>
      </c>
      <c r="S776" s="10">
        <v>244.7</v>
      </c>
      <c r="T776" s="10">
        <v>47.8</v>
      </c>
      <c r="U776" s="29">
        <v>43762</v>
      </c>
      <c r="V776" s="66">
        <v>47414</v>
      </c>
      <c r="W776" s="10" t="s">
        <v>10</v>
      </c>
      <c r="X776" s="10" t="s">
        <v>17</v>
      </c>
    </row>
    <row r="777" spans="1:24" ht="50.25" customHeight="1" x14ac:dyDescent="0.25">
      <c r="A777" s="10">
        <f t="shared" si="0"/>
        <v>774</v>
      </c>
      <c r="B777" s="11" t="s">
        <v>2096</v>
      </c>
      <c r="C777" s="10" t="s">
        <v>2097</v>
      </c>
      <c r="D777" s="10" t="s">
        <v>75</v>
      </c>
      <c r="E777" s="10" t="s">
        <v>4</v>
      </c>
      <c r="F777" s="11" t="s">
        <v>2098</v>
      </c>
      <c r="G777" s="11"/>
      <c r="H777" s="11"/>
      <c r="I777" s="11">
        <v>1965</v>
      </c>
      <c r="J777" s="11" t="s">
        <v>2099</v>
      </c>
      <c r="K777" s="15" t="str">
        <f>HYPERLINK("https://drive.google.com/open?id=1exTfsVWlg5mcXI0DcAAVEpnntEAX6cLQ","АА000011")</f>
        <v>АА000011</v>
      </c>
      <c r="L777" s="15" t="str">
        <f>HYPERLINK("https://drive.google.com/open?id=1XwkFjflQ7faHaP4pCx8ni1kD7eu3GqdH","Сертифікат")</f>
        <v>Сертифікат</v>
      </c>
      <c r="M777" s="11" t="s">
        <v>26</v>
      </c>
      <c r="N777" s="10">
        <v>1187.5</v>
      </c>
      <c r="O777" s="10">
        <v>3740.6</v>
      </c>
      <c r="P777" s="10">
        <v>2</v>
      </c>
      <c r="Q777" s="10">
        <v>101.9</v>
      </c>
      <c r="R777" s="10" t="s">
        <v>66</v>
      </c>
      <c r="S777" s="10">
        <v>501</v>
      </c>
      <c r="T777" s="10">
        <v>98</v>
      </c>
      <c r="U777" s="29">
        <v>43761</v>
      </c>
      <c r="V777" s="66">
        <v>47413</v>
      </c>
      <c r="W777" s="10" t="s">
        <v>10</v>
      </c>
      <c r="X777" s="10" t="s">
        <v>17</v>
      </c>
    </row>
    <row r="778" spans="1:24" ht="50.25" customHeight="1" x14ac:dyDescent="0.25">
      <c r="A778" s="10">
        <f t="shared" si="0"/>
        <v>775</v>
      </c>
      <c r="B778" s="11" t="s">
        <v>1990</v>
      </c>
      <c r="C778" s="10" t="s">
        <v>805</v>
      </c>
      <c r="D778" s="10" t="s">
        <v>86</v>
      </c>
      <c r="E778" s="10" t="s">
        <v>2</v>
      </c>
      <c r="F778" s="11" t="s">
        <v>2100</v>
      </c>
      <c r="G778" s="11"/>
      <c r="H778" s="11"/>
      <c r="I778" s="11">
        <v>1939</v>
      </c>
      <c r="J778" s="11" t="s">
        <v>240</v>
      </c>
      <c r="K778" s="15" t="str">
        <f>HYPERLINK("https://drive.google.com/open?id=1bdfPcoVY7gGnfSqAUR9FcOU1nrSE71tH","АА000020")</f>
        <v>АА000020</v>
      </c>
      <c r="L778" s="15" t="str">
        <f>HYPERLINK("https://drive.google.com/open?id=1zV9uVM09oli29VDLizfU20EklWR6tjEm","Сертифікат")</f>
        <v>Сертифікат</v>
      </c>
      <c r="M778" s="11" t="s">
        <v>20</v>
      </c>
      <c r="N778" s="10">
        <v>1326</v>
      </c>
      <c r="O778" s="10">
        <v>4972.5</v>
      </c>
      <c r="P778" s="10">
        <v>3</v>
      </c>
      <c r="Q778" s="10">
        <v>60.6</v>
      </c>
      <c r="R778" s="10" t="s">
        <v>66</v>
      </c>
      <c r="S778" s="10">
        <v>309.20999999999998</v>
      </c>
      <c r="T778" s="10">
        <v>82.56</v>
      </c>
      <c r="U778" s="29">
        <v>43755</v>
      </c>
      <c r="V778" s="66">
        <v>47407</v>
      </c>
      <c r="W778" s="10" t="s">
        <v>10</v>
      </c>
      <c r="X778" s="10" t="s">
        <v>17</v>
      </c>
    </row>
    <row r="779" spans="1:24" ht="50.25" customHeight="1" x14ac:dyDescent="0.25">
      <c r="A779" s="10">
        <f t="shared" si="0"/>
        <v>776</v>
      </c>
      <c r="B779" s="27" t="s">
        <v>2101</v>
      </c>
      <c r="C779" s="10" t="s">
        <v>1507</v>
      </c>
      <c r="D779" s="10" t="s">
        <v>317</v>
      </c>
      <c r="E779" s="10" t="s">
        <v>2</v>
      </c>
      <c r="F779" s="27" t="s">
        <v>2102</v>
      </c>
      <c r="G779" s="11"/>
      <c r="H779" s="11"/>
      <c r="I779" s="11">
        <v>1969</v>
      </c>
      <c r="J779" s="10" t="s">
        <v>1509</v>
      </c>
      <c r="K779" s="51" t="s">
        <v>1510</v>
      </c>
      <c r="L779" s="15" t="str">
        <f>HYPERLINK("https://drive.google.com/open?id=1I4lId4D9qYAccn7oHbM_sYGPdKP4lKcG","Сертифікат")</f>
        <v>Сертифікат</v>
      </c>
      <c r="M779" s="11" t="s">
        <v>24</v>
      </c>
      <c r="N779" s="10">
        <v>4998.1000000000004</v>
      </c>
      <c r="O779" s="10">
        <v>28717.8</v>
      </c>
      <c r="P779" s="10" t="s">
        <v>2103</v>
      </c>
      <c r="Q779" s="10">
        <v>67.92</v>
      </c>
      <c r="R779" s="10" t="s">
        <v>66</v>
      </c>
      <c r="S779" s="10">
        <v>95.35</v>
      </c>
      <c r="T779" s="10">
        <v>19.059999999999999</v>
      </c>
      <c r="U779" s="29">
        <v>43764</v>
      </c>
      <c r="V779" s="66">
        <v>47416</v>
      </c>
      <c r="W779" s="10" t="s">
        <v>13</v>
      </c>
      <c r="X779" s="10" t="s">
        <v>17</v>
      </c>
    </row>
    <row r="780" spans="1:24" ht="50.25" customHeight="1" x14ac:dyDescent="0.25">
      <c r="A780" s="10">
        <f t="shared" si="0"/>
        <v>777</v>
      </c>
      <c r="B780" s="11" t="s">
        <v>2104</v>
      </c>
      <c r="C780" s="10" t="s">
        <v>85</v>
      </c>
      <c r="D780" s="10" t="s">
        <v>86</v>
      </c>
      <c r="E780" s="10" t="s">
        <v>2</v>
      </c>
      <c r="F780" s="11" t="s">
        <v>2105</v>
      </c>
      <c r="G780" s="11"/>
      <c r="H780" s="11"/>
      <c r="I780" s="11">
        <v>1979</v>
      </c>
      <c r="J780" s="11" t="s">
        <v>240</v>
      </c>
      <c r="K780" s="15" t="str">
        <f>HYPERLINK("https://drive.google.com/open?id=1bdfPcoVY7gGnfSqAUR9FcOU1nrSE71tH","АА000020")</f>
        <v>АА000020</v>
      </c>
      <c r="L780" s="15" t="str">
        <f>HYPERLINK("https://drive.google.com/open?id=1aXEj7un6PpdKq_dPyWgFaRtLjVVoGgp6","Сертифікат")</f>
        <v>Сертифікат</v>
      </c>
      <c r="M780" s="11" t="s">
        <v>20</v>
      </c>
      <c r="N780" s="10">
        <v>3086</v>
      </c>
      <c r="O780" s="10">
        <v>10801</v>
      </c>
      <c r="P780" s="10">
        <v>3</v>
      </c>
      <c r="Q780" s="10">
        <v>67.38</v>
      </c>
      <c r="R780" s="10" t="s">
        <v>66</v>
      </c>
      <c r="S780" s="10">
        <v>263.49</v>
      </c>
      <c r="T780" s="10">
        <v>59.53</v>
      </c>
      <c r="U780" s="29">
        <v>43764</v>
      </c>
      <c r="V780" s="66">
        <v>47416</v>
      </c>
      <c r="W780" s="10" t="s">
        <v>10</v>
      </c>
      <c r="X780" s="10" t="s">
        <v>17</v>
      </c>
    </row>
    <row r="781" spans="1:24" ht="50.25" customHeight="1" x14ac:dyDescent="0.25">
      <c r="A781" s="10">
        <f t="shared" si="0"/>
        <v>778</v>
      </c>
      <c r="B781" s="11" t="s">
        <v>2106</v>
      </c>
      <c r="C781" s="10" t="s">
        <v>52</v>
      </c>
      <c r="D781" s="10" t="s">
        <v>52</v>
      </c>
      <c r="E781" s="10" t="s">
        <v>0</v>
      </c>
      <c r="F781" s="11" t="s">
        <v>2107</v>
      </c>
      <c r="G781" s="11"/>
      <c r="H781" s="11"/>
      <c r="I781" s="11" t="s">
        <v>1010</v>
      </c>
      <c r="J781" s="11" t="s">
        <v>64</v>
      </c>
      <c r="K781" s="15" t="str">
        <f>HYPERLINK("https://drive.google.com/open?id=1-fr_zsf-7fSXhRxegEztRfDKVGALmS4z","АА000004")</f>
        <v>АА000004</v>
      </c>
      <c r="L781" s="15" t="str">
        <f>HYPERLINK("https://drive.google.com/open?id=1_AeSgxShniU_--U0ClJGaUIuZuWgYzC_","Сертифікат")</f>
        <v>Сертифікат</v>
      </c>
      <c r="M781" s="11" t="s">
        <v>18</v>
      </c>
      <c r="N781" s="10">
        <v>23126</v>
      </c>
      <c r="O781" s="10">
        <v>76318</v>
      </c>
      <c r="P781" s="10">
        <v>31</v>
      </c>
      <c r="Q781" s="10">
        <v>82</v>
      </c>
      <c r="R781" s="10" t="s">
        <v>57</v>
      </c>
      <c r="S781" s="10">
        <v>193</v>
      </c>
      <c r="T781" s="10">
        <v>37</v>
      </c>
      <c r="U781" s="29">
        <v>43761</v>
      </c>
      <c r="V781" s="66">
        <v>47413</v>
      </c>
      <c r="W781" s="10" t="s">
        <v>10</v>
      </c>
      <c r="X781" s="10" t="s">
        <v>17</v>
      </c>
    </row>
    <row r="782" spans="1:24" ht="50.25" customHeight="1" x14ac:dyDescent="0.25">
      <c r="A782" s="10">
        <f t="shared" si="0"/>
        <v>779</v>
      </c>
      <c r="B782" s="11" t="s">
        <v>2108</v>
      </c>
      <c r="C782" s="52" t="s">
        <v>2109</v>
      </c>
      <c r="D782" s="47" t="s">
        <v>148</v>
      </c>
      <c r="E782" s="10" t="s">
        <v>2</v>
      </c>
      <c r="F782" s="11" t="s">
        <v>2110</v>
      </c>
      <c r="G782" s="11"/>
      <c r="H782" s="11"/>
      <c r="I782" s="11">
        <v>1958</v>
      </c>
      <c r="J782" s="27" t="s">
        <v>2111</v>
      </c>
      <c r="K782" s="15" t="str">
        <f>HYPERLINK("https://drive.google.com/open?id=1HM8yV3R_92M8PzrCX21P7VNYfgBqCaLt","№ СБ-0081 ")</f>
        <v xml:space="preserve">№ СБ-0081 </v>
      </c>
      <c r="L782" s="15" t="str">
        <f>HYPERLINK("https://drive.google.com/open?id=1aNNMDlIom4GZN9hQ4Zs-OGGl3EFwHJym","Сертифікат")</f>
        <v>Сертифікат</v>
      </c>
      <c r="M782" s="11" t="s">
        <v>26</v>
      </c>
      <c r="N782" s="10">
        <v>886.6</v>
      </c>
      <c r="O782" s="10">
        <v>2837</v>
      </c>
      <c r="P782" s="10">
        <v>2</v>
      </c>
      <c r="Q782" s="10">
        <v>112.45</v>
      </c>
      <c r="R782" s="10" t="s">
        <v>57</v>
      </c>
      <c r="S782" s="10">
        <v>543.28</v>
      </c>
      <c r="T782" s="10">
        <v>107.62</v>
      </c>
      <c r="U782" s="29">
        <v>43763</v>
      </c>
      <c r="V782" s="66">
        <v>47415</v>
      </c>
      <c r="W782" s="10" t="s">
        <v>10</v>
      </c>
      <c r="X782" s="10" t="s">
        <v>17</v>
      </c>
    </row>
    <row r="783" spans="1:24" ht="50.25" customHeight="1" x14ac:dyDescent="0.25">
      <c r="A783" s="10">
        <f t="shared" si="0"/>
        <v>780</v>
      </c>
      <c r="B783" s="11" t="s">
        <v>2112</v>
      </c>
      <c r="C783" s="10" t="s">
        <v>52</v>
      </c>
      <c r="D783" s="10" t="s">
        <v>52</v>
      </c>
      <c r="E783" s="10" t="s">
        <v>2</v>
      </c>
      <c r="F783" s="11" t="s">
        <v>2113</v>
      </c>
      <c r="G783" s="11"/>
      <c r="H783" s="11"/>
      <c r="I783" s="11" t="s">
        <v>2114</v>
      </c>
      <c r="J783" s="11" t="s">
        <v>668</v>
      </c>
      <c r="K783" s="15" t="str">
        <f>HYPERLINK("https://drive.google.com/open?id=1NSlpy3KnsggBDFhLrg81QLR2deMl7d6Q","АА000077")</f>
        <v>АА000077</v>
      </c>
      <c r="L783" s="15" t="str">
        <f>HYPERLINK("https://drive.google.com/open?id=1D8rjViq_PxTY5hw__z8m77Rxd-LCFW4c","Сертифікат")</f>
        <v>Сертифікат</v>
      </c>
      <c r="M783" s="11" t="s">
        <v>26</v>
      </c>
      <c r="N783" s="10">
        <v>1383.3</v>
      </c>
      <c r="O783" s="10">
        <v>5820</v>
      </c>
      <c r="P783" s="31">
        <v>43497</v>
      </c>
      <c r="Q783" s="10">
        <v>133.1</v>
      </c>
      <c r="R783" s="10" t="s">
        <v>66</v>
      </c>
      <c r="S783" s="10">
        <v>803.9</v>
      </c>
      <c r="T783" s="10">
        <v>226.8</v>
      </c>
      <c r="U783" s="29">
        <v>43766</v>
      </c>
      <c r="V783" s="66">
        <v>47418</v>
      </c>
      <c r="W783" s="10" t="s">
        <v>10</v>
      </c>
      <c r="X783" s="10" t="s">
        <v>17</v>
      </c>
    </row>
    <row r="784" spans="1:24" ht="50.25" customHeight="1" x14ac:dyDescent="0.25">
      <c r="A784" s="10">
        <f t="shared" si="0"/>
        <v>781</v>
      </c>
      <c r="B784" s="11" t="s">
        <v>2115</v>
      </c>
      <c r="C784" s="10" t="s">
        <v>2116</v>
      </c>
      <c r="D784" s="10" t="s">
        <v>238</v>
      </c>
      <c r="E784" s="10" t="s">
        <v>0</v>
      </c>
      <c r="F784" s="11" t="s">
        <v>1009</v>
      </c>
      <c r="G784" s="11"/>
      <c r="H784" s="11"/>
      <c r="I784" s="11">
        <v>2019</v>
      </c>
      <c r="J784" s="11" t="s">
        <v>843</v>
      </c>
      <c r="K784" s="15" t="str">
        <f>HYPERLINK("https://drive.google.com/open?id=1BTDptLKzRcNv9UM40I3kdcNby5WQR8xT","ХР 000013")</f>
        <v>ХР 000013</v>
      </c>
      <c r="L784" s="15" t="str">
        <f>HYPERLINK("https://drive.google.com/open?id=1hzkBdbXpb2nlz4Kidw2iwHWCDkqBIIl6","Сертифікат")</f>
        <v>Сертифікат</v>
      </c>
      <c r="M784" s="11" t="s">
        <v>20</v>
      </c>
      <c r="N784" s="10">
        <v>12110.5</v>
      </c>
      <c r="O784" s="10">
        <v>36331.5</v>
      </c>
      <c r="P784" s="10" t="s">
        <v>2117</v>
      </c>
      <c r="Q784" s="10">
        <v>99.97</v>
      </c>
      <c r="R784" s="10" t="s">
        <v>57</v>
      </c>
      <c r="S784" s="10">
        <v>159.80000000000001</v>
      </c>
      <c r="T784" s="10">
        <v>31.4</v>
      </c>
      <c r="U784" s="29">
        <v>43759</v>
      </c>
      <c r="V784" s="66">
        <v>47411</v>
      </c>
      <c r="W784" s="10" t="s">
        <v>10</v>
      </c>
      <c r="X784" s="10" t="s">
        <v>17</v>
      </c>
    </row>
    <row r="785" spans="1:24" ht="50.25" customHeight="1" x14ac:dyDescent="0.25">
      <c r="A785" s="10">
        <f t="shared" si="0"/>
        <v>782</v>
      </c>
      <c r="B785" s="11" t="s">
        <v>2118</v>
      </c>
      <c r="C785" s="10" t="s">
        <v>2119</v>
      </c>
      <c r="D785" s="10" t="s">
        <v>75</v>
      </c>
      <c r="E785" s="10" t="s">
        <v>5</v>
      </c>
      <c r="F785" s="11" t="s">
        <v>2120</v>
      </c>
      <c r="G785" s="11"/>
      <c r="H785" s="11"/>
      <c r="I785" s="11">
        <v>1987</v>
      </c>
      <c r="J785" s="11" t="s">
        <v>2054</v>
      </c>
      <c r="K785" s="15" t="str">
        <f>HYPERLINK("https://drive.google.com/open?id=15mzOVo5DzvZRYSFkEsMp5jV14CeCYhNn","АЕ00007")</f>
        <v>АЕ00007</v>
      </c>
      <c r="L785" s="15" t="str">
        <f>HYPERLINK("https://drive.google.com/open?id=1LLtAL0IuZ3Mr6WtyDUDoJztQWXe8bQ_p","Сертифікат")</f>
        <v>Сертифікат</v>
      </c>
      <c r="M785" s="11" t="s">
        <v>26</v>
      </c>
      <c r="N785" s="10">
        <v>1035.8699999999999</v>
      </c>
      <c r="O785" s="10">
        <v>2900.44</v>
      </c>
      <c r="P785" s="10">
        <v>3</v>
      </c>
      <c r="Q785" s="10">
        <v>177.7</v>
      </c>
      <c r="R785" s="10" t="s">
        <v>66</v>
      </c>
      <c r="S785" s="10">
        <v>680.4</v>
      </c>
      <c r="T785" s="10">
        <v>187.2</v>
      </c>
      <c r="U785" s="29">
        <v>43765</v>
      </c>
      <c r="V785" s="66">
        <v>47417</v>
      </c>
      <c r="W785" s="10" t="s">
        <v>13</v>
      </c>
      <c r="X785" s="10" t="s">
        <v>17</v>
      </c>
    </row>
    <row r="786" spans="1:24" ht="50.25" customHeight="1" x14ac:dyDescent="0.25">
      <c r="A786" s="10">
        <f t="shared" si="0"/>
        <v>783</v>
      </c>
      <c r="B786" s="11" t="s">
        <v>2121</v>
      </c>
      <c r="C786" s="10" t="s">
        <v>1507</v>
      </c>
      <c r="D786" s="10" t="s">
        <v>317</v>
      </c>
      <c r="E786" s="10" t="s">
        <v>2</v>
      </c>
      <c r="F786" s="11" t="s">
        <v>2122</v>
      </c>
      <c r="G786" s="11"/>
      <c r="H786" s="11"/>
      <c r="I786" s="11">
        <v>1962</v>
      </c>
      <c r="J786" s="11" t="s">
        <v>2123</v>
      </c>
      <c r="K786" s="15" t="str">
        <f>HYPERLINK("https://drive.google.com/open?id=1KQhjFD4e4THPvyI40c_bIbWDnCvuACCw","ОД 02071010/7010-19")</f>
        <v>ОД 02071010/7010-19</v>
      </c>
      <c r="L786" s="15" t="str">
        <f>HYPERLINK("https://drive.google.com/open?id=1hegQIVYtrRG-fp7fx5ot02y691nOpks_","Сертифікат")</f>
        <v>Сертифікат</v>
      </c>
      <c r="M786" s="11" t="s">
        <v>15</v>
      </c>
      <c r="N786" s="10">
        <v>971.6</v>
      </c>
      <c r="O786" s="10">
        <v>3690.9</v>
      </c>
      <c r="P786" s="10">
        <v>2</v>
      </c>
      <c r="Q786" s="10">
        <v>35.200000000000003</v>
      </c>
      <c r="R786" s="10" t="s">
        <v>66</v>
      </c>
      <c r="S786" s="10">
        <v>457.7</v>
      </c>
      <c r="T786" s="10">
        <v>192.2</v>
      </c>
      <c r="U786" s="11" t="s">
        <v>1422</v>
      </c>
      <c r="V786" s="66">
        <v>47418</v>
      </c>
      <c r="W786" s="10" t="s">
        <v>13</v>
      </c>
      <c r="X786" s="10" t="s">
        <v>17</v>
      </c>
    </row>
    <row r="787" spans="1:24" ht="50.25" customHeight="1" x14ac:dyDescent="0.25">
      <c r="A787" s="10">
        <f t="shared" si="0"/>
        <v>784</v>
      </c>
      <c r="B787" s="11" t="s">
        <v>2124</v>
      </c>
      <c r="C787" s="10" t="s">
        <v>85</v>
      </c>
      <c r="D787" s="10" t="s">
        <v>86</v>
      </c>
      <c r="E787" s="10" t="s">
        <v>0</v>
      </c>
      <c r="F787" s="11" t="s">
        <v>2125</v>
      </c>
      <c r="G787" s="11"/>
      <c r="H787" s="11"/>
      <c r="I787" s="11">
        <v>1995</v>
      </c>
      <c r="J787" s="11" t="s">
        <v>64</v>
      </c>
      <c r="K787" s="15" t="str">
        <f t="shared" ref="K787:K789" si="57">HYPERLINK("https://drive.google.com/open?id=1-fr_zsf-7fSXhRxegEztRfDKVGALmS4z","АА000004")</f>
        <v>АА000004</v>
      </c>
      <c r="L787" s="15" t="str">
        <f>HYPERLINK("https://drive.google.com/open?id=1OL9oCJw5wnidVHUXGa9xv8w49iRDPKf7","Сертифікат")</f>
        <v>Сертифікат</v>
      </c>
      <c r="M787" s="11" t="s">
        <v>26</v>
      </c>
      <c r="N787" s="10">
        <v>7041</v>
      </c>
      <c r="O787" s="10">
        <v>19012</v>
      </c>
      <c r="P787" s="31">
        <v>43747</v>
      </c>
      <c r="Q787" s="10">
        <v>180</v>
      </c>
      <c r="R787" s="10" t="s">
        <v>57</v>
      </c>
      <c r="S787" s="10">
        <v>317</v>
      </c>
      <c r="T787" s="10">
        <v>62</v>
      </c>
      <c r="U787" s="29">
        <v>43759</v>
      </c>
      <c r="V787" s="66">
        <v>47411</v>
      </c>
      <c r="W787" s="10" t="s">
        <v>10</v>
      </c>
      <c r="X787" s="10" t="s">
        <v>17</v>
      </c>
    </row>
    <row r="788" spans="1:24" ht="50.25" customHeight="1" x14ac:dyDescent="0.25">
      <c r="A788" s="10">
        <f t="shared" si="0"/>
        <v>785</v>
      </c>
      <c r="B788" s="11" t="s">
        <v>2126</v>
      </c>
      <c r="C788" s="10" t="s">
        <v>52</v>
      </c>
      <c r="D788" s="10" t="s">
        <v>52</v>
      </c>
      <c r="E788" s="10" t="s">
        <v>0</v>
      </c>
      <c r="F788" s="11" t="s">
        <v>1009</v>
      </c>
      <c r="G788" s="11"/>
      <c r="H788" s="11"/>
      <c r="I788" s="11" t="s">
        <v>1010</v>
      </c>
      <c r="J788" s="11" t="s">
        <v>64</v>
      </c>
      <c r="K788" s="15" t="str">
        <f t="shared" si="57"/>
        <v>АА000004</v>
      </c>
      <c r="L788" s="15" t="str">
        <f>HYPERLINK("https://drive.google.com/open?id=1wzQdyExNa1ZVaBCmjFlG4CsOHcpGaAlM","Сертифікат")</f>
        <v>Сертифікат</v>
      </c>
      <c r="M788" s="11" t="s">
        <v>18</v>
      </c>
      <c r="N788" s="10">
        <v>23126</v>
      </c>
      <c r="O788" s="10">
        <v>76318</v>
      </c>
      <c r="P788" s="10">
        <v>31</v>
      </c>
      <c r="Q788" s="10">
        <v>83</v>
      </c>
      <c r="R788" s="10" t="s">
        <v>57</v>
      </c>
      <c r="S788" s="10">
        <v>193</v>
      </c>
      <c r="T788" s="10">
        <v>37</v>
      </c>
      <c r="U788" s="29">
        <v>43761</v>
      </c>
      <c r="V788" s="66">
        <v>47413</v>
      </c>
      <c r="W788" s="10" t="s">
        <v>10</v>
      </c>
      <c r="X788" s="10" t="s">
        <v>17</v>
      </c>
    </row>
    <row r="789" spans="1:24" ht="50.25" customHeight="1" x14ac:dyDescent="0.25">
      <c r="A789" s="10">
        <f t="shared" si="0"/>
        <v>786</v>
      </c>
      <c r="B789" s="11" t="s">
        <v>2127</v>
      </c>
      <c r="C789" s="10" t="s">
        <v>805</v>
      </c>
      <c r="D789" s="10" t="s">
        <v>86</v>
      </c>
      <c r="E789" s="10" t="s">
        <v>0</v>
      </c>
      <c r="F789" s="11" t="s">
        <v>2128</v>
      </c>
      <c r="G789" s="11"/>
      <c r="H789" s="11"/>
      <c r="I789" s="11">
        <v>1978</v>
      </c>
      <c r="J789" s="11" t="s">
        <v>64</v>
      </c>
      <c r="K789" s="15" t="str">
        <f t="shared" si="57"/>
        <v>АА000004</v>
      </c>
      <c r="L789" s="15" t="str">
        <f>HYPERLINK("https://drive.google.com/open?id=1u2gE8N2inHUkyIMjlxQSzS53cjW5bTbp","Сертифікат")</f>
        <v>Сертифікат</v>
      </c>
      <c r="M789" s="11" t="s">
        <v>26</v>
      </c>
      <c r="N789" s="10">
        <v>7352</v>
      </c>
      <c r="O789" s="10">
        <v>21322</v>
      </c>
      <c r="P789" s="10">
        <v>9</v>
      </c>
      <c r="Q789" s="10">
        <v>184</v>
      </c>
      <c r="R789" s="10" t="s">
        <v>57</v>
      </c>
      <c r="S789" s="10">
        <v>347</v>
      </c>
      <c r="T789" s="10">
        <v>67</v>
      </c>
      <c r="U789" s="29">
        <v>43761</v>
      </c>
      <c r="V789" s="66">
        <v>47413</v>
      </c>
      <c r="W789" s="10" t="s">
        <v>10</v>
      </c>
      <c r="X789" s="10" t="s">
        <v>17</v>
      </c>
    </row>
    <row r="790" spans="1:24" ht="50.25" customHeight="1" x14ac:dyDescent="0.25">
      <c r="A790" s="10">
        <f t="shared" si="0"/>
        <v>787</v>
      </c>
      <c r="B790" s="11" t="s">
        <v>2129</v>
      </c>
      <c r="C790" s="10" t="s">
        <v>68</v>
      </c>
      <c r="D790" s="10" t="s">
        <v>69</v>
      </c>
      <c r="E790" s="10" t="s">
        <v>7</v>
      </c>
      <c r="F790" s="11" t="s">
        <v>2077</v>
      </c>
      <c r="G790" s="11"/>
      <c r="H790" s="11"/>
      <c r="I790" s="11" t="s">
        <v>2130</v>
      </c>
      <c r="J790" s="11" t="s">
        <v>2078</v>
      </c>
      <c r="K790" s="15" t="str">
        <f>HYPERLINK("https://drive.google.com/open?id=1Dy7TR5-TW7HHFgoURAEWFg2CT6g-sR4I","ЕА 02070766/15-19")</f>
        <v>ЕА 02070766/15-19</v>
      </c>
      <c r="L790" s="15" t="str">
        <f>HYPERLINK("https://drive.google.com/open?id=1Q3eNA8fLt1XGqU-VsWW5GlQvct_O9U1u","Сертифікат")</f>
        <v>Сертифікат</v>
      </c>
      <c r="M790" s="11" t="s">
        <v>15</v>
      </c>
      <c r="N790" s="10">
        <v>1184.77</v>
      </c>
      <c r="O790" s="10">
        <v>5344.19</v>
      </c>
      <c r="P790" s="10">
        <v>1</v>
      </c>
      <c r="Q790" s="10">
        <v>40.6</v>
      </c>
      <c r="R790" s="10" t="s">
        <v>66</v>
      </c>
      <c r="S790" s="10">
        <v>653.20000000000005</v>
      </c>
      <c r="T790" s="10">
        <v>119.3</v>
      </c>
      <c r="U790" s="29">
        <v>43766</v>
      </c>
      <c r="V790" s="66">
        <v>47418</v>
      </c>
      <c r="W790" s="10" t="s">
        <v>13</v>
      </c>
      <c r="X790" s="10" t="s">
        <v>17</v>
      </c>
    </row>
    <row r="791" spans="1:24" ht="50.25" customHeight="1" x14ac:dyDescent="0.25">
      <c r="A791" s="10">
        <f t="shared" si="0"/>
        <v>788</v>
      </c>
      <c r="B791" s="11" t="s">
        <v>2131</v>
      </c>
      <c r="C791" s="10" t="s">
        <v>52</v>
      </c>
      <c r="D791" s="10" t="s">
        <v>52</v>
      </c>
      <c r="E791" s="10" t="s">
        <v>6</v>
      </c>
      <c r="F791" s="11" t="s">
        <v>6</v>
      </c>
      <c r="G791" s="11"/>
      <c r="H791" s="11"/>
      <c r="I791" s="11" t="s">
        <v>836</v>
      </c>
      <c r="J791" s="11" t="s">
        <v>732</v>
      </c>
      <c r="K791" s="15" t="str">
        <f>HYPERLINK("https://drive.google.com/open?id=1YmIUNUHq4P-kOoyLjfDDMpvQv5hFDMTd","ОРІ-АВ00010")</f>
        <v>ОРІ-АВ00010</v>
      </c>
      <c r="L791" s="15" t="str">
        <f>HYPERLINK("https://drive.google.com/open?id=1rZztOI8EJJ8vBqUzn4oT2s95J0ZGZ4qf","Сертифікат")</f>
        <v>Сертифікат</v>
      </c>
      <c r="M791" s="11" t="s">
        <v>18</v>
      </c>
      <c r="N791" s="10">
        <v>2721</v>
      </c>
      <c r="O791" s="10">
        <v>10198</v>
      </c>
      <c r="P791" s="10">
        <v>9</v>
      </c>
      <c r="Q791" s="10">
        <v>77.8</v>
      </c>
      <c r="R791" s="10" t="s">
        <v>57</v>
      </c>
      <c r="S791" s="10">
        <v>299</v>
      </c>
      <c r="T791" s="10">
        <v>56</v>
      </c>
      <c r="U791" s="29">
        <v>43767</v>
      </c>
      <c r="V791" s="66">
        <v>47419</v>
      </c>
      <c r="W791" s="10" t="s">
        <v>13</v>
      </c>
      <c r="X791" s="10" t="s">
        <v>17</v>
      </c>
    </row>
    <row r="792" spans="1:24" ht="50.25" customHeight="1" x14ac:dyDescent="0.25">
      <c r="A792" s="10">
        <f t="shared" si="0"/>
        <v>789</v>
      </c>
      <c r="B792" s="11" t="s">
        <v>2132</v>
      </c>
      <c r="C792" s="47" t="s">
        <v>2133</v>
      </c>
      <c r="D792" s="10" t="s">
        <v>815</v>
      </c>
      <c r="E792" s="10" t="s">
        <v>0</v>
      </c>
      <c r="F792" s="11" t="s">
        <v>2134</v>
      </c>
      <c r="G792" s="11"/>
      <c r="H792" s="11"/>
      <c r="I792" s="11" t="s">
        <v>1010</v>
      </c>
      <c r="J792" s="27" t="s">
        <v>2041</v>
      </c>
      <c r="K792" s="15" t="str">
        <f>HYPERLINK("https://drive.google.com/open?id=1WsR0UvLWEQ21ABtkZOyhX34lu3w-8C3z","АА 000030")</f>
        <v>АА 000030</v>
      </c>
      <c r="L792" s="15" t="str">
        <f>HYPERLINK("https://drive.google.com/open?id=1tuPDCzNPtH7Kgadb6pBYMio24_dswJrb","Сертифікат")</f>
        <v>Сертифікат</v>
      </c>
      <c r="M792" s="11" t="s">
        <v>26</v>
      </c>
      <c r="N792" s="10">
        <v>3350.5</v>
      </c>
      <c r="O792" s="10">
        <v>10538</v>
      </c>
      <c r="P792" s="10" t="s">
        <v>2135</v>
      </c>
      <c r="Q792" s="10">
        <v>161.69999999999999</v>
      </c>
      <c r="R792" s="10" t="s">
        <v>57</v>
      </c>
      <c r="S792" s="10">
        <v>232.5</v>
      </c>
      <c r="T792" s="10">
        <v>51.9</v>
      </c>
      <c r="U792" s="29">
        <v>43767</v>
      </c>
      <c r="V792" s="66">
        <v>47419</v>
      </c>
      <c r="W792" s="10" t="s">
        <v>10</v>
      </c>
      <c r="X792" s="10" t="s">
        <v>17</v>
      </c>
    </row>
    <row r="793" spans="1:24" ht="50.25" customHeight="1" x14ac:dyDescent="0.25">
      <c r="A793" s="10">
        <f t="shared" si="0"/>
        <v>790</v>
      </c>
      <c r="B793" s="11" t="s">
        <v>2136</v>
      </c>
      <c r="C793" s="10" t="s">
        <v>2137</v>
      </c>
      <c r="D793" s="10" t="s">
        <v>86</v>
      </c>
      <c r="E793" s="10" t="s">
        <v>2</v>
      </c>
      <c r="F793" s="11" t="s">
        <v>2138</v>
      </c>
      <c r="G793" s="11"/>
      <c r="H793" s="11"/>
      <c r="I793" s="11">
        <v>1954</v>
      </c>
      <c r="J793" s="11" t="s">
        <v>240</v>
      </c>
      <c r="K793" s="15" t="s">
        <v>241</v>
      </c>
      <c r="L793" s="15" t="str">
        <f>HYPERLINK("https://drive.google.com/open?id=12miz0PmecsmqcEQSjwUsS1CWHrs6egdf","Сертифікат")</f>
        <v>Сертифікат</v>
      </c>
      <c r="M793" s="11" t="s">
        <v>20</v>
      </c>
      <c r="N793" s="10">
        <v>1578</v>
      </c>
      <c r="O793" s="10">
        <v>4734</v>
      </c>
      <c r="P793" s="10">
        <v>3</v>
      </c>
      <c r="Q793" s="10">
        <v>71.36</v>
      </c>
      <c r="R793" s="10" t="s">
        <v>66</v>
      </c>
      <c r="S793" s="10">
        <v>240.63</v>
      </c>
      <c r="T793" s="10">
        <v>54.91</v>
      </c>
      <c r="U793" s="29">
        <v>43767</v>
      </c>
      <c r="V793" s="66">
        <v>47419</v>
      </c>
      <c r="W793" s="10" t="s">
        <v>10</v>
      </c>
      <c r="X793" s="10" t="s">
        <v>17</v>
      </c>
    </row>
    <row r="794" spans="1:24" ht="50.25" customHeight="1" x14ac:dyDescent="0.25">
      <c r="A794" s="10">
        <f t="shared" si="0"/>
        <v>791</v>
      </c>
      <c r="B794" s="11" t="s">
        <v>2139</v>
      </c>
      <c r="C794" s="10" t="s">
        <v>243</v>
      </c>
      <c r="D794" s="10" t="s">
        <v>238</v>
      </c>
      <c r="E794" s="10" t="s">
        <v>0</v>
      </c>
      <c r="F794" s="11" t="s">
        <v>2013</v>
      </c>
      <c r="G794" s="11"/>
      <c r="H794" s="11"/>
      <c r="I794" s="11" t="s">
        <v>1010</v>
      </c>
      <c r="J794" s="10" t="s">
        <v>843</v>
      </c>
      <c r="K794" s="15" t="s">
        <v>844</v>
      </c>
      <c r="L794" s="15" t="str">
        <f>HYPERLINK("https://drive.google.com/open?id=1o_Gr9KNwDS54n2ncNCVbG5Bj2EDzQ9al","Сертифікат")</f>
        <v>Сертифікат</v>
      </c>
      <c r="M794" s="11" t="s">
        <v>20</v>
      </c>
      <c r="N794" s="10">
        <v>4120.88</v>
      </c>
      <c r="O794" s="10" t="s">
        <v>2140</v>
      </c>
      <c r="P794" s="10">
        <v>9</v>
      </c>
      <c r="Q794" s="10">
        <v>99.65</v>
      </c>
      <c r="R794" s="10" t="s">
        <v>57</v>
      </c>
      <c r="S794" s="10">
        <v>162.30000000000001</v>
      </c>
      <c r="T794" s="10">
        <v>31.9</v>
      </c>
      <c r="U794" s="29">
        <v>43761</v>
      </c>
      <c r="V794" s="66">
        <v>47413</v>
      </c>
      <c r="W794" s="10" t="s">
        <v>10</v>
      </c>
      <c r="X794" s="10" t="s">
        <v>17</v>
      </c>
    </row>
    <row r="795" spans="1:24" ht="50.25" customHeight="1" x14ac:dyDescent="0.25">
      <c r="A795" s="10">
        <f t="shared" si="0"/>
        <v>792</v>
      </c>
      <c r="B795" s="11" t="s">
        <v>2141</v>
      </c>
      <c r="C795" s="10" t="s">
        <v>953</v>
      </c>
      <c r="D795" s="10" t="s">
        <v>148</v>
      </c>
      <c r="E795" s="10" t="s">
        <v>2</v>
      </c>
      <c r="F795" s="11" t="s">
        <v>2142</v>
      </c>
      <c r="G795" s="11"/>
      <c r="H795" s="11"/>
      <c r="I795" s="11">
        <v>1914</v>
      </c>
      <c r="J795" s="11" t="s">
        <v>668</v>
      </c>
      <c r="K795" s="15" t="str">
        <f>HYPERLINK("https://drive.google.com/open?id=1NSlpy3KnsggBDFhLrg81QLR2deMl7d6Q","АА000077")</f>
        <v>АА000077</v>
      </c>
      <c r="L795" s="15" t="str">
        <f>HYPERLINK("https://drive.google.com/open?id=1zlVoIybeWwPtGcv8i6KPMtvq2Ztso0WA","Сертифікат")</f>
        <v>Сертифікат</v>
      </c>
      <c r="M795" s="11" t="s">
        <v>26</v>
      </c>
      <c r="N795" s="10">
        <v>235.9</v>
      </c>
      <c r="O795" s="10">
        <v>827</v>
      </c>
      <c r="P795" s="10">
        <v>1</v>
      </c>
      <c r="Q795" s="10">
        <v>183.6</v>
      </c>
      <c r="R795" s="10" t="s">
        <v>66</v>
      </c>
      <c r="S795" s="10">
        <v>770.3</v>
      </c>
      <c r="T795" s="10">
        <v>184.9</v>
      </c>
      <c r="U795" s="29">
        <v>43767</v>
      </c>
      <c r="V795" s="66">
        <v>47419</v>
      </c>
      <c r="W795" s="10" t="s">
        <v>10</v>
      </c>
      <c r="X795" s="10" t="s">
        <v>17</v>
      </c>
    </row>
    <row r="796" spans="1:24" ht="50.25" customHeight="1" x14ac:dyDescent="0.25">
      <c r="A796" s="10">
        <f t="shared" si="0"/>
        <v>793</v>
      </c>
      <c r="B796" s="11" t="s">
        <v>1714</v>
      </c>
      <c r="C796" s="10" t="s">
        <v>1507</v>
      </c>
      <c r="D796" s="10" t="s">
        <v>317</v>
      </c>
      <c r="E796" s="10" t="s">
        <v>3</v>
      </c>
      <c r="F796" s="11" t="s">
        <v>2143</v>
      </c>
      <c r="G796" s="11"/>
      <c r="H796" s="11"/>
      <c r="I796" s="11">
        <v>1934</v>
      </c>
      <c r="J796" s="11" t="s">
        <v>1520</v>
      </c>
      <c r="K796" s="15" t="str">
        <f>HYPERLINK("https://drive.google.com/open?id=1h7SxjX8kLI3GcDpujJYP0DlexJilmQJ7","АР 000071")</f>
        <v>АР 000071</v>
      </c>
      <c r="L796" s="15" t="str">
        <f>HYPERLINK("https://drive.google.com/open?id=14MtnuMMlJA7evTVUugA13RQaihPqCFIm","Сертифікат")</f>
        <v>Сертифікат</v>
      </c>
      <c r="M796" s="11" t="s">
        <v>26</v>
      </c>
      <c r="N796" s="10">
        <v>17848.080000000002</v>
      </c>
      <c r="O796" s="10">
        <v>104371</v>
      </c>
      <c r="P796" s="31">
        <v>43557</v>
      </c>
      <c r="Q796" s="10">
        <v>201.8</v>
      </c>
      <c r="R796" s="10" t="s">
        <v>66</v>
      </c>
      <c r="S796" s="10">
        <v>2353.6999999999998</v>
      </c>
      <c r="T796" s="10">
        <v>441.4</v>
      </c>
      <c r="U796" s="29">
        <v>43768</v>
      </c>
      <c r="V796" s="66">
        <v>47420</v>
      </c>
      <c r="W796" s="10" t="s">
        <v>13</v>
      </c>
      <c r="X796" s="10" t="s">
        <v>17</v>
      </c>
    </row>
    <row r="797" spans="1:24" ht="50.25" customHeight="1" x14ac:dyDescent="0.25">
      <c r="A797" s="10">
        <f t="shared" si="0"/>
        <v>794</v>
      </c>
      <c r="B797" s="11" t="s">
        <v>2144</v>
      </c>
      <c r="C797" s="10" t="s">
        <v>147</v>
      </c>
      <c r="D797" s="10" t="s">
        <v>148</v>
      </c>
      <c r="E797" s="10" t="s">
        <v>2</v>
      </c>
      <c r="F797" s="11" t="s">
        <v>2145</v>
      </c>
      <c r="G797" s="11"/>
      <c r="H797" s="11"/>
      <c r="I797" s="11" t="s">
        <v>2146</v>
      </c>
      <c r="J797" s="11" t="s">
        <v>668</v>
      </c>
      <c r="K797" s="15" t="str">
        <f>HYPERLINK("https://drive.google.com/open?id=1NSlpy3KnsggBDFhLrg81QLR2deMl7d6Q","АА000077")</f>
        <v>АА000077</v>
      </c>
      <c r="L797" s="15" t="str">
        <f>HYPERLINK("https://drive.google.com/open?id=13qNO1w8kxidKRGUaYKm_Cz6APJuDzbIL","Сертифікат")</f>
        <v>Сертифікат</v>
      </c>
      <c r="M797" s="11" t="s">
        <v>26</v>
      </c>
      <c r="N797" s="10">
        <v>348.2</v>
      </c>
      <c r="O797" s="10">
        <v>1125</v>
      </c>
      <c r="P797" s="10">
        <v>1</v>
      </c>
      <c r="Q797" s="10">
        <v>144.5</v>
      </c>
      <c r="R797" s="10" t="s">
        <v>66</v>
      </c>
      <c r="S797" s="10">
        <v>584.79999999999995</v>
      </c>
      <c r="T797" s="10">
        <v>147.80000000000001</v>
      </c>
      <c r="U797" s="29">
        <v>43767</v>
      </c>
      <c r="V797" s="66">
        <v>47419</v>
      </c>
      <c r="W797" s="10" t="s">
        <v>10</v>
      </c>
      <c r="X797" s="10" t="s">
        <v>17</v>
      </c>
    </row>
    <row r="798" spans="1:24" ht="50.25" customHeight="1" x14ac:dyDescent="0.25">
      <c r="A798" s="10">
        <f t="shared" si="0"/>
        <v>795</v>
      </c>
      <c r="B798" s="11" t="s">
        <v>2147</v>
      </c>
      <c r="C798" s="10" t="s">
        <v>2109</v>
      </c>
      <c r="D798" s="10" t="s">
        <v>148</v>
      </c>
      <c r="E798" s="10" t="s">
        <v>5</v>
      </c>
      <c r="F798" s="11" t="s">
        <v>2148</v>
      </c>
      <c r="G798" s="11"/>
      <c r="H798" s="11"/>
      <c r="I798" s="11">
        <v>1960</v>
      </c>
      <c r="J798" s="27" t="s">
        <v>2111</v>
      </c>
      <c r="K798" s="15" t="str">
        <f>HYPERLINK("https://drive.google.com/open?id=1HM8yV3R_92M8PzrCX21P7VNYfgBqCaLt","№ СБ-0081 ")</f>
        <v xml:space="preserve">№ СБ-0081 </v>
      </c>
      <c r="L798" s="15" t="str">
        <f>HYPERLINK("https://drive.google.com/open?id=1SGx4bmM6L0-5sLQoyTs43umti8TsUW61","Сертифікат")</f>
        <v>Сертифікат</v>
      </c>
      <c r="M798" s="11" t="s">
        <v>26</v>
      </c>
      <c r="N798" s="10">
        <v>1504.3</v>
      </c>
      <c r="O798" s="10">
        <v>5114.7</v>
      </c>
      <c r="P798" s="10">
        <v>2</v>
      </c>
      <c r="Q798" s="10">
        <v>116.59</v>
      </c>
      <c r="R798" s="10" t="s">
        <v>66</v>
      </c>
      <c r="S798" s="10">
        <v>270.32</v>
      </c>
      <c r="T798" s="10">
        <v>50.49</v>
      </c>
      <c r="U798" s="29">
        <v>43767</v>
      </c>
      <c r="V798" s="66">
        <v>47419</v>
      </c>
      <c r="W798" s="10" t="s">
        <v>10</v>
      </c>
      <c r="X798" s="10" t="s">
        <v>17</v>
      </c>
    </row>
    <row r="799" spans="1:24" ht="50.25" customHeight="1" x14ac:dyDescent="0.25">
      <c r="A799" s="10">
        <f t="shared" si="0"/>
        <v>796</v>
      </c>
      <c r="B799" s="11" t="s">
        <v>2149</v>
      </c>
      <c r="C799" s="47" t="s">
        <v>1408</v>
      </c>
      <c r="D799" s="10" t="s">
        <v>69</v>
      </c>
      <c r="E799" s="10" t="s">
        <v>0</v>
      </c>
      <c r="F799" s="11" t="s">
        <v>2150</v>
      </c>
      <c r="G799" s="11"/>
      <c r="H799" s="11"/>
      <c r="I799" s="11" t="s">
        <v>1336</v>
      </c>
      <c r="J799" s="11" t="s">
        <v>448</v>
      </c>
      <c r="K799" s="15" t="s">
        <v>449</v>
      </c>
      <c r="L799" s="15" t="str">
        <f>HYPERLINK("https://drive.google.com/open?id=1YqL5yu3Et5IG5LCQBwnyG7TVm3RhpgQP","Сертифікат")</f>
        <v>Сертифікат</v>
      </c>
      <c r="M799" s="11" t="s">
        <v>15</v>
      </c>
      <c r="N799" s="10">
        <v>2718.3</v>
      </c>
      <c r="O799" s="10">
        <v>8155</v>
      </c>
      <c r="P799" s="10">
        <v>3</v>
      </c>
      <c r="Q799" s="10">
        <v>78.8</v>
      </c>
      <c r="R799" s="10" t="s">
        <v>57</v>
      </c>
      <c r="S799" s="10">
        <v>221</v>
      </c>
      <c r="T799" s="10">
        <v>40.4</v>
      </c>
      <c r="U799" s="29">
        <v>43761</v>
      </c>
      <c r="V799" s="66">
        <v>47413</v>
      </c>
      <c r="W799" s="10" t="s">
        <v>10</v>
      </c>
      <c r="X799" s="10" t="s">
        <v>17</v>
      </c>
    </row>
    <row r="800" spans="1:24" ht="50.25" customHeight="1" x14ac:dyDescent="0.25">
      <c r="A800" s="10">
        <f t="shared" si="0"/>
        <v>797</v>
      </c>
      <c r="B800" s="11" t="s">
        <v>2151</v>
      </c>
      <c r="C800" s="10" t="s">
        <v>52</v>
      </c>
      <c r="D800" s="10" t="s">
        <v>52</v>
      </c>
      <c r="E800" s="10" t="s">
        <v>2</v>
      </c>
      <c r="F800" s="11" t="s">
        <v>2152</v>
      </c>
      <c r="G800" s="11"/>
      <c r="H800" s="11"/>
      <c r="I800" s="11" t="s">
        <v>2146</v>
      </c>
      <c r="J800" s="10" t="s">
        <v>1504</v>
      </c>
      <c r="K800" s="51" t="s">
        <v>1505</v>
      </c>
      <c r="L800" s="15" t="str">
        <f>HYPERLINK("https://drive.google.com/open?id=1kqbfCm_5n28NWJnnFrKmUwImF8tqmTFx","Сертифікат")</f>
        <v>Сертифікат</v>
      </c>
      <c r="M800" s="11" t="s">
        <v>24</v>
      </c>
      <c r="N800" s="10">
        <v>2643.9</v>
      </c>
      <c r="O800" s="10">
        <v>8540</v>
      </c>
      <c r="P800" s="10">
        <v>2</v>
      </c>
      <c r="Q800" s="10">
        <v>98.7</v>
      </c>
      <c r="R800" s="10" t="s">
        <v>66</v>
      </c>
      <c r="S800" s="10">
        <v>490.2</v>
      </c>
      <c r="T800" s="10">
        <v>144.1</v>
      </c>
      <c r="U800" s="29">
        <v>43768</v>
      </c>
      <c r="V800" s="66">
        <v>47420</v>
      </c>
      <c r="W800" s="10" t="s">
        <v>10</v>
      </c>
      <c r="X800" s="10" t="s">
        <v>17</v>
      </c>
    </row>
    <row r="801" spans="1:24" ht="50.25" customHeight="1" x14ac:dyDescent="0.25">
      <c r="A801" s="10">
        <f t="shared" si="0"/>
        <v>798</v>
      </c>
      <c r="B801" s="11" t="s">
        <v>2153</v>
      </c>
      <c r="C801" s="47" t="s">
        <v>2154</v>
      </c>
      <c r="D801" s="10" t="s">
        <v>148</v>
      </c>
      <c r="E801" s="10" t="s">
        <v>2</v>
      </c>
      <c r="F801" s="11" t="s">
        <v>2155</v>
      </c>
      <c r="G801" s="11"/>
      <c r="H801" s="11"/>
      <c r="I801" s="11">
        <v>1995</v>
      </c>
      <c r="J801" s="11" t="s">
        <v>668</v>
      </c>
      <c r="K801" s="15" t="str">
        <f>HYPERLINK("https://drive.google.com/open?id=1NSlpy3KnsggBDFhLrg81QLR2deMl7d6Q","АА000077 ")</f>
        <v xml:space="preserve">АА000077 </v>
      </c>
      <c r="L801" s="15" t="str">
        <f>HYPERLINK("https://drive.google.com/open?id=1VQdR-To8giN2iS5i-Uokg3U8X_RLGosB","Сертифікат")</f>
        <v>Сертифікат</v>
      </c>
      <c r="M801" s="11" t="s">
        <v>22</v>
      </c>
      <c r="N801" s="10">
        <v>942.1</v>
      </c>
      <c r="O801" s="10">
        <v>2919</v>
      </c>
      <c r="P801" s="10">
        <v>3</v>
      </c>
      <c r="Q801" s="10">
        <v>81.2</v>
      </c>
      <c r="R801" s="10" t="s">
        <v>66</v>
      </c>
      <c r="S801" s="10">
        <v>622</v>
      </c>
      <c r="T801" s="10">
        <v>261.2</v>
      </c>
      <c r="U801" s="29">
        <v>43767</v>
      </c>
      <c r="V801" s="66">
        <v>47419</v>
      </c>
      <c r="W801" s="10" t="s">
        <v>10</v>
      </c>
      <c r="X801" s="10" t="s">
        <v>17</v>
      </c>
    </row>
    <row r="802" spans="1:24" ht="50.25" customHeight="1" x14ac:dyDescent="0.25">
      <c r="A802" s="10">
        <f t="shared" si="0"/>
        <v>799</v>
      </c>
      <c r="B802" s="11" t="s">
        <v>2149</v>
      </c>
      <c r="C802" s="47" t="s">
        <v>1408</v>
      </c>
      <c r="D802" s="10" t="s">
        <v>69</v>
      </c>
      <c r="E802" s="10" t="s">
        <v>0</v>
      </c>
      <c r="F802" s="11" t="s">
        <v>2156</v>
      </c>
      <c r="G802" s="11"/>
      <c r="H802" s="11"/>
      <c r="I802" s="11" t="s">
        <v>1336</v>
      </c>
      <c r="J802" s="11" t="s">
        <v>448</v>
      </c>
      <c r="K802" s="15" t="s">
        <v>449</v>
      </c>
      <c r="L802" s="15" t="str">
        <f>HYPERLINK("https://drive.google.com/open?id=1ZWSOsqAI9ZxVAv0qHJkbqTbOlCf6g8uN","Сертифікат")</f>
        <v>Сертифікат</v>
      </c>
      <c r="M802" s="11" t="s">
        <v>15</v>
      </c>
      <c r="N802" s="10">
        <v>6161.4</v>
      </c>
      <c r="O802" s="10">
        <v>18349.3</v>
      </c>
      <c r="P802" s="10">
        <v>3</v>
      </c>
      <c r="Q802" s="10">
        <v>74.599999999999994</v>
      </c>
      <c r="R802" s="10" t="s">
        <v>57</v>
      </c>
      <c r="S802" s="10">
        <v>215.3</v>
      </c>
      <c r="T802" s="10">
        <v>39.299999999999997</v>
      </c>
      <c r="U802" s="29">
        <v>43761</v>
      </c>
      <c r="V802" s="66">
        <v>47413</v>
      </c>
      <c r="W802" s="10" t="s">
        <v>10</v>
      </c>
      <c r="X802" s="10" t="s">
        <v>17</v>
      </c>
    </row>
    <row r="803" spans="1:24" ht="50.25" customHeight="1" x14ac:dyDescent="0.25">
      <c r="A803" s="10">
        <f t="shared" si="0"/>
        <v>800</v>
      </c>
      <c r="B803" s="11" t="s">
        <v>2157</v>
      </c>
      <c r="C803" s="10" t="s">
        <v>2158</v>
      </c>
      <c r="D803" s="10" t="s">
        <v>148</v>
      </c>
      <c r="E803" s="10" t="s">
        <v>2</v>
      </c>
      <c r="F803" s="11" t="s">
        <v>2159</v>
      </c>
      <c r="G803" s="11"/>
      <c r="H803" s="11"/>
      <c r="I803" s="11">
        <v>1984</v>
      </c>
      <c r="J803" s="11" t="s">
        <v>668</v>
      </c>
      <c r="K803" s="15" t="str">
        <f>HYPERLINK("https://drive.google.com/open?id=1NSlpy3KnsggBDFhLrg81QLR2deMl7d6Q","АА000077 ")</f>
        <v xml:space="preserve">АА000077 </v>
      </c>
      <c r="L803" s="15" t="str">
        <f>HYPERLINK("https://drive.google.com/open?id=1DndmioSfbHNznN0mBg2BbFx5tgq5DFvu","Сертифікат")</f>
        <v>Сертифікат</v>
      </c>
      <c r="M803" s="11" t="s">
        <v>26</v>
      </c>
      <c r="N803" s="10">
        <v>216.6</v>
      </c>
      <c r="O803" s="10">
        <v>642</v>
      </c>
      <c r="P803" s="10">
        <v>2</v>
      </c>
      <c r="Q803" s="10">
        <v>212.1</v>
      </c>
      <c r="R803" s="10" t="s">
        <v>66</v>
      </c>
      <c r="S803" s="10">
        <v>778.5</v>
      </c>
      <c r="T803" s="10">
        <v>193.6</v>
      </c>
      <c r="U803" s="29">
        <v>43763</v>
      </c>
      <c r="V803" s="66">
        <v>47415</v>
      </c>
      <c r="W803" s="10" t="s">
        <v>13</v>
      </c>
      <c r="X803" s="10" t="s">
        <v>17</v>
      </c>
    </row>
    <row r="804" spans="1:24" ht="50.25" customHeight="1" x14ac:dyDescent="0.25">
      <c r="A804" s="10">
        <f t="shared" si="0"/>
        <v>801</v>
      </c>
      <c r="B804" s="11" t="s">
        <v>2031</v>
      </c>
      <c r="C804" s="10" t="s">
        <v>78</v>
      </c>
      <c r="D804" s="10" t="s">
        <v>79</v>
      </c>
      <c r="E804" s="10" t="s">
        <v>0</v>
      </c>
      <c r="F804" s="11" t="s">
        <v>2032</v>
      </c>
      <c r="G804" s="11"/>
      <c r="H804" s="11"/>
      <c r="I804" s="11">
        <v>1976</v>
      </c>
      <c r="J804" s="11" t="s">
        <v>432</v>
      </c>
      <c r="K804" s="15" t="str">
        <f>HYPERLINK("https://drive.google.com/open?id=1euBM6QoP56NhYkl2g8T2IRU9qquzh3C9","АА000006")</f>
        <v>АА000006</v>
      </c>
      <c r="L804" s="15" t="str">
        <f>HYPERLINK("https://drive.google.com/open?id=1fPM1WVHu_fosF7eI5IGhKY_TMQEQLHJ6","Сертифікат")</f>
        <v>Сертифікат</v>
      </c>
      <c r="M804" s="11" t="s">
        <v>26</v>
      </c>
      <c r="N804" s="10">
        <v>7134</v>
      </c>
      <c r="O804" s="10">
        <v>20688.599999999999</v>
      </c>
      <c r="P804" s="10" t="s">
        <v>2033</v>
      </c>
      <c r="Q804" s="10">
        <v>157.55000000000001</v>
      </c>
      <c r="R804" s="10" t="s">
        <v>57</v>
      </c>
      <c r="S804" s="10">
        <v>210.16</v>
      </c>
      <c r="T804" s="10">
        <v>41.82</v>
      </c>
      <c r="U804" s="29">
        <v>43762</v>
      </c>
      <c r="V804" s="66">
        <v>47414</v>
      </c>
      <c r="W804" s="10" t="s">
        <v>10</v>
      </c>
      <c r="X804" s="10" t="s">
        <v>17</v>
      </c>
    </row>
    <row r="805" spans="1:24" ht="50.25" customHeight="1" x14ac:dyDescent="0.25">
      <c r="A805" s="10">
        <f t="shared" si="0"/>
        <v>802</v>
      </c>
      <c r="B805" s="11" t="s">
        <v>2160</v>
      </c>
      <c r="C805" s="10" t="s">
        <v>1075</v>
      </c>
      <c r="D805" s="10" t="s">
        <v>86</v>
      </c>
      <c r="E805" s="10" t="s">
        <v>2</v>
      </c>
      <c r="F805" s="11" t="s">
        <v>2161</v>
      </c>
      <c r="G805" s="11"/>
      <c r="H805" s="11"/>
      <c r="I805" s="11">
        <v>1986</v>
      </c>
      <c r="J805" s="11" t="s">
        <v>158</v>
      </c>
      <c r="K805" s="15" t="str">
        <f>HYPERLINK("https://drive.google.com/open?id=1pEg5agn5jdMhfl4Pa1dRPaxDB2kT59cP","ЕЕ-005-10-18")</f>
        <v>ЕЕ-005-10-18</v>
      </c>
      <c r="L805" s="15" t="str">
        <f>HYPERLINK("https://drive.google.com/open?id=1Crjj63QcLKHnGK1pVIqhXrGGsq__ehoS","Сертифікат")</f>
        <v>Сертифікат</v>
      </c>
      <c r="M805" s="11" t="s">
        <v>26</v>
      </c>
      <c r="N805" s="10">
        <v>607</v>
      </c>
      <c r="O805" s="10">
        <v>1894</v>
      </c>
      <c r="P805" s="10">
        <v>2</v>
      </c>
      <c r="Q805" s="10">
        <v>106.8</v>
      </c>
      <c r="R805" s="10" t="s">
        <v>66</v>
      </c>
      <c r="S805" s="10">
        <v>480</v>
      </c>
      <c r="T805" s="10">
        <v>95</v>
      </c>
      <c r="U805" s="29">
        <v>43761</v>
      </c>
      <c r="V805" s="66">
        <v>47413</v>
      </c>
      <c r="W805" s="10" t="s">
        <v>10</v>
      </c>
      <c r="X805" s="10" t="s">
        <v>17</v>
      </c>
    </row>
    <row r="806" spans="1:24" ht="50.25" customHeight="1" x14ac:dyDescent="0.25">
      <c r="A806" s="10">
        <f t="shared" si="0"/>
        <v>803</v>
      </c>
      <c r="B806" s="11" t="s">
        <v>2162</v>
      </c>
      <c r="C806" s="10" t="s">
        <v>2163</v>
      </c>
      <c r="D806" s="10" t="s">
        <v>148</v>
      </c>
      <c r="E806" s="10" t="s">
        <v>2</v>
      </c>
      <c r="F806" s="11" t="s">
        <v>2164</v>
      </c>
      <c r="G806" s="11"/>
      <c r="H806" s="11"/>
      <c r="I806" s="11">
        <v>1970</v>
      </c>
      <c r="J806" s="11" t="s">
        <v>668</v>
      </c>
      <c r="K806" s="15" t="str">
        <f>HYPERLINK("https://drive.google.com/open?id=1NSlpy3KnsggBDFhLrg81QLR2deMl7d6Q","АА000077 ")</f>
        <v xml:space="preserve">АА000077 </v>
      </c>
      <c r="L806" s="15" t="str">
        <f>HYPERLINK("https://drive.google.com/open?id=1g_9YZTVCnnzGCLbzjx90oJGoeq4L6k4l","Сертифікат")</f>
        <v>Сертифікат</v>
      </c>
      <c r="M806" s="11" t="s">
        <v>26</v>
      </c>
      <c r="N806" s="10">
        <v>497.8</v>
      </c>
      <c r="O806" s="10">
        <v>1596</v>
      </c>
      <c r="P806" s="10">
        <v>2</v>
      </c>
      <c r="Q806" s="10">
        <v>179.9</v>
      </c>
      <c r="R806" s="10" t="s">
        <v>66</v>
      </c>
      <c r="S806" s="10">
        <v>719.3</v>
      </c>
      <c r="T806" s="10">
        <v>179</v>
      </c>
      <c r="U806" s="29">
        <v>43767</v>
      </c>
      <c r="V806" s="66">
        <v>47419</v>
      </c>
      <c r="W806" s="10" t="s">
        <v>10</v>
      </c>
      <c r="X806" s="10" t="s">
        <v>17</v>
      </c>
    </row>
    <row r="807" spans="1:24" ht="50.25" customHeight="1" x14ac:dyDescent="0.25">
      <c r="A807" s="10">
        <f t="shared" si="0"/>
        <v>804</v>
      </c>
      <c r="B807" s="11" t="s">
        <v>2165</v>
      </c>
      <c r="C807" s="10" t="s">
        <v>52</v>
      </c>
      <c r="D807" s="10" t="s">
        <v>52</v>
      </c>
      <c r="E807" s="10" t="s">
        <v>5</v>
      </c>
      <c r="F807" s="11" t="s">
        <v>2166</v>
      </c>
      <c r="G807" s="11"/>
      <c r="H807" s="11"/>
      <c r="I807" s="11">
        <v>2019</v>
      </c>
      <c r="J807" s="11" t="s">
        <v>642</v>
      </c>
      <c r="K807" s="15" t="str">
        <f>HYPERLINK("https://drive.google.com/open?id=1cxGxrVWMvCNlS6TwjKIt2Jn85z6h57TB","ЕЕ-036-05-19")</f>
        <v>ЕЕ-036-05-19</v>
      </c>
      <c r="L807" s="15" t="str">
        <f>HYPERLINK("https://drive.google.com/open?id=1KmfZSAfzwo4P2iJezlP2X8E27Tr7PPAu","Сертифікат")</f>
        <v>Сертифікат</v>
      </c>
      <c r="M807" s="11" t="s">
        <v>15</v>
      </c>
      <c r="N807" s="10">
        <v>527.6</v>
      </c>
      <c r="O807" s="10">
        <v>1729.8</v>
      </c>
      <c r="P807" s="10">
        <v>3</v>
      </c>
      <c r="Q807" s="10">
        <v>38.1</v>
      </c>
      <c r="R807" s="10" t="s">
        <v>66</v>
      </c>
      <c r="S807" s="10">
        <v>363</v>
      </c>
      <c r="T807" s="10">
        <v>66</v>
      </c>
      <c r="U807" s="29">
        <v>43767</v>
      </c>
      <c r="V807" s="66">
        <v>47419</v>
      </c>
      <c r="W807" s="10" t="s">
        <v>10</v>
      </c>
      <c r="X807" s="10" t="s">
        <v>17</v>
      </c>
    </row>
    <row r="808" spans="1:24" ht="50.25" customHeight="1" x14ac:dyDescent="0.25">
      <c r="A808" s="10">
        <f t="shared" si="0"/>
        <v>805</v>
      </c>
      <c r="B808" s="11" t="s">
        <v>2167</v>
      </c>
      <c r="C808" s="10" t="s">
        <v>1408</v>
      </c>
      <c r="D808" s="10" t="s">
        <v>69</v>
      </c>
      <c r="E808" s="10" t="s">
        <v>0</v>
      </c>
      <c r="F808" s="11" t="s">
        <v>2168</v>
      </c>
      <c r="G808" s="11"/>
      <c r="H808" s="11"/>
      <c r="I808" s="11" t="s">
        <v>1336</v>
      </c>
      <c r="J808" s="11" t="s">
        <v>448</v>
      </c>
      <c r="K808" s="15" t="s">
        <v>449</v>
      </c>
      <c r="L808" s="15" t="str">
        <f>HYPERLINK("https://drive.google.com/open?id=1D1dro4kqbE2Gae-9vKeQoxN0or8_yyAU","Сертифікат")</f>
        <v>Сертифікат</v>
      </c>
      <c r="M808" s="11" t="s">
        <v>15</v>
      </c>
      <c r="N808" s="10">
        <v>4219.3999999999996</v>
      </c>
      <c r="O808" s="10">
        <v>12658.2</v>
      </c>
      <c r="P808" s="10">
        <v>3</v>
      </c>
      <c r="Q808" s="10">
        <v>75.400000000000006</v>
      </c>
      <c r="R808" s="10" t="s">
        <v>57</v>
      </c>
      <c r="S808" s="10">
        <v>216.1</v>
      </c>
      <c r="T808" s="10">
        <v>39.5</v>
      </c>
      <c r="U808" s="29">
        <v>43761</v>
      </c>
      <c r="V808" s="66">
        <v>47413</v>
      </c>
      <c r="W808" s="10" t="s">
        <v>10</v>
      </c>
      <c r="X808" s="10" t="s">
        <v>17</v>
      </c>
    </row>
    <row r="809" spans="1:24" ht="50.25" customHeight="1" x14ac:dyDescent="0.25">
      <c r="A809" s="10">
        <f t="shared" si="0"/>
        <v>806</v>
      </c>
      <c r="B809" s="11" t="s">
        <v>2169</v>
      </c>
      <c r="C809" s="10" t="s">
        <v>2170</v>
      </c>
      <c r="D809" s="10" t="s">
        <v>442</v>
      </c>
      <c r="E809" s="10" t="s">
        <v>0</v>
      </c>
      <c r="F809" s="11" t="s">
        <v>2171</v>
      </c>
      <c r="G809" s="11"/>
      <c r="H809" s="11"/>
      <c r="I809" s="11">
        <v>1987</v>
      </c>
      <c r="J809" s="11" t="s">
        <v>458</v>
      </c>
      <c r="K809" s="15" t="str">
        <f>HYPERLINK("https://drive.google.com/open?id=1jNB0dX7vprpk3tel6i4HIfX0MLvbF6X5","СБ-0045")</f>
        <v>СБ-0045</v>
      </c>
      <c r="L809" s="15" t="str">
        <f>HYPERLINK("https://drive.google.com/open?id=18wzymCGwdqg4dQhuuIJVH0KjcGJ1uaKJ","Сертифікат")</f>
        <v>Сертифікат</v>
      </c>
      <c r="M809" s="11" t="s">
        <v>22</v>
      </c>
      <c r="N809" s="10">
        <v>2881.8</v>
      </c>
      <c r="O809" s="10">
        <v>7838.5</v>
      </c>
      <c r="P809" s="10">
        <v>5</v>
      </c>
      <c r="Q809" s="10">
        <v>125.5</v>
      </c>
      <c r="R809" s="10" t="s">
        <v>57</v>
      </c>
      <c r="S809" s="10">
        <v>242.82</v>
      </c>
      <c r="T809" s="10">
        <v>46.42</v>
      </c>
      <c r="U809" s="29">
        <v>43762</v>
      </c>
      <c r="V809" s="66">
        <v>47414</v>
      </c>
      <c r="W809" s="10" t="s">
        <v>13</v>
      </c>
      <c r="X809" s="10" t="s">
        <v>17</v>
      </c>
    </row>
    <row r="810" spans="1:24" ht="50.25" customHeight="1" x14ac:dyDescent="0.25">
      <c r="A810" s="10">
        <f t="shared" si="0"/>
        <v>807</v>
      </c>
      <c r="B810" s="11" t="s">
        <v>2172</v>
      </c>
      <c r="C810" s="10" t="s">
        <v>52</v>
      </c>
      <c r="D810" s="10" t="s">
        <v>52</v>
      </c>
      <c r="E810" s="10" t="s">
        <v>2</v>
      </c>
      <c r="F810" s="11" t="s">
        <v>2173</v>
      </c>
      <c r="G810" s="11"/>
      <c r="H810" s="11"/>
      <c r="I810" s="11">
        <v>2019</v>
      </c>
      <c r="J810" s="11" t="s">
        <v>1168</v>
      </c>
      <c r="K810" s="15" t="str">
        <f>HYPERLINK("https://drive.google.com/open?id=1IAlNZe4csuyp8RH-DTYn3L4-p1-qcHtF","ЕЕ-001-10-18")</f>
        <v>ЕЕ-001-10-18</v>
      </c>
      <c r="L810" s="15" t="str">
        <f>HYPERLINK("https://drive.google.com/open?id=1jSXZxuA4IXlAr0kwBtOuN6liD2mblb3B","Сертифікат")</f>
        <v>Сертифікат</v>
      </c>
      <c r="M810" s="11" t="s">
        <v>15</v>
      </c>
      <c r="N810" s="10">
        <v>1089.8</v>
      </c>
      <c r="O810" s="10">
        <v>3486</v>
      </c>
      <c r="P810" s="10">
        <v>3</v>
      </c>
      <c r="Q810" s="10">
        <v>48.9</v>
      </c>
      <c r="R810" s="10" t="s">
        <v>66</v>
      </c>
      <c r="S810" s="10">
        <v>251</v>
      </c>
      <c r="T810" s="10">
        <v>49</v>
      </c>
      <c r="U810" s="29">
        <v>43768</v>
      </c>
      <c r="V810" s="66">
        <v>47420</v>
      </c>
      <c r="W810" s="10" t="s">
        <v>10</v>
      </c>
      <c r="X810" s="10" t="s">
        <v>17</v>
      </c>
    </row>
    <row r="811" spans="1:24" ht="50.25" customHeight="1" x14ac:dyDescent="0.25">
      <c r="A811" s="10">
        <f t="shared" si="0"/>
        <v>808</v>
      </c>
      <c r="B811" s="11" t="s">
        <v>2174</v>
      </c>
      <c r="C811" s="10" t="s">
        <v>2175</v>
      </c>
      <c r="D811" s="10" t="s">
        <v>142</v>
      </c>
      <c r="E811" s="10" t="s">
        <v>5</v>
      </c>
      <c r="F811" s="11" t="s">
        <v>2176</v>
      </c>
      <c r="G811" s="11"/>
      <c r="H811" s="11"/>
      <c r="I811" s="11">
        <v>1976</v>
      </c>
      <c r="J811" s="11" t="s">
        <v>1504</v>
      </c>
      <c r="K811" s="51" t="s">
        <v>1505</v>
      </c>
      <c r="L811" s="15" t="str">
        <f>HYPERLINK("https://drive.google.com/open?id=1xX2NvJfaiL5k53C3_nik8NsqYPiN4Jye","Сертифікат")</f>
        <v>Сертифікат</v>
      </c>
      <c r="M811" s="11" t="s">
        <v>26</v>
      </c>
      <c r="N811" s="10">
        <v>562.6</v>
      </c>
      <c r="O811" s="10">
        <v>1746</v>
      </c>
      <c r="P811" s="10">
        <v>2</v>
      </c>
      <c r="Q811" s="10">
        <v>118.4</v>
      </c>
      <c r="R811" s="10" t="s">
        <v>66</v>
      </c>
      <c r="S811" s="10">
        <v>716.3</v>
      </c>
      <c r="T811" s="10">
        <v>230.7</v>
      </c>
      <c r="U811" s="29">
        <v>43768</v>
      </c>
      <c r="V811" s="66">
        <v>47420</v>
      </c>
      <c r="W811" s="10" t="s">
        <v>10</v>
      </c>
      <c r="X811" s="10" t="s">
        <v>17</v>
      </c>
    </row>
    <row r="812" spans="1:24" ht="50.25" customHeight="1" x14ac:dyDescent="0.25">
      <c r="A812" s="10">
        <f t="shared" si="0"/>
        <v>809</v>
      </c>
      <c r="B812" s="11" t="s">
        <v>2177</v>
      </c>
      <c r="C812" s="10" t="s">
        <v>74</v>
      </c>
      <c r="D812" s="10" t="s">
        <v>75</v>
      </c>
      <c r="E812" s="10" t="s">
        <v>2</v>
      </c>
      <c r="F812" s="11" t="s">
        <v>2178</v>
      </c>
      <c r="G812" s="11"/>
      <c r="H812" s="11"/>
      <c r="I812" s="11" t="s">
        <v>2179</v>
      </c>
      <c r="J812" s="11" t="s">
        <v>209</v>
      </c>
      <c r="K812" s="15" t="str">
        <f>HYPERLINK("https://drive.google.com/open?id=1nFSy5k_5dEpHD1r7NrzhyR0bvCdUEIlN","СБ-0033")</f>
        <v>СБ-0033</v>
      </c>
      <c r="L812" s="15" t="str">
        <f>HYPERLINK("https://drive.google.com/open?id=1Sz8vObz2W3Pl9cKQjWuL29rMcApKGBQ6","Сертифікат")</f>
        <v>Сертифікат</v>
      </c>
      <c r="M812" s="11" t="s">
        <v>26</v>
      </c>
      <c r="N812" s="10">
        <v>6340</v>
      </c>
      <c r="O812" s="10">
        <v>23458</v>
      </c>
      <c r="P812" s="10">
        <v>7</v>
      </c>
      <c r="Q812" s="10">
        <v>84</v>
      </c>
      <c r="R812" s="10" t="s">
        <v>66</v>
      </c>
      <c r="S812" s="10">
        <v>424</v>
      </c>
      <c r="T812" s="10">
        <v>83</v>
      </c>
      <c r="U812" s="29">
        <v>43768</v>
      </c>
      <c r="V812" s="66">
        <v>47420</v>
      </c>
      <c r="W812" s="10" t="s">
        <v>10</v>
      </c>
      <c r="X812" s="10" t="s">
        <v>17</v>
      </c>
    </row>
    <row r="813" spans="1:24" ht="50.25" customHeight="1" x14ac:dyDescent="0.25">
      <c r="A813" s="10">
        <f t="shared" si="0"/>
        <v>810</v>
      </c>
      <c r="B813" s="11" t="s">
        <v>2180</v>
      </c>
      <c r="C813" s="10" t="s">
        <v>2181</v>
      </c>
      <c r="D813" s="10" t="s">
        <v>86</v>
      </c>
      <c r="E813" s="10" t="s">
        <v>2</v>
      </c>
      <c r="F813" s="11" t="s">
        <v>2182</v>
      </c>
      <c r="G813" s="11"/>
      <c r="H813" s="11"/>
      <c r="I813" s="11">
        <v>1936</v>
      </c>
      <c r="J813" s="11" t="s">
        <v>642</v>
      </c>
      <c r="K813" s="15" t="str">
        <f>HYPERLINK("https://drive.google.com/open?id=1cxGxrVWMvCNlS6TwjKIt2Jn85z6h57TB","ЕЕ-036-05-19")</f>
        <v>ЕЕ-036-05-19</v>
      </c>
      <c r="L813" s="15" t="str">
        <f>HYPERLINK("https://drive.google.com/open?id=14DnDZKfnONQQS336iSFQceVxeI0_HSfw","Сертифікат")</f>
        <v>Сертифікат</v>
      </c>
      <c r="M813" s="11" t="s">
        <v>26</v>
      </c>
      <c r="N813" s="10">
        <v>479.2</v>
      </c>
      <c r="O813" s="10">
        <v>1678.1</v>
      </c>
      <c r="P813" s="10">
        <v>2</v>
      </c>
      <c r="Q813" s="10">
        <v>130</v>
      </c>
      <c r="R813" s="10" t="s">
        <v>66</v>
      </c>
      <c r="S813" s="10">
        <v>554</v>
      </c>
      <c r="T813" s="10">
        <v>110</v>
      </c>
      <c r="U813" s="29">
        <v>43763</v>
      </c>
      <c r="V813" s="66">
        <v>47415</v>
      </c>
      <c r="W813" s="10" t="s">
        <v>10</v>
      </c>
      <c r="X813" s="10" t="s">
        <v>17</v>
      </c>
    </row>
    <row r="814" spans="1:24" ht="50.25" customHeight="1" x14ac:dyDescent="0.25">
      <c r="A814" s="10">
        <f t="shared" si="0"/>
        <v>811</v>
      </c>
      <c r="B814" s="11" t="s">
        <v>2183</v>
      </c>
      <c r="C814" s="10" t="s">
        <v>441</v>
      </c>
      <c r="D814" s="10" t="s">
        <v>442</v>
      </c>
      <c r="E814" s="10" t="s">
        <v>0</v>
      </c>
      <c r="F814" s="11" t="s">
        <v>2184</v>
      </c>
      <c r="G814" s="11"/>
      <c r="H814" s="11"/>
      <c r="I814" s="11">
        <v>1963</v>
      </c>
      <c r="J814" s="11" t="s">
        <v>110</v>
      </c>
      <c r="K814" s="15" t="str">
        <f>HYPERLINK("https://drive.google.com/open?id=1hysLLNyTDspucV_3Tt8ScCWEgMedd8bv","1/010")</f>
        <v>1/010</v>
      </c>
      <c r="L814" s="15" t="str">
        <f>HYPERLINK("https://drive.google.com/open?id=1_5bnZdz4b5VjMR6GcBVlNQSsLAQOFhG7","Сертифікат")</f>
        <v>Сертифікат</v>
      </c>
      <c r="M814" s="11" t="s">
        <v>26</v>
      </c>
      <c r="N814" s="10">
        <v>2409.1</v>
      </c>
      <c r="O814" s="10">
        <v>6787.4</v>
      </c>
      <c r="P814" s="10">
        <v>5</v>
      </c>
      <c r="Q814" s="10">
        <v>165.24</v>
      </c>
      <c r="R814" s="10" t="s">
        <v>57</v>
      </c>
      <c r="S814" s="10">
        <v>232.22</v>
      </c>
      <c r="T814" s="10">
        <v>45.86</v>
      </c>
      <c r="U814" s="29">
        <v>43770</v>
      </c>
      <c r="V814" s="66">
        <v>47422</v>
      </c>
      <c r="W814" s="10" t="s">
        <v>10</v>
      </c>
      <c r="X814" s="10" t="s">
        <v>17</v>
      </c>
    </row>
    <row r="815" spans="1:24" ht="50.25" customHeight="1" x14ac:dyDescent="0.25">
      <c r="A815" s="10">
        <f t="shared" si="0"/>
        <v>812</v>
      </c>
      <c r="B815" s="11" t="s">
        <v>2185</v>
      </c>
      <c r="C815" s="52" t="s">
        <v>345</v>
      </c>
      <c r="D815" s="47" t="s">
        <v>79</v>
      </c>
      <c r="E815" s="10" t="s">
        <v>5</v>
      </c>
      <c r="F815" s="11" t="s">
        <v>2186</v>
      </c>
      <c r="G815" s="11"/>
      <c r="H815" s="11"/>
      <c r="I815" s="11" t="s">
        <v>2187</v>
      </c>
      <c r="J815" s="27" t="s">
        <v>981</v>
      </c>
      <c r="K815" s="15" t="str">
        <f>HYPERLINK("https://drive.google.com/open?id=1IDQuQux79NT0xtRrkfgG6JOgxOamY1Vd","АА000036 ")</f>
        <v xml:space="preserve">АА000036 </v>
      </c>
      <c r="L815" s="15" t="str">
        <f>HYPERLINK("https://drive.google.com/open?id=1h7imBrJEUvH9pt6eRL1ya1uo7RqPv09M","Сертифікат")</f>
        <v>Сертифікат</v>
      </c>
      <c r="M815" s="11" t="s">
        <v>26</v>
      </c>
      <c r="N815" s="10">
        <v>4986</v>
      </c>
      <c r="O815" s="10">
        <v>15878</v>
      </c>
      <c r="P815" s="10">
        <v>4</v>
      </c>
      <c r="Q815" s="10">
        <v>116.8</v>
      </c>
      <c r="R815" s="10" t="s">
        <v>66</v>
      </c>
      <c r="S815" s="10">
        <v>630</v>
      </c>
      <c r="T815" s="10">
        <v>122</v>
      </c>
      <c r="U815" s="66">
        <v>43773</v>
      </c>
      <c r="V815" s="66">
        <v>47425</v>
      </c>
      <c r="W815" s="10" t="s">
        <v>10</v>
      </c>
      <c r="X815" s="10" t="s">
        <v>17</v>
      </c>
    </row>
    <row r="816" spans="1:24" ht="50.25" customHeight="1" x14ac:dyDescent="0.25">
      <c r="A816" s="10">
        <f t="shared" si="0"/>
        <v>813</v>
      </c>
      <c r="B816" s="11" t="s">
        <v>2188</v>
      </c>
      <c r="C816" s="10" t="s">
        <v>786</v>
      </c>
      <c r="D816" s="10" t="s">
        <v>69</v>
      </c>
      <c r="E816" s="10" t="s">
        <v>0</v>
      </c>
      <c r="F816" s="11" t="s">
        <v>2189</v>
      </c>
      <c r="G816" s="11"/>
      <c r="H816" s="11"/>
      <c r="I816" s="11">
        <v>1983</v>
      </c>
      <c r="J816" s="11" t="s">
        <v>1057</v>
      </c>
      <c r="K816" s="15" t="str">
        <f>HYPERLINK("https://drive.google.com/open?id=1jOJ8C4qs2yVEI7j7G_2k_QwYSBK43oV5","ЕЕ-024-02-19")</f>
        <v>ЕЕ-024-02-19</v>
      </c>
      <c r="L816" s="15" t="str">
        <f>HYPERLINK("https://drive.google.com/open?id=1X1bc9YGpR43GxatOiiiV4ve_XmqjTym7","Сертифікат")</f>
        <v>Сертифікат</v>
      </c>
      <c r="M816" s="11" t="s">
        <v>26</v>
      </c>
      <c r="N816" s="10">
        <v>2046.8</v>
      </c>
      <c r="O816" s="10">
        <v>5627.8</v>
      </c>
      <c r="P816" s="10">
        <v>4</v>
      </c>
      <c r="Q816" s="10">
        <v>271.45999999999998</v>
      </c>
      <c r="R816" s="10" t="s">
        <v>57</v>
      </c>
      <c r="S816" s="10">
        <v>354.2</v>
      </c>
      <c r="T816" s="10">
        <v>69.7</v>
      </c>
      <c r="U816" s="29">
        <v>43771</v>
      </c>
      <c r="V816" s="66">
        <v>47423</v>
      </c>
      <c r="W816" s="10" t="s">
        <v>13</v>
      </c>
      <c r="X816" s="10" t="s">
        <v>17</v>
      </c>
    </row>
    <row r="817" spans="1:24" ht="50.25" customHeight="1" x14ac:dyDescent="0.25">
      <c r="A817" s="10">
        <f t="shared" si="0"/>
        <v>814</v>
      </c>
      <c r="B817" s="11" t="s">
        <v>2190</v>
      </c>
      <c r="C817" s="11" t="s">
        <v>2191</v>
      </c>
      <c r="D817" s="10" t="s">
        <v>142</v>
      </c>
      <c r="E817" s="10" t="s">
        <v>4</v>
      </c>
      <c r="F817" s="11" t="s">
        <v>2192</v>
      </c>
      <c r="G817" s="11"/>
      <c r="H817" s="11"/>
      <c r="I817" s="11" t="s">
        <v>1010</v>
      </c>
      <c r="J817" s="10" t="s">
        <v>2193</v>
      </c>
      <c r="K817" s="56" t="str">
        <f>HYPERLINK("https://drive.google.com/open?id=1eKr-GzevOUS5lB3DG8kJHt-_GqG1vmX8","ЕЕ-013-12-18")</f>
        <v>ЕЕ-013-12-18</v>
      </c>
      <c r="L817" s="15" t="str">
        <f>HYPERLINK("https://drive.google.com/open?id=1CTDTrkxQRvv65KKrnP1__nM21pUh9mV6","Сертифікат")</f>
        <v>Сертифікат</v>
      </c>
      <c r="M817" s="11" t="s">
        <v>26</v>
      </c>
      <c r="N817" s="10">
        <v>983.1</v>
      </c>
      <c r="O817" s="10">
        <v>3122.82</v>
      </c>
      <c r="P817" s="10">
        <v>3</v>
      </c>
      <c r="Q817" s="10">
        <v>206</v>
      </c>
      <c r="R817" s="10" t="s">
        <v>66</v>
      </c>
      <c r="S817" s="10">
        <v>719</v>
      </c>
      <c r="T817" s="10">
        <v>144</v>
      </c>
      <c r="U817" s="66">
        <v>43757</v>
      </c>
      <c r="V817" s="66">
        <v>47409</v>
      </c>
      <c r="W817" s="10" t="s">
        <v>13</v>
      </c>
      <c r="X817" s="10" t="s">
        <v>17</v>
      </c>
    </row>
    <row r="818" spans="1:24" ht="50.25" customHeight="1" x14ac:dyDescent="0.25">
      <c r="A818" s="10">
        <f t="shared" si="0"/>
        <v>815</v>
      </c>
      <c r="B818" s="11" t="s">
        <v>2194</v>
      </c>
      <c r="C818" s="10" t="s">
        <v>441</v>
      </c>
      <c r="D818" s="10" t="s">
        <v>442</v>
      </c>
      <c r="E818" s="10" t="s">
        <v>0</v>
      </c>
      <c r="F818" s="11" t="s">
        <v>2195</v>
      </c>
      <c r="G818" s="11"/>
      <c r="H818" s="11"/>
      <c r="I818" s="11" t="s">
        <v>1010</v>
      </c>
      <c r="J818" s="11" t="s">
        <v>2196</v>
      </c>
      <c r="K818" s="15" t="str">
        <f>HYPERLINK("https://drive.google.com/open?id=1meZq0O4N8mvAC0qawgk1YFIoeDD-CyCg","ОД 000013")</f>
        <v>ОД 000013</v>
      </c>
      <c r="L818" s="15" t="str">
        <f>HYPERLINK("https://drive.google.com/open?id=1_V7Qr756-ibHAqucCAutpSZ3qyrwSRNY","Сертифікат")</f>
        <v>Сертифікат</v>
      </c>
      <c r="M818" s="11" t="s">
        <v>15</v>
      </c>
      <c r="N818" s="10">
        <v>8668.2000000000007</v>
      </c>
      <c r="O818" s="10">
        <v>27738.240000000002</v>
      </c>
      <c r="P818" s="10">
        <v>12</v>
      </c>
      <c r="Q818" s="10">
        <v>57.2</v>
      </c>
      <c r="R818" s="10" t="s">
        <v>57</v>
      </c>
      <c r="S818" s="10">
        <v>152.69999999999999</v>
      </c>
      <c r="T818" s="10">
        <v>24</v>
      </c>
      <c r="U818" s="29">
        <v>43773</v>
      </c>
      <c r="V818" s="66">
        <v>47425</v>
      </c>
      <c r="W818" s="10" t="s">
        <v>10</v>
      </c>
      <c r="X818" s="10" t="s">
        <v>17</v>
      </c>
    </row>
    <row r="819" spans="1:24" ht="50.25" customHeight="1" x14ac:dyDescent="0.25">
      <c r="A819" s="10">
        <f t="shared" si="0"/>
        <v>816</v>
      </c>
      <c r="B819" s="11" t="s">
        <v>2197</v>
      </c>
      <c r="C819" s="10" t="s">
        <v>1145</v>
      </c>
      <c r="D819" s="10" t="s">
        <v>1295</v>
      </c>
      <c r="E819" s="10" t="s">
        <v>0</v>
      </c>
      <c r="F819" s="11" t="s">
        <v>2198</v>
      </c>
      <c r="G819" s="11"/>
      <c r="H819" s="11"/>
      <c r="I819" s="11">
        <v>2019</v>
      </c>
      <c r="J819" s="11" t="s">
        <v>2199</v>
      </c>
      <c r="K819" s="15" t="str">
        <f>HYPERLINK("https://drive.google.com/open?id=1YbnLDE7Z72CYz1mNHICQ_YFK0y3wL38N","ХМ 02071234/006")</f>
        <v>ХМ 02071234/006</v>
      </c>
      <c r="L819" s="15" t="str">
        <f>HYPERLINK("https://drive.google.com/open?id=1lmb1y6iCjyxOiWJwV135m4oBJop5cMyq","Сертифікат")</f>
        <v>Сертифікат</v>
      </c>
      <c r="M819" s="11" t="s">
        <v>18</v>
      </c>
      <c r="N819" s="10">
        <v>9153.7000000000007</v>
      </c>
      <c r="O819" s="10">
        <v>29120.2</v>
      </c>
      <c r="P819" s="10">
        <v>9</v>
      </c>
      <c r="Q819" s="10">
        <v>81.3</v>
      </c>
      <c r="R819" s="10" t="s">
        <v>57</v>
      </c>
      <c r="S819" s="10">
        <v>81.3</v>
      </c>
      <c r="T819" s="10">
        <v>24.9</v>
      </c>
      <c r="U819" s="29">
        <v>43762</v>
      </c>
      <c r="V819" s="66">
        <v>47414</v>
      </c>
      <c r="W819" s="10" t="s">
        <v>13</v>
      </c>
      <c r="X819" s="10" t="s">
        <v>17</v>
      </c>
    </row>
    <row r="820" spans="1:24" ht="50.25" customHeight="1" x14ac:dyDescent="0.25">
      <c r="A820" s="10">
        <f t="shared" si="0"/>
        <v>817</v>
      </c>
      <c r="B820" s="11" t="s">
        <v>2200</v>
      </c>
      <c r="C820" s="10" t="s">
        <v>1279</v>
      </c>
      <c r="D820" s="10" t="s">
        <v>442</v>
      </c>
      <c r="E820" s="10" t="s">
        <v>3</v>
      </c>
      <c r="F820" s="11" t="s">
        <v>2201</v>
      </c>
      <c r="G820" s="11"/>
      <c r="H820" s="11"/>
      <c r="I820" s="11">
        <v>1974</v>
      </c>
      <c r="J820" s="11" t="s">
        <v>2202</v>
      </c>
      <c r="K820" s="15" t="str">
        <f>HYPERLINK("https://drive.google.com/open?id=1DsJ8FRjQDndzzugQtOMQnOvpVospFk3-","ОРІ-АВ00005")</f>
        <v>ОРІ-АВ00005</v>
      </c>
      <c r="L820" s="15" t="str">
        <f>HYPERLINK("https://drive.google.com/open?id=1chjjCcB0GbBOPnCQNf3o8EUjSl69jlZv","Сертифікат")</f>
        <v>Сертифікат</v>
      </c>
      <c r="M820" s="11" t="s">
        <v>24</v>
      </c>
      <c r="N820" s="10">
        <v>2653.22</v>
      </c>
      <c r="O820" s="10">
        <v>9047.4699999999993</v>
      </c>
      <c r="P820" s="10">
        <v>2</v>
      </c>
      <c r="Q820" s="10">
        <v>50.56</v>
      </c>
      <c r="R820" s="10" t="s">
        <v>66</v>
      </c>
      <c r="S820" s="10">
        <v>302.63</v>
      </c>
      <c r="T820" s="10">
        <v>58.45</v>
      </c>
      <c r="U820" s="29">
        <v>43773</v>
      </c>
      <c r="V820" s="66">
        <v>43798</v>
      </c>
      <c r="W820" s="10" t="s">
        <v>10</v>
      </c>
      <c r="X820" s="10" t="s">
        <v>17</v>
      </c>
    </row>
    <row r="821" spans="1:24" ht="50.25" customHeight="1" x14ac:dyDescent="0.25">
      <c r="A821" s="10">
        <f t="shared" si="0"/>
        <v>818</v>
      </c>
      <c r="B821" s="11" t="s">
        <v>2203</v>
      </c>
      <c r="C821" s="10" t="s">
        <v>1561</v>
      </c>
      <c r="D821" s="10" t="s">
        <v>86</v>
      </c>
      <c r="E821" s="10" t="s">
        <v>0</v>
      </c>
      <c r="F821" s="11" t="s">
        <v>1572</v>
      </c>
      <c r="G821" s="11"/>
      <c r="H821" s="11"/>
      <c r="I821" s="11">
        <v>1967</v>
      </c>
      <c r="J821" s="11" t="s">
        <v>2204</v>
      </c>
      <c r="K821" s="15" t="str">
        <f>HYPERLINK("https://drive.google.com/open?id=1Eu3b-SQR6QMzDrWPm53uhmGYQaQSos-l","KPI-CE №000011")</f>
        <v>KPI-CE №000011</v>
      </c>
      <c r="L821" s="15" t="str">
        <f>HYPERLINK("https://drive.google.com/open?id=1TBPs9M_NClIIXpvtyXOVGE4i305jBLWo","Сертифікат")</f>
        <v>Сертифікат</v>
      </c>
      <c r="M821" s="11" t="s">
        <v>22</v>
      </c>
      <c r="N821" s="10">
        <v>1215</v>
      </c>
      <c r="O821" s="10">
        <v>3401</v>
      </c>
      <c r="P821" s="10">
        <v>2</v>
      </c>
      <c r="Q821" s="10">
        <v>194.29</v>
      </c>
      <c r="R821" s="10" t="s">
        <v>57</v>
      </c>
      <c r="S821" s="10">
        <v>306.86</v>
      </c>
      <c r="T821" s="10">
        <v>95.5</v>
      </c>
      <c r="U821" s="29">
        <v>43773</v>
      </c>
      <c r="V821" s="66">
        <v>47425</v>
      </c>
      <c r="W821" s="10" t="s">
        <v>13</v>
      </c>
      <c r="X821" s="10" t="s">
        <v>17</v>
      </c>
    </row>
    <row r="822" spans="1:24" ht="50.25" customHeight="1" x14ac:dyDescent="0.25">
      <c r="A822" s="10">
        <f t="shared" si="0"/>
        <v>819</v>
      </c>
      <c r="B822" s="67" t="s">
        <v>2205</v>
      </c>
      <c r="C822" s="47" t="s">
        <v>2206</v>
      </c>
      <c r="D822" s="10" t="s">
        <v>75</v>
      </c>
      <c r="E822" s="10" t="s">
        <v>2</v>
      </c>
      <c r="F822" s="67" t="s">
        <v>2207</v>
      </c>
      <c r="G822" s="11"/>
      <c r="H822" s="11"/>
      <c r="I822" s="11">
        <v>1995</v>
      </c>
      <c r="J822" s="11" t="s">
        <v>2054</v>
      </c>
      <c r="K822" s="15" t="str">
        <f>HYPERLINK("https://drive.google.com/open?id=15mzOVo5DzvZRYSFkEsMp5jV14CeCYhNn","АЕ00007")</f>
        <v>АЕ00007</v>
      </c>
      <c r="L822" s="15" t="str">
        <f>HYPERLINK("https://drive.google.com/open?id=18Aa-0iadzcCXmf-yBXUUsrvyotI08b5p","Сертифікат")</f>
        <v>Сертифікат</v>
      </c>
      <c r="M822" s="11" t="s">
        <v>26</v>
      </c>
      <c r="N822" s="10">
        <v>1555.7</v>
      </c>
      <c r="O822" s="10">
        <v>6927.6</v>
      </c>
      <c r="P822" s="10">
        <v>2</v>
      </c>
      <c r="Q822" s="10">
        <v>167.9</v>
      </c>
      <c r="R822" s="10" t="s">
        <v>66</v>
      </c>
      <c r="S822" s="10">
        <v>1006.6</v>
      </c>
      <c r="T822" s="10">
        <v>267.3</v>
      </c>
      <c r="U822" s="29">
        <v>43773</v>
      </c>
      <c r="V822" s="66">
        <v>47425</v>
      </c>
      <c r="W822" s="10" t="s">
        <v>13</v>
      </c>
      <c r="X822" s="10" t="s">
        <v>17</v>
      </c>
    </row>
    <row r="823" spans="1:24" ht="50.25" customHeight="1" x14ac:dyDescent="0.25">
      <c r="A823" s="10">
        <f t="shared" si="0"/>
        <v>820</v>
      </c>
      <c r="B823" s="11" t="s">
        <v>2208</v>
      </c>
      <c r="C823" s="10" t="s">
        <v>2209</v>
      </c>
      <c r="D823" s="10" t="s">
        <v>86</v>
      </c>
      <c r="E823" s="10" t="s">
        <v>4</v>
      </c>
      <c r="F823" s="11" t="s">
        <v>2210</v>
      </c>
      <c r="G823" s="11"/>
      <c r="H823" s="11"/>
      <c r="I823" s="11" t="s">
        <v>1010</v>
      </c>
      <c r="J823" s="11" t="s">
        <v>1634</v>
      </c>
      <c r="K823" s="15" t="str">
        <f>HYPERLINK("https://drive.google.com/open?id=1CF150nPtc6NMKZg6foJ30-_Ho5ob3M2l","ОД 02071010/1001-18")</f>
        <v>ОД 02071010/1001-18</v>
      </c>
      <c r="L823" s="15" t="str">
        <f>HYPERLINK("https://drive.google.com/open?id=1NDcb6wY96QSQDA-OHpGIFJuZuhIYZt3J","Сертифікат")</f>
        <v>Сертифікат</v>
      </c>
      <c r="M823" s="11" t="s">
        <v>26</v>
      </c>
      <c r="N823" s="10">
        <v>1807</v>
      </c>
      <c r="O823" s="10">
        <v>5963.1</v>
      </c>
      <c r="P823" s="10">
        <v>2</v>
      </c>
      <c r="Q823" s="10">
        <v>101.96</v>
      </c>
      <c r="R823" s="10" t="s">
        <v>66</v>
      </c>
      <c r="S823" s="10">
        <v>153.12</v>
      </c>
      <c r="T823" s="10">
        <v>30.27</v>
      </c>
      <c r="U823" s="29">
        <v>43770</v>
      </c>
      <c r="V823" s="66">
        <v>47422</v>
      </c>
      <c r="W823" s="10" t="s">
        <v>10</v>
      </c>
      <c r="X823" s="10" t="s">
        <v>17</v>
      </c>
    </row>
    <row r="824" spans="1:24" ht="50.25" customHeight="1" x14ac:dyDescent="0.25">
      <c r="A824" s="10">
        <f t="shared" si="0"/>
        <v>821</v>
      </c>
      <c r="B824" s="11" t="s">
        <v>2211</v>
      </c>
      <c r="C824" s="24" t="s">
        <v>1145</v>
      </c>
      <c r="D824" s="10" t="s">
        <v>1295</v>
      </c>
      <c r="E824" s="10" t="s">
        <v>5</v>
      </c>
      <c r="F824" s="11" t="s">
        <v>2212</v>
      </c>
      <c r="G824" s="11"/>
      <c r="H824" s="11"/>
      <c r="I824" s="11">
        <v>1982</v>
      </c>
      <c r="J824" s="26" t="s">
        <v>2213</v>
      </c>
      <c r="K824" s="51" t="str">
        <f>HYPERLINK("https://drive.google.com/open?id=1-0dQpTOHlohc7rgWDIWmgqlJtHxdAjQ7","KPI-CE № 000039")</f>
        <v>KPI-CE № 000039</v>
      </c>
      <c r="L824" s="15" t="str">
        <f>HYPERLINK("https://drive.google.com/open?id=1ni_k1rOk6wSazIXPU79z1lrxAqA3hpVW","Сертифікат")</f>
        <v>Сертифікат</v>
      </c>
      <c r="M824" s="11" t="s">
        <v>24</v>
      </c>
      <c r="N824" s="10">
        <v>9854</v>
      </c>
      <c r="O824" s="10">
        <v>29563</v>
      </c>
      <c r="P824" s="10">
        <v>6</v>
      </c>
      <c r="Q824" s="10">
        <v>93.79</v>
      </c>
      <c r="R824" s="10" t="s">
        <v>66</v>
      </c>
      <c r="S824" s="10">
        <v>148.13</v>
      </c>
      <c r="T824" s="10">
        <v>44.7</v>
      </c>
      <c r="U824" s="29">
        <v>43774</v>
      </c>
      <c r="V824" s="66">
        <v>47426</v>
      </c>
      <c r="W824" s="10" t="s">
        <v>10</v>
      </c>
      <c r="X824" s="10" t="s">
        <v>17</v>
      </c>
    </row>
    <row r="825" spans="1:24" ht="50.25" customHeight="1" x14ac:dyDescent="0.25">
      <c r="A825" s="10">
        <f t="shared" si="0"/>
        <v>822</v>
      </c>
      <c r="B825" s="11" t="s">
        <v>2214</v>
      </c>
      <c r="C825" s="52" t="s">
        <v>2215</v>
      </c>
      <c r="D825" s="52" t="s">
        <v>79</v>
      </c>
      <c r="E825" s="10" t="s">
        <v>3</v>
      </c>
      <c r="F825" s="11" t="s">
        <v>2216</v>
      </c>
      <c r="G825" s="11"/>
      <c r="H825" s="11"/>
      <c r="I825" s="11">
        <v>1975</v>
      </c>
      <c r="J825" s="11" t="s">
        <v>2217</v>
      </c>
      <c r="K825" s="15" t="str">
        <f>HYPERLINK("https://drive.google.com/open?id=1OzYN2u1j9VdmpTJ38VYqUYLqHZqnxRmI","АА000118")</f>
        <v>АА000118</v>
      </c>
      <c r="L825" s="15" t="str">
        <f>HYPERLINK("https://drive.google.com/open?id=1j7tAdPaqmLtfkiJaH7L7_VLcJX4vsLCp","Сертифікат")</f>
        <v>Сертифікат</v>
      </c>
      <c r="M825" s="11" t="s">
        <v>26</v>
      </c>
      <c r="N825" s="10">
        <v>2970</v>
      </c>
      <c r="O825" s="10">
        <v>12299</v>
      </c>
      <c r="P825" s="10">
        <v>2</v>
      </c>
      <c r="Q825" s="10">
        <v>214.9</v>
      </c>
      <c r="R825" s="10" t="s">
        <v>66</v>
      </c>
      <c r="S825" s="10">
        <v>840.8</v>
      </c>
      <c r="T825" s="10">
        <v>202.9</v>
      </c>
      <c r="U825" s="29">
        <v>43773</v>
      </c>
      <c r="V825" s="29">
        <v>47425</v>
      </c>
      <c r="W825" s="10" t="s">
        <v>10</v>
      </c>
      <c r="X825" s="10" t="s">
        <v>17</v>
      </c>
    </row>
    <row r="826" spans="1:24" ht="50.25" customHeight="1" x14ac:dyDescent="0.25">
      <c r="A826" s="10">
        <f t="shared" si="0"/>
        <v>823</v>
      </c>
      <c r="B826" s="11" t="s">
        <v>2218</v>
      </c>
      <c r="C826" s="47" t="s">
        <v>2219</v>
      </c>
      <c r="D826" s="52" t="s">
        <v>285</v>
      </c>
      <c r="E826" s="10" t="s">
        <v>2</v>
      </c>
      <c r="F826" s="11" t="s">
        <v>2220</v>
      </c>
      <c r="G826" s="11"/>
      <c r="H826" s="11"/>
      <c r="I826" s="11">
        <v>1976</v>
      </c>
      <c r="J826" s="11" t="s">
        <v>732</v>
      </c>
      <c r="K826" s="15" t="str">
        <f>HYPERLINK("https://drive.google.com/open?id=1YmIUNUHq4P-kOoyLjfDDMpvQv5hFDMTd","ОРІ-АВ00010")</f>
        <v>ОРІ-АВ00010</v>
      </c>
      <c r="L826" s="15" t="str">
        <f>HYPERLINK("https://drive.google.com/open?id=1EnZXik9fzLDTEuqzEJu2KOoDGvLT95zu","Сертифікат")</f>
        <v>Сертифікат</v>
      </c>
      <c r="M826" s="11" t="s">
        <v>20</v>
      </c>
      <c r="N826" s="10">
        <v>1020.9</v>
      </c>
      <c r="O826" s="10">
        <v>4900.32</v>
      </c>
      <c r="P826" s="10">
        <v>2</v>
      </c>
      <c r="Q826" s="10">
        <v>60.1</v>
      </c>
      <c r="R826" s="10" t="s">
        <v>66</v>
      </c>
      <c r="S826" s="10">
        <v>713</v>
      </c>
      <c r="T826" s="10">
        <v>130</v>
      </c>
      <c r="U826" s="29">
        <v>43774</v>
      </c>
      <c r="V826" s="66">
        <v>47426</v>
      </c>
      <c r="W826" s="10" t="s">
        <v>10</v>
      </c>
      <c r="X826" s="10" t="s">
        <v>17</v>
      </c>
    </row>
    <row r="827" spans="1:24" ht="50.25" customHeight="1" x14ac:dyDescent="0.25">
      <c r="A827" s="10">
        <f t="shared" si="0"/>
        <v>824</v>
      </c>
      <c r="B827" s="11" t="s">
        <v>2221</v>
      </c>
      <c r="C827" s="52" t="s">
        <v>2222</v>
      </c>
      <c r="D827" s="24" t="s">
        <v>174</v>
      </c>
      <c r="E827" s="10" t="s">
        <v>7</v>
      </c>
      <c r="F827" s="11" t="s">
        <v>2223</v>
      </c>
      <c r="G827" s="11"/>
      <c r="H827" s="11"/>
      <c r="I827" s="11">
        <v>2007</v>
      </c>
      <c r="J827" s="27" t="s">
        <v>2078</v>
      </c>
      <c r="K827" s="15" t="str">
        <f>HYPERLINK("https://drive.google.com/open?id=1Dy7TR5-TW7HHFgoURAEWFg2CT6g-sR4I","ЕА 02070766/15-19 ")</f>
        <v xml:space="preserve">ЕА 02070766/15-19 </v>
      </c>
      <c r="L827" s="15" t="str">
        <f>HYPERLINK("https://drive.google.com/open?id=1SIOuA9EqgGyw2xEdY9LLD7F-QsAu2L3Q","Сертифікат")</f>
        <v>Сертифікат</v>
      </c>
      <c r="M827" s="11" t="s">
        <v>15</v>
      </c>
      <c r="N827" s="10">
        <v>2926.3</v>
      </c>
      <c r="O827" s="10">
        <v>10294.64</v>
      </c>
      <c r="P827" s="10" t="s">
        <v>2224</v>
      </c>
      <c r="Q827" s="10">
        <v>32.9</v>
      </c>
      <c r="R827" s="10" t="s">
        <v>66</v>
      </c>
      <c r="S827" s="10">
        <v>429.9</v>
      </c>
      <c r="T827" s="10">
        <v>429.9</v>
      </c>
      <c r="U827" s="29">
        <v>43770</v>
      </c>
      <c r="V827" s="66">
        <v>47422</v>
      </c>
      <c r="W827" s="10" t="s">
        <v>13</v>
      </c>
      <c r="X827" s="10" t="s">
        <v>17</v>
      </c>
    </row>
    <row r="828" spans="1:24" ht="50.25" customHeight="1" x14ac:dyDescent="0.25">
      <c r="A828" s="10">
        <f t="shared" si="0"/>
        <v>825</v>
      </c>
      <c r="B828" s="11" t="s">
        <v>2225</v>
      </c>
      <c r="C828" s="47" t="s">
        <v>1145</v>
      </c>
      <c r="D828" s="10" t="s">
        <v>1295</v>
      </c>
      <c r="E828" s="10" t="s">
        <v>2</v>
      </c>
      <c r="F828" s="11" t="s">
        <v>2226</v>
      </c>
      <c r="G828" s="11"/>
      <c r="H828" s="11"/>
      <c r="I828" s="11" t="s">
        <v>2227</v>
      </c>
      <c r="J828" s="11" t="s">
        <v>1660</v>
      </c>
      <c r="K828" s="15" t="str">
        <f>HYPERLINK("https://drive.google.com/open?id=1oLEtNwc-cHUiCjT6H-8zpZIM41iqf7Hj","ХМ 02071234/001")</f>
        <v>ХМ 02071234/001</v>
      </c>
      <c r="L828" s="15" t="str">
        <f>HYPERLINK("https://drive.google.com/open?id=1VG3uDvdlg55EsxqdPGp2plQaNCucSZg6","Сертифікат")</f>
        <v>Сертифікат</v>
      </c>
      <c r="M828" s="11" t="s">
        <v>15</v>
      </c>
      <c r="N828" s="10">
        <v>674.8</v>
      </c>
      <c r="O828" s="10">
        <v>2838.9</v>
      </c>
      <c r="P828" s="10">
        <v>1</v>
      </c>
      <c r="Q828" s="10">
        <v>39.61</v>
      </c>
      <c r="R828" s="10" t="s">
        <v>66</v>
      </c>
      <c r="S828" s="10">
        <v>133.88</v>
      </c>
      <c r="T828" s="10">
        <v>25.19</v>
      </c>
      <c r="U828" s="29">
        <v>43774</v>
      </c>
      <c r="V828" s="66">
        <v>47426</v>
      </c>
      <c r="W828" s="10" t="s">
        <v>10</v>
      </c>
      <c r="X828" s="10" t="s">
        <v>17</v>
      </c>
    </row>
    <row r="829" spans="1:24" ht="50.25" customHeight="1" x14ac:dyDescent="0.25">
      <c r="A829" s="10">
        <f t="shared" si="0"/>
        <v>826</v>
      </c>
      <c r="B829" s="11" t="s">
        <v>2228</v>
      </c>
      <c r="C829" s="10" t="s">
        <v>441</v>
      </c>
      <c r="D829" s="10" t="s">
        <v>442</v>
      </c>
      <c r="E829" s="10" t="s">
        <v>7</v>
      </c>
      <c r="F829" s="11" t="s">
        <v>2229</v>
      </c>
      <c r="G829" s="11"/>
      <c r="H829" s="11"/>
      <c r="I829" s="11" t="s">
        <v>2230</v>
      </c>
      <c r="J829" s="11" t="s">
        <v>2008</v>
      </c>
      <c r="K829" s="15" t="str">
        <f>HYPERLINK("https://drive.google.com/open?id=1Do6lmdSbyvLLqC0yOLG1tDAG0TFH3W3N","ОД 02071010/0117-19")</f>
        <v>ОД 02071010/0117-19</v>
      </c>
      <c r="L829" s="15" t="str">
        <f>HYPERLINK("https://drive.google.com/open?id=1c8T9DsekiUtPNpZm4J5rlLOb8DJHFxUF","Сертифікат")</f>
        <v>Сертифікат</v>
      </c>
      <c r="M829" s="11" t="s">
        <v>15</v>
      </c>
      <c r="N829" s="10">
        <v>1371.55</v>
      </c>
      <c r="O829" s="10">
        <v>4392.6000000000004</v>
      </c>
      <c r="P829" s="10">
        <v>3</v>
      </c>
      <c r="Q829" s="10">
        <v>46.8</v>
      </c>
      <c r="R829" s="10" t="s">
        <v>66</v>
      </c>
      <c r="S829" s="10">
        <v>660.22</v>
      </c>
      <c r="T829" s="10">
        <v>120.56</v>
      </c>
      <c r="U829" s="29">
        <v>43770</v>
      </c>
      <c r="V829" s="66">
        <v>47422</v>
      </c>
      <c r="W829" s="10" t="s">
        <v>10</v>
      </c>
      <c r="X829" s="10" t="s">
        <v>17</v>
      </c>
    </row>
    <row r="830" spans="1:24" ht="50.25" customHeight="1" x14ac:dyDescent="0.25">
      <c r="A830" s="10">
        <f t="shared" si="0"/>
        <v>827</v>
      </c>
      <c r="B830" s="11" t="s">
        <v>2231</v>
      </c>
      <c r="C830" s="10" t="s">
        <v>441</v>
      </c>
      <c r="D830" s="10" t="s">
        <v>442</v>
      </c>
      <c r="E830" s="10" t="s">
        <v>0</v>
      </c>
      <c r="F830" s="11" t="s">
        <v>2232</v>
      </c>
      <c r="G830" s="11"/>
      <c r="H830" s="11"/>
      <c r="I830" s="11">
        <v>2005</v>
      </c>
      <c r="J830" s="11" t="s">
        <v>642</v>
      </c>
      <c r="K830" s="15" t="str">
        <f>HYPERLINK("https://drive.google.com/open?id=1cxGxrVWMvCNlS6TwjKIt2Jn85z6h57TB","ЕЕ-036-05-19")</f>
        <v>ЕЕ-036-05-19</v>
      </c>
      <c r="L830" s="15" t="str">
        <f>HYPERLINK("https://drive.google.com/open?id=1Tp-GYY3_bLydJFcS0b3a8h8-PYNVB4DM","Сертифікат")</f>
        <v>Сертифікат</v>
      </c>
      <c r="M830" s="11" t="s">
        <v>26</v>
      </c>
      <c r="N830" s="10">
        <v>6255</v>
      </c>
      <c r="O830" s="10">
        <v>16774</v>
      </c>
      <c r="P830" s="10">
        <v>10</v>
      </c>
      <c r="Q830" s="10">
        <v>162.6</v>
      </c>
      <c r="R830" s="10" t="s">
        <v>57</v>
      </c>
      <c r="S830" s="10">
        <v>209</v>
      </c>
      <c r="T830" s="10">
        <v>41</v>
      </c>
      <c r="U830" s="29">
        <v>43766</v>
      </c>
      <c r="V830" s="66">
        <v>47418</v>
      </c>
      <c r="W830" s="10" t="s">
        <v>10</v>
      </c>
      <c r="X830" s="10" t="s">
        <v>17</v>
      </c>
    </row>
    <row r="831" spans="1:24" ht="50.25" customHeight="1" x14ac:dyDescent="0.25">
      <c r="A831" s="10">
        <f t="shared" si="0"/>
        <v>828</v>
      </c>
      <c r="B831" s="11" t="s">
        <v>2233</v>
      </c>
      <c r="C831" s="10" t="s">
        <v>85</v>
      </c>
      <c r="D831" s="10" t="s">
        <v>86</v>
      </c>
      <c r="E831" s="10" t="s">
        <v>7</v>
      </c>
      <c r="F831" s="11" t="s">
        <v>2234</v>
      </c>
      <c r="G831" s="11"/>
      <c r="H831" s="11"/>
      <c r="I831" s="11" t="s">
        <v>1336</v>
      </c>
      <c r="J831" s="11" t="s">
        <v>2078</v>
      </c>
      <c r="K831" s="15" t="str">
        <f>HYPERLINK("https://drive.google.com/open?id=1Dy7TR5-TW7HHFgoURAEWFg2CT6g-sR4I","ЕА 02070766/15-19 ")</f>
        <v xml:space="preserve">ЕА 02070766/15-19 </v>
      </c>
      <c r="L831" s="15" t="str">
        <f>HYPERLINK("https://drive.google.com/open?id=1bLfTYvgvvWshL16RH6JPLbisS_GaPNLI","Сертифікат")</f>
        <v>Сертифікат</v>
      </c>
      <c r="M831" s="11" t="s">
        <v>15</v>
      </c>
      <c r="N831" s="10">
        <v>827</v>
      </c>
      <c r="O831" s="10">
        <v>5479.59</v>
      </c>
      <c r="P831" s="10">
        <v>1</v>
      </c>
      <c r="Q831" s="10">
        <v>36.299999999999997</v>
      </c>
      <c r="R831" s="10" t="s">
        <v>66</v>
      </c>
      <c r="S831" s="10">
        <v>754</v>
      </c>
      <c r="T831" s="10">
        <v>89.8</v>
      </c>
      <c r="U831" s="29">
        <v>43768</v>
      </c>
      <c r="V831" s="66">
        <v>47420</v>
      </c>
      <c r="W831" s="10" t="s">
        <v>10</v>
      </c>
      <c r="X831" s="10" t="s">
        <v>17</v>
      </c>
    </row>
    <row r="832" spans="1:24" ht="50.25" customHeight="1" x14ac:dyDescent="0.25">
      <c r="A832" s="10">
        <f t="shared" si="0"/>
        <v>829</v>
      </c>
      <c r="B832" s="11" t="s">
        <v>2235</v>
      </c>
      <c r="C832" s="47" t="s">
        <v>1543</v>
      </c>
      <c r="D832" s="10" t="s">
        <v>442</v>
      </c>
      <c r="E832" s="10" t="s">
        <v>0</v>
      </c>
      <c r="F832" s="27" t="s">
        <v>0</v>
      </c>
      <c r="G832" s="11"/>
      <c r="H832" s="11"/>
      <c r="I832" s="11" t="s">
        <v>1010</v>
      </c>
      <c r="J832" s="11" t="s">
        <v>797</v>
      </c>
      <c r="K832" s="15" t="s">
        <v>798</v>
      </c>
      <c r="L832" s="15" t="str">
        <f>HYPERLINK("https://drive.google.com/open?id=1xyx-6XIEOV3mCiOEhJ-ven53YckfilKN","Сертифікат")</f>
        <v>Сертифікат</v>
      </c>
      <c r="M832" s="11" t="s">
        <v>15</v>
      </c>
      <c r="N832" s="10">
        <v>10747.7</v>
      </c>
      <c r="O832" s="10">
        <v>34461</v>
      </c>
      <c r="P832" s="10">
        <v>15</v>
      </c>
      <c r="Q832" s="10">
        <v>57</v>
      </c>
      <c r="R832" s="10" t="s">
        <v>57</v>
      </c>
      <c r="S832" s="10">
        <v>143.5</v>
      </c>
      <c r="T832" s="10">
        <v>41.4</v>
      </c>
      <c r="U832" s="29">
        <v>43767</v>
      </c>
      <c r="V832" s="66">
        <v>47419</v>
      </c>
      <c r="W832" s="10" t="s">
        <v>13</v>
      </c>
      <c r="X832" s="10" t="s">
        <v>17</v>
      </c>
    </row>
    <row r="833" spans="1:24" ht="50.25" customHeight="1" x14ac:dyDescent="0.25">
      <c r="A833" s="10">
        <f t="shared" si="0"/>
        <v>830</v>
      </c>
      <c r="B833" s="11" t="s">
        <v>2236</v>
      </c>
      <c r="C833" s="10" t="s">
        <v>52</v>
      </c>
      <c r="D833" s="10" t="s">
        <v>52</v>
      </c>
      <c r="E833" s="10" t="s">
        <v>0</v>
      </c>
      <c r="F833" s="11" t="s">
        <v>2237</v>
      </c>
      <c r="G833" s="11"/>
      <c r="H833" s="11"/>
      <c r="I833" s="11" t="s">
        <v>1010</v>
      </c>
      <c r="J833" s="20" t="s">
        <v>2238</v>
      </c>
      <c r="K833" s="61" t="str">
        <f>HYPERLINK("https://drive.google.com/open?id=1WKM6emkWz3l1_yf5hh7MbwlgQu9-sHyN","СБ-0018")</f>
        <v>СБ-0018</v>
      </c>
      <c r="L833" s="15" t="str">
        <f>HYPERLINK("https://drive.google.com/open?id=1uR1Ut7yTAbHLfSophPyvRUf0xd48bM0n","Сертифікат")</f>
        <v>Сертифікат</v>
      </c>
      <c r="M833" s="11" t="s">
        <v>18</v>
      </c>
      <c r="N833" s="10">
        <v>15272</v>
      </c>
      <c r="O833" s="10">
        <v>55362</v>
      </c>
      <c r="P833" s="10">
        <v>6</v>
      </c>
      <c r="Q833" s="10">
        <v>86</v>
      </c>
      <c r="R833" s="10" t="s">
        <v>57</v>
      </c>
      <c r="S833" s="10">
        <v>154</v>
      </c>
      <c r="T833" s="10">
        <v>30</v>
      </c>
      <c r="U833" s="29">
        <v>43774</v>
      </c>
      <c r="V833" s="66">
        <v>47426</v>
      </c>
      <c r="W833" s="10" t="s">
        <v>13</v>
      </c>
      <c r="X833" s="10" t="s">
        <v>17</v>
      </c>
    </row>
    <row r="834" spans="1:24" ht="50.25" customHeight="1" x14ac:dyDescent="0.25">
      <c r="A834" s="10">
        <f t="shared" si="0"/>
        <v>831</v>
      </c>
      <c r="B834" s="11" t="s">
        <v>2239</v>
      </c>
      <c r="C834" s="10" t="s">
        <v>357</v>
      </c>
      <c r="D834" s="10" t="s">
        <v>142</v>
      </c>
      <c r="E834" s="10" t="s">
        <v>5</v>
      </c>
      <c r="F834" s="11" t="s">
        <v>2240</v>
      </c>
      <c r="G834" s="11"/>
      <c r="H834" s="11"/>
      <c r="I834" s="11">
        <v>1970</v>
      </c>
      <c r="J834" s="11" t="s">
        <v>668</v>
      </c>
      <c r="K834" s="15" t="str">
        <f>HYPERLINK("https://drive.google.com/open?id=1NSlpy3KnsggBDFhLrg81QLR2deMl7d6Q","АА000077 ")</f>
        <v xml:space="preserve">АА000077 </v>
      </c>
      <c r="L834" s="15" t="str">
        <f>HYPERLINK("https://drive.google.com/open?id=1lBIjdeuA_70u0o4jhjCjNSK38IYMkFzk","Сертифікат")</f>
        <v>Сертифікат</v>
      </c>
      <c r="M834" s="11" t="s">
        <v>26</v>
      </c>
      <c r="N834" s="10">
        <v>2072.1999999999998</v>
      </c>
      <c r="O834" s="10">
        <v>6140</v>
      </c>
      <c r="P834" s="10">
        <v>3</v>
      </c>
      <c r="Q834" s="10">
        <v>111.2</v>
      </c>
      <c r="R834" s="10" t="s">
        <v>66</v>
      </c>
      <c r="S834" s="10">
        <v>483.3</v>
      </c>
      <c r="T834" s="10">
        <v>136.69999999999999</v>
      </c>
      <c r="U834" s="29">
        <v>43773</v>
      </c>
      <c r="V834" s="66">
        <v>47425</v>
      </c>
      <c r="W834" s="10" t="s">
        <v>13</v>
      </c>
      <c r="X834" s="10" t="s">
        <v>17</v>
      </c>
    </row>
    <row r="835" spans="1:24" ht="50.25" customHeight="1" x14ac:dyDescent="0.25">
      <c r="A835" s="10">
        <f t="shared" si="0"/>
        <v>832</v>
      </c>
      <c r="B835" s="11" t="s">
        <v>2241</v>
      </c>
      <c r="C835" s="10" t="s">
        <v>2242</v>
      </c>
      <c r="D835" s="10" t="s">
        <v>247</v>
      </c>
      <c r="E835" s="10" t="s">
        <v>7</v>
      </c>
      <c r="F835" s="11" t="s">
        <v>2243</v>
      </c>
      <c r="G835" s="11"/>
      <c r="H835" s="11"/>
      <c r="I835" s="11">
        <v>2019</v>
      </c>
      <c r="J835" s="11" t="s">
        <v>1979</v>
      </c>
      <c r="K835" s="15" t="str">
        <f>HYPERLINK("https://drive.google.com/open?id=1U8E2QZc2aVkLefu0bMtcU-m1DwZhYzUD","АА000075")</f>
        <v>АА000075</v>
      </c>
      <c r="L835" s="15" t="str">
        <f>HYPERLINK("https://drive.google.com/open?id=1QToDjipi8LuNTe51UuhspVyeQu8rH4lW","Сертифікат")</f>
        <v>Сертифікат</v>
      </c>
      <c r="M835" s="11" t="s">
        <v>15</v>
      </c>
      <c r="N835" s="10">
        <v>291</v>
      </c>
      <c r="O835" s="10">
        <v>1099</v>
      </c>
      <c r="P835" s="10">
        <v>1</v>
      </c>
      <c r="Q835" s="10">
        <v>37.4</v>
      </c>
      <c r="R835" s="10" t="s">
        <v>66</v>
      </c>
      <c r="S835" s="10">
        <v>198</v>
      </c>
      <c r="T835" s="10">
        <v>36.5</v>
      </c>
      <c r="U835" s="29">
        <v>43766</v>
      </c>
      <c r="V835" s="66">
        <v>47418</v>
      </c>
      <c r="W835" s="10" t="s">
        <v>13</v>
      </c>
      <c r="X835" s="10" t="s">
        <v>17</v>
      </c>
    </row>
    <row r="836" spans="1:24" ht="50.25" customHeight="1" x14ac:dyDescent="0.25">
      <c r="A836" s="10">
        <f t="shared" si="0"/>
        <v>833</v>
      </c>
      <c r="B836" s="11" t="s">
        <v>2244</v>
      </c>
      <c r="C836" s="10" t="s">
        <v>52</v>
      </c>
      <c r="D836" s="10" t="s">
        <v>52</v>
      </c>
      <c r="E836" s="10" t="s">
        <v>2</v>
      </c>
      <c r="F836" s="11" t="s">
        <v>2245</v>
      </c>
      <c r="G836" s="11"/>
      <c r="H836" s="11"/>
      <c r="I836" s="11">
        <v>1978</v>
      </c>
      <c r="J836" s="11" t="s">
        <v>1950</v>
      </c>
      <c r="K836" s="15" t="str">
        <f t="shared" ref="K836:K837" si="58">HYPERLINK("https://drive.google.com/open?id=1VJQzachoPV6RuQQdauZ7MVrxqnU4ohmt","ЕЕ-004-10-18 ")</f>
        <v xml:space="preserve">ЕЕ-004-10-18 </v>
      </c>
      <c r="L836" s="15" t="str">
        <f>HYPERLINK("https://drive.google.com/open?id=1uhIi3EGaD51zeb3KTFkD5K53x8A9j0tV","Сертифікат")</f>
        <v>Сертифікат</v>
      </c>
      <c r="M836" s="11" t="s">
        <v>26</v>
      </c>
      <c r="N836" s="10">
        <v>214.4</v>
      </c>
      <c r="O836" s="10">
        <v>600.4</v>
      </c>
      <c r="P836" s="10">
        <v>1</v>
      </c>
      <c r="Q836" s="10">
        <v>176.7</v>
      </c>
      <c r="R836" s="10" t="s">
        <v>66</v>
      </c>
      <c r="S836" s="10">
        <v>758.6</v>
      </c>
      <c r="T836" s="10">
        <v>149.69999999999999</v>
      </c>
      <c r="U836" s="29">
        <v>43773</v>
      </c>
      <c r="V836" s="66">
        <v>47425</v>
      </c>
      <c r="W836" s="10" t="s">
        <v>13</v>
      </c>
      <c r="X836" s="10" t="s">
        <v>17</v>
      </c>
    </row>
    <row r="837" spans="1:24" ht="50.25" customHeight="1" x14ac:dyDescent="0.25">
      <c r="A837" s="10">
        <f t="shared" si="0"/>
        <v>834</v>
      </c>
      <c r="B837" s="11" t="s">
        <v>2244</v>
      </c>
      <c r="C837" s="10" t="s">
        <v>52</v>
      </c>
      <c r="D837" s="10" t="s">
        <v>52</v>
      </c>
      <c r="E837" s="10" t="s">
        <v>2</v>
      </c>
      <c r="F837" s="11" t="s">
        <v>2246</v>
      </c>
      <c r="G837" s="11"/>
      <c r="H837" s="11"/>
      <c r="I837" s="11">
        <v>1978</v>
      </c>
      <c r="J837" s="11" t="s">
        <v>1950</v>
      </c>
      <c r="K837" s="15" t="str">
        <f t="shared" si="58"/>
        <v xml:space="preserve">ЕЕ-004-10-18 </v>
      </c>
      <c r="L837" s="15" t="str">
        <f>HYPERLINK("https://drive.google.com/open?id=1tYj8OFtVSb7JgfSr85kN4jbGnlbjyZvG","Сертифікат")</f>
        <v>Сертифікат</v>
      </c>
      <c r="M837" s="11" t="s">
        <v>20</v>
      </c>
      <c r="N837" s="10">
        <v>1484.5</v>
      </c>
      <c r="O837" s="10">
        <v>5436</v>
      </c>
      <c r="P837" s="10">
        <v>2</v>
      </c>
      <c r="Q837" s="10">
        <v>73.5</v>
      </c>
      <c r="R837" s="10" t="s">
        <v>66</v>
      </c>
      <c r="S837" s="10">
        <v>406.4</v>
      </c>
      <c r="T837" s="10">
        <v>81.7</v>
      </c>
      <c r="U837" s="29">
        <v>43773</v>
      </c>
      <c r="V837" s="66">
        <v>47425</v>
      </c>
      <c r="W837" s="10" t="s">
        <v>10</v>
      </c>
      <c r="X837" s="10" t="s">
        <v>17</v>
      </c>
    </row>
    <row r="838" spans="1:24" ht="50.25" customHeight="1" x14ac:dyDescent="0.25">
      <c r="A838" s="10">
        <f t="shared" si="0"/>
        <v>835</v>
      </c>
      <c r="B838" s="11" t="s">
        <v>2247</v>
      </c>
      <c r="C838" s="24" t="s">
        <v>357</v>
      </c>
      <c r="D838" s="10" t="s">
        <v>142</v>
      </c>
      <c r="E838" s="10" t="s">
        <v>2</v>
      </c>
      <c r="F838" s="11" t="s">
        <v>2248</v>
      </c>
      <c r="G838" s="11"/>
      <c r="H838" s="11"/>
      <c r="I838" s="11">
        <v>1912</v>
      </c>
      <c r="J838" s="11" t="s">
        <v>668</v>
      </c>
      <c r="K838" s="15" t="str">
        <f>HYPERLINK("https://drive.google.com/open?id=1NSlpy3KnsggBDFhLrg81QLR2deMl7d6Q","АА000077 ")</f>
        <v xml:space="preserve">АА000077 </v>
      </c>
      <c r="L838" s="15" t="str">
        <f>HYPERLINK("https://drive.google.com/open?id=1yhpT__Fqo-FGnciG_zsJYmtaX7w5X5AT","Сертифікат")</f>
        <v>Сертифікат</v>
      </c>
      <c r="M838" s="11" t="s">
        <v>26</v>
      </c>
      <c r="N838" s="10">
        <v>341.4</v>
      </c>
      <c r="O838" s="10">
        <v>1064</v>
      </c>
      <c r="P838" s="10">
        <v>3</v>
      </c>
      <c r="Q838" s="10">
        <v>137.9</v>
      </c>
      <c r="R838" s="10" t="s">
        <v>66</v>
      </c>
      <c r="S838" s="10">
        <v>637.79999999999995</v>
      </c>
      <c r="T838" s="10">
        <v>180.6</v>
      </c>
      <c r="U838" s="29">
        <v>43773</v>
      </c>
      <c r="V838" s="66">
        <v>47425</v>
      </c>
      <c r="W838" s="10" t="s">
        <v>10</v>
      </c>
      <c r="X838" s="10" t="s">
        <v>17</v>
      </c>
    </row>
    <row r="839" spans="1:24" ht="50.25" customHeight="1" x14ac:dyDescent="0.25">
      <c r="A839" s="10">
        <f t="shared" si="0"/>
        <v>836</v>
      </c>
      <c r="B839" s="11" t="s">
        <v>2244</v>
      </c>
      <c r="C839" s="10" t="s">
        <v>52</v>
      </c>
      <c r="D839" s="10" t="s">
        <v>52</v>
      </c>
      <c r="E839" s="10" t="s">
        <v>2</v>
      </c>
      <c r="F839" s="11" t="s">
        <v>2249</v>
      </c>
      <c r="G839" s="11"/>
      <c r="H839" s="11"/>
      <c r="I839" s="11">
        <v>1978</v>
      </c>
      <c r="J839" s="11" t="s">
        <v>1950</v>
      </c>
      <c r="K839" s="15" t="str">
        <f t="shared" ref="K839:K840" si="59">HYPERLINK("https://drive.google.com/open?id=1VJQzachoPV6RuQQdauZ7MVrxqnU4ohmt","ЕЕ-004-10-18 ")</f>
        <v xml:space="preserve">ЕЕ-004-10-18 </v>
      </c>
      <c r="L839" s="15" t="str">
        <f>HYPERLINK("https://drive.google.com/open?id=1-oOW66ldHAW0uCoRYjS7s6e0BNtnE2VK","Сертифікат")</f>
        <v>Сертифікат</v>
      </c>
      <c r="M839" s="11" t="s">
        <v>26</v>
      </c>
      <c r="N839" s="10">
        <v>193</v>
      </c>
      <c r="O839" s="10">
        <v>537</v>
      </c>
      <c r="P839" s="10">
        <v>1</v>
      </c>
      <c r="Q839" s="10">
        <v>168.5</v>
      </c>
      <c r="R839" s="10" t="s">
        <v>66</v>
      </c>
      <c r="S839" s="10">
        <v>674.7</v>
      </c>
      <c r="T839" s="10">
        <v>134.1</v>
      </c>
      <c r="U839" s="29">
        <v>43773</v>
      </c>
      <c r="V839" s="66">
        <v>47425</v>
      </c>
      <c r="W839" s="10" t="s">
        <v>13</v>
      </c>
      <c r="X839" s="10" t="s">
        <v>17</v>
      </c>
    </row>
    <row r="840" spans="1:24" ht="50.25" customHeight="1" x14ac:dyDescent="0.25">
      <c r="A840" s="10">
        <f t="shared" si="0"/>
        <v>837</v>
      </c>
      <c r="B840" s="11" t="s">
        <v>2244</v>
      </c>
      <c r="C840" s="10" t="s">
        <v>52</v>
      </c>
      <c r="D840" s="10" t="s">
        <v>52</v>
      </c>
      <c r="E840" s="10" t="s">
        <v>2</v>
      </c>
      <c r="F840" s="11" t="s">
        <v>2250</v>
      </c>
      <c r="G840" s="11"/>
      <c r="H840" s="11"/>
      <c r="I840" s="11">
        <v>1978</v>
      </c>
      <c r="J840" s="11" t="s">
        <v>1950</v>
      </c>
      <c r="K840" s="15" t="str">
        <f t="shared" si="59"/>
        <v xml:space="preserve">ЕЕ-004-10-18 </v>
      </c>
      <c r="L840" s="15" t="str">
        <f>HYPERLINK("https://drive.google.com/open?id=10mk2snLniHsbYfUbaXFSu5FUrIs6WTR2","Сертифікат")</f>
        <v>Сертифікат</v>
      </c>
      <c r="M840" s="11" t="s">
        <v>22</v>
      </c>
      <c r="N840" s="10">
        <v>923</v>
      </c>
      <c r="O840" s="10">
        <v>2676.7</v>
      </c>
      <c r="P840" s="10">
        <v>2</v>
      </c>
      <c r="Q840" s="10">
        <v>84.6</v>
      </c>
      <c r="R840" s="10" t="s">
        <v>66</v>
      </c>
      <c r="S840" s="10">
        <v>173.5</v>
      </c>
      <c r="T840" s="10">
        <v>33.6</v>
      </c>
      <c r="U840" s="29">
        <v>43773</v>
      </c>
      <c r="V840" s="66">
        <v>47425</v>
      </c>
      <c r="W840" s="10" t="s">
        <v>13</v>
      </c>
      <c r="X840" s="10" t="s">
        <v>17</v>
      </c>
    </row>
    <row r="841" spans="1:24" ht="50.25" customHeight="1" x14ac:dyDescent="0.25">
      <c r="A841" s="10">
        <f t="shared" si="0"/>
        <v>838</v>
      </c>
      <c r="B841" s="11" t="s">
        <v>2251</v>
      </c>
      <c r="C841" s="10" t="s">
        <v>243</v>
      </c>
      <c r="D841" s="10" t="s">
        <v>238</v>
      </c>
      <c r="E841" s="10" t="s">
        <v>2</v>
      </c>
      <c r="F841" s="11" t="s">
        <v>2252</v>
      </c>
      <c r="G841" s="11"/>
      <c r="H841" s="11"/>
      <c r="I841" s="11" t="s">
        <v>1336</v>
      </c>
      <c r="J841" s="11" t="s">
        <v>668</v>
      </c>
      <c r="K841" s="15" t="str">
        <f>HYPERLINK("https://drive.google.com/open?id=1NSlpy3KnsggBDFhLrg81QLR2deMl7d6Q","АА000077 ")</f>
        <v xml:space="preserve">АА000077 </v>
      </c>
      <c r="L841" s="15" t="str">
        <f>HYPERLINK("https://drive.google.com/open?id=1G6_zFAzxp1EmAjg_EHVHO9P6-hKJ8Eqx","Сертифікат")</f>
        <v>Сертифікат</v>
      </c>
      <c r="M841" s="11" t="s">
        <v>15</v>
      </c>
      <c r="N841" s="10">
        <v>2894.7</v>
      </c>
      <c r="O841" s="10">
        <v>13691</v>
      </c>
      <c r="P841" s="10">
        <v>3</v>
      </c>
      <c r="Q841" s="10">
        <v>40.700000000000003</v>
      </c>
      <c r="R841" s="10" t="s">
        <v>66</v>
      </c>
      <c r="S841" s="10">
        <v>549</v>
      </c>
      <c r="T841" s="10">
        <v>230.6</v>
      </c>
      <c r="U841" s="29">
        <v>43775</v>
      </c>
      <c r="V841" s="66">
        <v>47427</v>
      </c>
      <c r="W841" s="10" t="s">
        <v>10</v>
      </c>
      <c r="X841" s="10" t="s">
        <v>17</v>
      </c>
    </row>
    <row r="842" spans="1:24" ht="50.25" customHeight="1" x14ac:dyDescent="0.25">
      <c r="A842" s="10">
        <f t="shared" si="0"/>
        <v>839</v>
      </c>
      <c r="B842" s="11" t="s">
        <v>2253</v>
      </c>
      <c r="C842" s="10" t="s">
        <v>258</v>
      </c>
      <c r="D842" s="10" t="s">
        <v>75</v>
      </c>
      <c r="E842" s="10" t="s">
        <v>3</v>
      </c>
      <c r="F842" s="11" t="s">
        <v>2254</v>
      </c>
      <c r="G842" s="11"/>
      <c r="H842" s="11"/>
      <c r="I842" s="11" t="s">
        <v>836</v>
      </c>
      <c r="J842" s="11" t="s">
        <v>642</v>
      </c>
      <c r="K842" s="15" t="str">
        <f>HYPERLINK("https://drive.google.com/open?id=1cxGxrVWMvCNlS6TwjKIt2Jn85z6h57TB","ЕЕ-036-05-19")</f>
        <v>ЕЕ-036-05-19</v>
      </c>
      <c r="L842" s="15" t="str">
        <f>HYPERLINK("https://drive.google.com/open?id=19fNxpbkGrJoG2129jSxAMSM8_DIFMQH_","Сертифікат")</f>
        <v>Сертифікат</v>
      </c>
      <c r="M842" s="11" t="s">
        <v>18</v>
      </c>
      <c r="N842" s="10">
        <v>8949.7000000000007</v>
      </c>
      <c r="O842" s="10">
        <v>32450</v>
      </c>
      <c r="P842" s="10">
        <v>4</v>
      </c>
      <c r="Q842" s="10">
        <v>32.5</v>
      </c>
      <c r="R842" s="10" t="s">
        <v>66</v>
      </c>
      <c r="S842" s="10">
        <v>196</v>
      </c>
      <c r="T842" s="10">
        <v>38</v>
      </c>
      <c r="U842" s="29">
        <v>43775</v>
      </c>
      <c r="V842" s="66">
        <v>47427</v>
      </c>
      <c r="W842" s="10" t="s">
        <v>13</v>
      </c>
      <c r="X842" s="10" t="s">
        <v>17</v>
      </c>
    </row>
    <row r="843" spans="1:24" ht="50.25" customHeight="1" x14ac:dyDescent="0.25">
      <c r="A843" s="10">
        <f t="shared" si="0"/>
        <v>840</v>
      </c>
      <c r="B843" s="11" t="s">
        <v>2255</v>
      </c>
      <c r="C843" s="47" t="s">
        <v>52</v>
      </c>
      <c r="D843" s="10" t="s">
        <v>52</v>
      </c>
      <c r="E843" s="10" t="s">
        <v>7</v>
      </c>
      <c r="F843" s="11" t="s">
        <v>2256</v>
      </c>
      <c r="G843" s="11"/>
      <c r="H843" s="11"/>
      <c r="I843" s="11" t="s">
        <v>836</v>
      </c>
      <c r="J843" s="11" t="s">
        <v>2099</v>
      </c>
      <c r="K843" s="15" t="str">
        <f>HYPERLINK("https://drive.google.com/open?id=1exTfsVWlg5mcXI0DcAAVEpnntEAX6cLQ","АА000011")</f>
        <v>АА000011</v>
      </c>
      <c r="L843" s="15" t="str">
        <f>HYPERLINK("https://drive.google.com/open?id=1QPIsipF6JC7O9uB9VZp-j6AL7tAtJNMF","Сертифікат")</f>
        <v>Сертифікат</v>
      </c>
      <c r="M843" s="11" t="s">
        <v>15</v>
      </c>
      <c r="N843" s="10">
        <v>3187.3</v>
      </c>
      <c r="O843" s="10">
        <v>15557.9</v>
      </c>
      <c r="P843" s="10">
        <v>2</v>
      </c>
      <c r="Q843" s="10">
        <v>47.9</v>
      </c>
      <c r="R843" s="10" t="s">
        <v>66</v>
      </c>
      <c r="S843" s="10">
        <v>660</v>
      </c>
      <c r="T843" s="10">
        <v>121</v>
      </c>
      <c r="U843" s="64">
        <v>43776</v>
      </c>
      <c r="V843" s="68">
        <v>47428</v>
      </c>
      <c r="W843" s="10" t="s">
        <v>13</v>
      </c>
      <c r="X843" s="10" t="s">
        <v>17</v>
      </c>
    </row>
    <row r="844" spans="1:24" ht="50.25" customHeight="1" x14ac:dyDescent="0.25">
      <c r="A844" s="10">
        <f t="shared" si="0"/>
        <v>841</v>
      </c>
      <c r="B844" s="11" t="s">
        <v>2257</v>
      </c>
      <c r="C844" s="52" t="s">
        <v>2258</v>
      </c>
      <c r="D844" s="10" t="s">
        <v>86</v>
      </c>
      <c r="E844" s="10" t="s">
        <v>2</v>
      </c>
      <c r="F844" s="11" t="s">
        <v>2259</v>
      </c>
      <c r="G844" s="11"/>
      <c r="H844" s="11"/>
      <c r="I844" s="11" t="s">
        <v>2260</v>
      </c>
      <c r="J844" s="11" t="s">
        <v>642</v>
      </c>
      <c r="K844" s="15" t="str">
        <f>HYPERLINK("https://drive.google.com/open?id=1cxGxrVWMvCNlS6TwjKIt2Jn85z6h57TB","ЕЕ-036-05-19")</f>
        <v>ЕЕ-036-05-19</v>
      </c>
      <c r="L844" s="15" t="str">
        <f>HYPERLINK("https://drive.google.com/open?id=1UQp8W4sT_t0U8Aa0Hmjye-mRuN2AEjI1","Сертифікат")</f>
        <v>Сертифікат</v>
      </c>
      <c r="M844" s="11" t="s">
        <v>24</v>
      </c>
      <c r="N844" s="10">
        <v>533.79999999999995</v>
      </c>
      <c r="O844" s="10">
        <v>1686.9</v>
      </c>
      <c r="P844" s="10">
        <v>3</v>
      </c>
      <c r="Q844" s="10">
        <v>92.3</v>
      </c>
      <c r="R844" s="10" t="s">
        <v>66</v>
      </c>
      <c r="S844" s="10">
        <v>382</v>
      </c>
      <c r="T844" s="10">
        <v>75</v>
      </c>
      <c r="U844" s="29">
        <v>43770</v>
      </c>
      <c r="V844" s="64">
        <v>47422</v>
      </c>
      <c r="W844" s="10" t="s">
        <v>10</v>
      </c>
      <c r="X844" s="10" t="s">
        <v>17</v>
      </c>
    </row>
    <row r="845" spans="1:24" ht="50.25" customHeight="1" x14ac:dyDescent="0.25">
      <c r="A845" s="10">
        <f t="shared" si="0"/>
        <v>842</v>
      </c>
      <c r="B845" s="11" t="s">
        <v>2261</v>
      </c>
      <c r="C845" s="47" t="s">
        <v>1030</v>
      </c>
      <c r="D845" s="10" t="s">
        <v>75</v>
      </c>
      <c r="E845" s="10" t="s">
        <v>5</v>
      </c>
      <c r="F845" s="11" t="s">
        <v>2262</v>
      </c>
      <c r="G845" s="11"/>
      <c r="H845" s="11"/>
      <c r="I845" s="11">
        <v>1999</v>
      </c>
      <c r="J845" s="11" t="s">
        <v>158</v>
      </c>
      <c r="K845" s="15" t="s">
        <v>159</v>
      </c>
      <c r="L845" s="15" t="str">
        <f>HYPERLINK("https://drive.google.com/open?id=1_Fo8BN0PT5hqvpcEwlyU8N8_hgUix0QY","Сертифікат")</f>
        <v>Сертифікат</v>
      </c>
      <c r="M845" s="11" t="s">
        <v>26</v>
      </c>
      <c r="N845" s="10">
        <v>1488.4</v>
      </c>
      <c r="O845" s="10">
        <v>4648.8999999999996</v>
      </c>
      <c r="P845" s="10">
        <v>2</v>
      </c>
      <c r="Q845" s="10">
        <v>112.9</v>
      </c>
      <c r="R845" s="10" t="s">
        <v>66</v>
      </c>
      <c r="S845" s="10">
        <v>518</v>
      </c>
      <c r="T845" s="10">
        <v>100</v>
      </c>
      <c r="U845" s="29">
        <v>43767</v>
      </c>
      <c r="V845" s="66">
        <v>47419</v>
      </c>
      <c r="W845" s="10" t="s">
        <v>10</v>
      </c>
      <c r="X845" s="10" t="s">
        <v>17</v>
      </c>
    </row>
    <row r="846" spans="1:24" ht="50.25" customHeight="1" x14ac:dyDescent="0.25">
      <c r="A846" s="10">
        <f t="shared" si="0"/>
        <v>843</v>
      </c>
      <c r="B846" s="11" t="s">
        <v>2019</v>
      </c>
      <c r="C846" s="52" t="s">
        <v>85</v>
      </c>
      <c r="D846" s="10" t="s">
        <v>86</v>
      </c>
      <c r="E846" s="10" t="s">
        <v>2</v>
      </c>
      <c r="F846" s="11" t="s">
        <v>2259</v>
      </c>
      <c r="G846" s="11"/>
      <c r="H846" s="11"/>
      <c r="I846" s="11" t="s">
        <v>892</v>
      </c>
      <c r="J846" s="11" t="s">
        <v>642</v>
      </c>
      <c r="K846" s="15" t="str">
        <f t="shared" ref="K846:K847" si="60">HYPERLINK("https://drive.google.com/open?id=1cxGxrVWMvCNlS6TwjKIt2Jn85z6h57TB","ЕЕ-036-05-19")</f>
        <v>ЕЕ-036-05-19</v>
      </c>
      <c r="L846" s="15" t="str">
        <f>HYPERLINK("https://drive.google.com/open?id=1Vc9jquQ90ga99lXO49vWdYVLO8RhJGKW","Сертифікат")</f>
        <v>Сертифікат</v>
      </c>
      <c r="M846" s="11" t="s">
        <v>26</v>
      </c>
      <c r="N846" s="10">
        <v>1076.4000000000001</v>
      </c>
      <c r="O846" s="10">
        <v>3839.2</v>
      </c>
      <c r="P846" s="10">
        <v>3</v>
      </c>
      <c r="Q846" s="10">
        <v>120.7</v>
      </c>
      <c r="R846" s="10" t="s">
        <v>66</v>
      </c>
      <c r="S846" s="10">
        <v>532</v>
      </c>
      <c r="T846" s="10">
        <v>105</v>
      </c>
      <c r="U846" s="29">
        <v>43774</v>
      </c>
      <c r="V846" s="66">
        <v>47426</v>
      </c>
      <c r="W846" s="10" t="s">
        <v>10</v>
      </c>
      <c r="X846" s="10" t="s">
        <v>17</v>
      </c>
    </row>
    <row r="847" spans="1:24" ht="50.25" customHeight="1" x14ac:dyDescent="0.25">
      <c r="A847" s="10">
        <f t="shared" si="0"/>
        <v>844</v>
      </c>
      <c r="B847" s="11" t="s">
        <v>2263</v>
      </c>
      <c r="C847" s="52" t="s">
        <v>2258</v>
      </c>
      <c r="D847" s="10" t="s">
        <v>86</v>
      </c>
      <c r="E847" s="10" t="s">
        <v>2</v>
      </c>
      <c r="F847" s="11" t="s">
        <v>2259</v>
      </c>
      <c r="G847" s="11"/>
      <c r="H847" s="11"/>
      <c r="I847" s="11" t="s">
        <v>892</v>
      </c>
      <c r="J847" s="11" t="s">
        <v>642</v>
      </c>
      <c r="K847" s="15" t="str">
        <f t="shared" si="60"/>
        <v>ЕЕ-036-05-19</v>
      </c>
      <c r="L847" s="15" t="str">
        <f>HYPERLINK("https://drive.google.com/open?id=14o9WJdL52Pfhv-q6HNlHDm51w4ehlTjl","Сертифікат")</f>
        <v>Сертифікат</v>
      </c>
      <c r="M847" s="11" t="s">
        <v>26</v>
      </c>
      <c r="N847" s="10">
        <v>403.5</v>
      </c>
      <c r="O847" s="10">
        <v>1378.4</v>
      </c>
      <c r="P847" s="10">
        <v>2</v>
      </c>
      <c r="Q847" s="10">
        <v>166.3</v>
      </c>
      <c r="R847" s="10" t="s">
        <v>66</v>
      </c>
      <c r="S847" s="10">
        <v>686</v>
      </c>
      <c r="T847" s="10">
        <v>136</v>
      </c>
      <c r="U847" s="29">
        <v>43773</v>
      </c>
      <c r="V847" s="66">
        <v>47425</v>
      </c>
      <c r="W847" s="10" t="s">
        <v>10</v>
      </c>
      <c r="X847" s="10" t="s">
        <v>17</v>
      </c>
    </row>
    <row r="848" spans="1:24" ht="50.25" customHeight="1" x14ac:dyDescent="0.25">
      <c r="A848" s="10">
        <f t="shared" si="0"/>
        <v>845</v>
      </c>
      <c r="B848" s="11" t="s">
        <v>2264</v>
      </c>
      <c r="C848" s="10" t="s">
        <v>2170</v>
      </c>
      <c r="D848" s="10" t="s">
        <v>442</v>
      </c>
      <c r="E848" s="10" t="s">
        <v>0</v>
      </c>
      <c r="F848" s="11" t="s">
        <v>2265</v>
      </c>
      <c r="G848" s="11"/>
      <c r="H848" s="11"/>
      <c r="I848" s="11">
        <v>1987</v>
      </c>
      <c r="J848" s="11" t="s">
        <v>458</v>
      </c>
      <c r="K848" s="15" t="str">
        <f>HYPERLINK("https://drive.google.com/open?id=1jNB0dX7vprpk3tel6i4HIfX0MLvbF6X5","СБ-0045")</f>
        <v>СБ-0045</v>
      </c>
      <c r="L848" s="15" t="str">
        <f>HYPERLINK("https://drive.google.com/open?id=1noKg6O6gMY0X1TFEZlWqqd5q2AzpTepM","Сертифікат")</f>
        <v>Сертифікат</v>
      </c>
      <c r="M848" s="11" t="s">
        <v>22</v>
      </c>
      <c r="N848" s="10">
        <v>2816.1</v>
      </c>
      <c r="O848" s="10">
        <v>7659.79</v>
      </c>
      <c r="P848" s="10">
        <v>5</v>
      </c>
      <c r="Q848" s="10">
        <v>129.25</v>
      </c>
      <c r="R848" s="10" t="s">
        <v>57</v>
      </c>
      <c r="S848" s="10">
        <v>251.47</v>
      </c>
      <c r="T848" s="10">
        <v>48</v>
      </c>
      <c r="U848" s="29">
        <v>43777</v>
      </c>
      <c r="V848" s="66">
        <v>47429</v>
      </c>
      <c r="W848" s="10" t="s">
        <v>10</v>
      </c>
      <c r="X848" s="10" t="s">
        <v>17</v>
      </c>
    </row>
    <row r="849" spans="1:24" ht="50.25" customHeight="1" x14ac:dyDescent="0.25">
      <c r="A849" s="10">
        <f t="shared" si="0"/>
        <v>846</v>
      </c>
      <c r="B849" s="11" t="s">
        <v>2266</v>
      </c>
      <c r="C849" s="10" t="s">
        <v>1145</v>
      </c>
      <c r="D849" s="10" t="s">
        <v>1295</v>
      </c>
      <c r="E849" s="10" t="s">
        <v>0</v>
      </c>
      <c r="F849" s="11" t="s">
        <v>1009</v>
      </c>
      <c r="G849" s="11"/>
      <c r="H849" s="11"/>
      <c r="I849" s="11" t="s">
        <v>1010</v>
      </c>
      <c r="J849" s="11" t="s">
        <v>1660</v>
      </c>
      <c r="K849" s="15" t="str">
        <f>HYPERLINK("https://drive.google.com/open?id=1oLEtNwc-cHUiCjT6H-8zpZIM41iqf7Hj","ХМ 02071234/001")</f>
        <v>ХМ 02071234/001</v>
      </c>
      <c r="L849" s="15" t="str">
        <f>HYPERLINK("https://drive.google.com/open?id=1gJP3sxUYCxiK8Ocr-IzlyM-54N4zNV_g","Сертифікат")</f>
        <v>Сертифікат</v>
      </c>
      <c r="M849" s="11" t="s">
        <v>18</v>
      </c>
      <c r="N849" s="10">
        <v>5746</v>
      </c>
      <c r="O849" s="10">
        <v>17238</v>
      </c>
      <c r="P849" s="10">
        <v>16</v>
      </c>
      <c r="Q849" s="10">
        <v>80.64</v>
      </c>
      <c r="R849" s="10" t="s">
        <v>57</v>
      </c>
      <c r="S849" s="10">
        <v>210.96</v>
      </c>
      <c r="T849" s="10">
        <v>40.049999999999997</v>
      </c>
      <c r="U849" s="29">
        <v>43777</v>
      </c>
      <c r="V849" s="66">
        <v>47429</v>
      </c>
      <c r="W849" s="10" t="s">
        <v>13</v>
      </c>
      <c r="X849" s="10" t="s">
        <v>17</v>
      </c>
    </row>
    <row r="850" spans="1:24" ht="50.25" customHeight="1" x14ac:dyDescent="0.25">
      <c r="A850" s="10">
        <f t="shared" si="0"/>
        <v>847</v>
      </c>
      <c r="B850" s="11" t="s">
        <v>2267</v>
      </c>
      <c r="C850" s="47" t="s">
        <v>2170</v>
      </c>
      <c r="D850" s="10" t="s">
        <v>442</v>
      </c>
      <c r="E850" s="10" t="s">
        <v>0</v>
      </c>
      <c r="F850" s="11" t="s">
        <v>2268</v>
      </c>
      <c r="G850" s="11"/>
      <c r="H850" s="11"/>
      <c r="I850" s="11">
        <v>1987</v>
      </c>
      <c r="J850" s="37" t="s">
        <v>458</v>
      </c>
      <c r="K850" s="15" t="s">
        <v>459</v>
      </c>
      <c r="L850" s="15" t="str">
        <f>HYPERLINK("https://drive.google.com/open?id=1TMGhWH2KRyuM09dPguNUHX2kHtvIh8ID","Сертифікат")</f>
        <v>Сертифікат</v>
      </c>
      <c r="M850" s="11" t="s">
        <v>22</v>
      </c>
      <c r="N850" s="10">
        <v>2841.59</v>
      </c>
      <c r="O850" s="10">
        <v>7729.12</v>
      </c>
      <c r="P850" s="10">
        <v>5</v>
      </c>
      <c r="Q850" s="10">
        <v>126.4</v>
      </c>
      <c r="R850" s="10" t="s">
        <v>57</v>
      </c>
      <c r="S850" s="10">
        <v>244.44</v>
      </c>
      <c r="T850" s="10">
        <v>46.72</v>
      </c>
      <c r="U850" s="29">
        <v>43777</v>
      </c>
      <c r="V850" s="66">
        <v>47429</v>
      </c>
      <c r="W850" s="10" t="s">
        <v>10</v>
      </c>
      <c r="X850" s="10" t="s">
        <v>17</v>
      </c>
    </row>
    <row r="851" spans="1:24" ht="50.25" customHeight="1" x14ac:dyDescent="0.25">
      <c r="A851" s="10">
        <f t="shared" si="0"/>
        <v>848</v>
      </c>
      <c r="B851" s="11" t="s">
        <v>2269</v>
      </c>
      <c r="C851" s="10" t="s">
        <v>68</v>
      </c>
      <c r="D851" s="10" t="s">
        <v>69</v>
      </c>
      <c r="E851" s="10" t="s">
        <v>0</v>
      </c>
      <c r="F851" s="11" t="s">
        <v>2270</v>
      </c>
      <c r="G851" s="11"/>
      <c r="H851" s="11"/>
      <c r="I851" s="11">
        <v>2019</v>
      </c>
      <c r="J851" s="10" t="s">
        <v>609</v>
      </c>
      <c r="K851" s="15" t="str">
        <f>HYPERLINK("https://drive.google.com/open?id=1MmGP6rtYcZwVyIqDA-ykUrezieQsOMPg","ОД 000024")</f>
        <v>ОД 000024</v>
      </c>
      <c r="L851" s="15" t="str">
        <f>HYPERLINK("https://drive.google.com/open?id=1QexVo7wagKCll38wnkM-_jzZSOvMCSYi","Сертифікат")</f>
        <v>Сертифікат</v>
      </c>
      <c r="M851" s="11" t="s">
        <v>18</v>
      </c>
      <c r="N851" s="10">
        <v>16413</v>
      </c>
      <c r="O851" s="10">
        <v>45957</v>
      </c>
      <c r="P851" s="10">
        <v>10</v>
      </c>
      <c r="Q851" s="10">
        <v>82.6</v>
      </c>
      <c r="R851" s="10" t="s">
        <v>66</v>
      </c>
      <c r="S851" s="10">
        <v>135</v>
      </c>
      <c r="T851" s="10">
        <v>26.2</v>
      </c>
      <c r="U851" s="29">
        <v>43776</v>
      </c>
      <c r="V851" s="66">
        <v>47428</v>
      </c>
      <c r="W851" s="10" t="s">
        <v>13</v>
      </c>
      <c r="X851" s="10" t="s">
        <v>17</v>
      </c>
    </row>
    <row r="852" spans="1:24" ht="50.25" customHeight="1" x14ac:dyDescent="0.25">
      <c r="A852" s="10">
        <f t="shared" si="0"/>
        <v>849</v>
      </c>
      <c r="B852" s="11" t="s">
        <v>2271</v>
      </c>
      <c r="C852" s="10" t="s">
        <v>1507</v>
      </c>
      <c r="D852" s="10" t="s">
        <v>317</v>
      </c>
      <c r="E852" s="10" t="s">
        <v>2</v>
      </c>
      <c r="F852" s="11" t="s">
        <v>2272</v>
      </c>
      <c r="G852" s="11"/>
      <c r="H852" s="11"/>
      <c r="I852" s="11">
        <v>1986</v>
      </c>
      <c r="J852" s="11" t="s">
        <v>1520</v>
      </c>
      <c r="K852" s="15" t="str">
        <f>HYPERLINK("https://drive.google.com/open?id=1h7SxjX8kLI3GcDpujJYP0DlexJilmQJ7","АР 000071")</f>
        <v>АР 000071</v>
      </c>
      <c r="L852" s="15" t="str">
        <f>HYPERLINK("https://drive.google.com/open?id=1grJSBYVhq733ottSiUkTiWt5yR05ObUT","Сертифікат")</f>
        <v>Сертифікат</v>
      </c>
      <c r="M852" s="11" t="s">
        <v>26</v>
      </c>
      <c r="N852" s="10">
        <v>21000</v>
      </c>
      <c r="O852" s="10">
        <v>104110</v>
      </c>
      <c r="P852" s="10">
        <v>14</v>
      </c>
      <c r="Q852" s="10">
        <v>154.5</v>
      </c>
      <c r="R852" s="10" t="s">
        <v>66</v>
      </c>
      <c r="S852" s="10">
        <v>1896.4</v>
      </c>
      <c r="T852" s="10">
        <v>356.6</v>
      </c>
      <c r="U852" s="29">
        <v>43777</v>
      </c>
      <c r="V852" s="66">
        <v>47429</v>
      </c>
      <c r="W852" s="10" t="s">
        <v>13</v>
      </c>
      <c r="X852" s="10" t="s">
        <v>17</v>
      </c>
    </row>
    <row r="853" spans="1:24" ht="50.25" customHeight="1" x14ac:dyDescent="0.25">
      <c r="A853" s="10">
        <f t="shared" si="0"/>
        <v>850</v>
      </c>
      <c r="B853" s="11" t="s">
        <v>2273</v>
      </c>
      <c r="C853" s="10" t="s">
        <v>517</v>
      </c>
      <c r="D853" s="10" t="s">
        <v>518</v>
      </c>
      <c r="E853" s="10" t="s">
        <v>0</v>
      </c>
      <c r="F853" s="11" t="s">
        <v>2274</v>
      </c>
      <c r="G853" s="11"/>
      <c r="H853" s="11"/>
      <c r="I853" s="11" t="s">
        <v>836</v>
      </c>
      <c r="J853" s="11" t="s">
        <v>1875</v>
      </c>
      <c r="K853" s="15" t="str">
        <f>HYPERLINK("https://drive.google.com/open?id=18jCdnumNyK2SRM-vS6TjNS-ct9MQ7n5o","АА000067")</f>
        <v>АА000067</v>
      </c>
      <c r="L853" s="15" t="str">
        <f>HYPERLINK("https://drive.google.com/open?id=1eby7JjDB9XF-ilVVT3d4ecoECZppQbgq","Сертифікат")</f>
        <v>Сертифікат</v>
      </c>
      <c r="M853" s="11" t="s">
        <v>18</v>
      </c>
      <c r="N853" s="10">
        <v>5618</v>
      </c>
      <c r="O853" s="10">
        <v>15169</v>
      </c>
      <c r="P853" s="10">
        <v>9</v>
      </c>
      <c r="Q853" s="10">
        <v>85.8</v>
      </c>
      <c r="R853" s="10" t="s">
        <v>57</v>
      </c>
      <c r="S853" s="10">
        <v>129.9</v>
      </c>
      <c r="T853" s="10">
        <v>25.3</v>
      </c>
      <c r="U853" s="29">
        <v>43774</v>
      </c>
      <c r="V853" s="66">
        <v>47426</v>
      </c>
      <c r="W853" s="10" t="s">
        <v>10</v>
      </c>
      <c r="X853" s="10" t="s">
        <v>17</v>
      </c>
    </row>
    <row r="854" spans="1:24" ht="50.25" customHeight="1" x14ac:dyDescent="0.25">
      <c r="A854" s="10">
        <f t="shared" si="0"/>
        <v>851</v>
      </c>
      <c r="B854" s="11" t="s">
        <v>2275</v>
      </c>
      <c r="C854" s="47" t="s">
        <v>85</v>
      </c>
      <c r="D854" s="10" t="s">
        <v>86</v>
      </c>
      <c r="E854" s="10" t="s">
        <v>0</v>
      </c>
      <c r="F854" s="11" t="s">
        <v>1009</v>
      </c>
      <c r="G854" s="11"/>
      <c r="H854" s="11"/>
      <c r="I854" s="11" t="s">
        <v>2276</v>
      </c>
      <c r="J854" s="27" t="s">
        <v>2123</v>
      </c>
      <c r="K854" s="15" t="str">
        <f>HYPERLINK("https://drive.google.com/open?id=1KQhjFD4e4THPvyI40c_bIbWDnCvuACCw"," ОД 02071010/0710-19")</f>
        <v xml:space="preserve"> ОД 02071010/0710-19</v>
      </c>
      <c r="L854" s="15" t="str">
        <f>HYPERLINK("https://drive.google.com/open?id=1k2HIKmEWhohGKEhFYoW0tFlF_-NKWfsZ","Сертифікат")</f>
        <v>Сертифікат</v>
      </c>
      <c r="M854" s="11" t="s">
        <v>18</v>
      </c>
      <c r="N854" s="10">
        <v>3865.8</v>
      </c>
      <c r="O854" s="10">
        <v>10585.5</v>
      </c>
      <c r="P854" s="10">
        <v>10</v>
      </c>
      <c r="Q854" s="10">
        <v>86</v>
      </c>
      <c r="R854" s="10" t="s">
        <v>57</v>
      </c>
      <c r="S854" s="10">
        <v>220.2</v>
      </c>
      <c r="T854" s="10">
        <v>74.5</v>
      </c>
      <c r="U854" s="66">
        <v>43773</v>
      </c>
      <c r="V854" s="66">
        <v>47425</v>
      </c>
      <c r="W854" s="10" t="s">
        <v>10</v>
      </c>
      <c r="X854" s="10" t="s">
        <v>17</v>
      </c>
    </row>
    <row r="855" spans="1:24" ht="50.25" customHeight="1" x14ac:dyDescent="0.25">
      <c r="A855" s="10">
        <f t="shared" si="0"/>
        <v>852</v>
      </c>
      <c r="B855" s="27" t="s">
        <v>2277</v>
      </c>
      <c r="C855" s="52" t="s">
        <v>1543</v>
      </c>
      <c r="D855" s="10" t="s">
        <v>442</v>
      </c>
      <c r="E855" s="10" t="s">
        <v>0</v>
      </c>
      <c r="F855" s="27" t="s">
        <v>0</v>
      </c>
      <c r="G855" s="11"/>
      <c r="H855" s="11"/>
      <c r="I855" s="11" t="s">
        <v>836</v>
      </c>
      <c r="J855" s="11" t="s">
        <v>797</v>
      </c>
      <c r="K855" s="15" t="s">
        <v>798</v>
      </c>
      <c r="L855" s="15" t="str">
        <f>HYPERLINK("https://drive.google.com/open?id=1nfBU4YizOGa-djGRJ91g9cuMCVfEERNx","Сертифікат")</f>
        <v>Сертифікат</v>
      </c>
      <c r="M855" s="11" t="s">
        <v>15</v>
      </c>
      <c r="N855" s="57">
        <v>14025.3</v>
      </c>
      <c r="O855" s="63">
        <v>44919.3</v>
      </c>
      <c r="P855" s="57" t="s">
        <v>2278</v>
      </c>
      <c r="Q855" s="63">
        <v>79</v>
      </c>
      <c r="R855" s="10" t="s">
        <v>57</v>
      </c>
      <c r="S855" s="63">
        <v>165</v>
      </c>
      <c r="T855" s="57">
        <v>46.3</v>
      </c>
      <c r="U855" s="66">
        <v>43770</v>
      </c>
      <c r="V855" s="66">
        <v>47422</v>
      </c>
      <c r="W855" s="10" t="s">
        <v>13</v>
      </c>
      <c r="X855" s="10" t="s">
        <v>17</v>
      </c>
    </row>
    <row r="856" spans="1:24" ht="50.25" customHeight="1" x14ac:dyDescent="0.25">
      <c r="A856" s="10">
        <f t="shared" si="0"/>
        <v>853</v>
      </c>
      <c r="B856" s="11" t="s">
        <v>2279</v>
      </c>
      <c r="C856" s="10" t="s">
        <v>2170</v>
      </c>
      <c r="D856" s="10" t="s">
        <v>442</v>
      </c>
      <c r="E856" s="10" t="s">
        <v>0</v>
      </c>
      <c r="F856" s="11" t="s">
        <v>2280</v>
      </c>
      <c r="G856" s="11"/>
      <c r="H856" s="11"/>
      <c r="I856" s="11">
        <v>1987</v>
      </c>
      <c r="J856" s="37" t="s">
        <v>458</v>
      </c>
      <c r="K856" s="15" t="s">
        <v>459</v>
      </c>
      <c r="L856" s="15" t="str">
        <f>HYPERLINK("https://drive.google.com/open?id=1lzULpQmRMaAAR6DrY5svA7E8bMpTvFpV","Сертифікат")</f>
        <v>Сертифікат</v>
      </c>
      <c r="M856" s="11" t="s">
        <v>22</v>
      </c>
      <c r="N856" s="10">
        <v>2787.6</v>
      </c>
      <c r="O856" s="10">
        <v>7582.27</v>
      </c>
      <c r="P856" s="10">
        <v>5</v>
      </c>
      <c r="Q856" s="10">
        <v>126.99</v>
      </c>
      <c r="R856" s="10" t="s">
        <v>57</v>
      </c>
      <c r="S856" s="10">
        <v>246.12</v>
      </c>
      <c r="T856" s="10">
        <v>47.02</v>
      </c>
      <c r="U856" s="66">
        <v>43777</v>
      </c>
      <c r="V856" s="66">
        <v>47429</v>
      </c>
      <c r="W856" s="10" t="s">
        <v>10</v>
      </c>
      <c r="X856" s="10" t="s">
        <v>17</v>
      </c>
    </row>
    <row r="857" spans="1:24" ht="50.25" customHeight="1" x14ac:dyDescent="0.25">
      <c r="A857" s="10">
        <f t="shared" si="0"/>
        <v>854</v>
      </c>
      <c r="B857" s="11" t="s">
        <v>2281</v>
      </c>
      <c r="C857" s="10" t="s">
        <v>284</v>
      </c>
      <c r="D857" s="10" t="s">
        <v>285</v>
      </c>
      <c r="E857" s="10" t="s">
        <v>0</v>
      </c>
      <c r="F857" s="11" t="s">
        <v>2282</v>
      </c>
      <c r="G857" s="11"/>
      <c r="H857" s="11"/>
      <c r="I857" s="11">
        <v>2019</v>
      </c>
      <c r="J857" s="11" t="s">
        <v>732</v>
      </c>
      <c r="K857" s="15" t="str">
        <f>HYPERLINK("https://drive.google.com/open?id=1YmIUNUHq4P-kOoyLjfDDMpvQv5hFDMTd","ОРІ-АВ00010")</f>
        <v>ОРІ-АВ00010</v>
      </c>
      <c r="L857" s="15" t="str">
        <f>HYPERLINK("https://drive.google.com/open?id=1vJDGFYMbC8mdasXG2MSDYpd16anWamas","Сертифікат")</f>
        <v>Сертифікат</v>
      </c>
      <c r="M857" s="11" t="s">
        <v>18</v>
      </c>
      <c r="N857" s="10">
        <v>2436.9</v>
      </c>
      <c r="O857" s="10">
        <v>6762.61</v>
      </c>
      <c r="P857" s="10">
        <v>8</v>
      </c>
      <c r="Q857" s="10">
        <v>79.2</v>
      </c>
      <c r="R857" s="10" t="s">
        <v>57</v>
      </c>
      <c r="S857" s="10">
        <v>227</v>
      </c>
      <c r="T857" s="10">
        <v>41</v>
      </c>
      <c r="U857" s="66">
        <v>43777</v>
      </c>
      <c r="V857" s="66">
        <v>47429</v>
      </c>
      <c r="W857" s="10" t="s">
        <v>10</v>
      </c>
      <c r="X857" s="10" t="s">
        <v>17</v>
      </c>
    </row>
    <row r="858" spans="1:24" ht="50.25" customHeight="1" x14ac:dyDescent="0.25">
      <c r="A858" s="10">
        <f t="shared" si="0"/>
        <v>855</v>
      </c>
      <c r="B858" s="11" t="s">
        <v>2283</v>
      </c>
      <c r="C858" s="10" t="s">
        <v>1145</v>
      </c>
      <c r="D858" s="10" t="s">
        <v>1295</v>
      </c>
      <c r="E858" s="10" t="s">
        <v>3</v>
      </c>
      <c r="F858" s="11" t="s">
        <v>2284</v>
      </c>
      <c r="G858" s="11"/>
      <c r="H858" s="11"/>
      <c r="I858" s="11" t="s">
        <v>836</v>
      </c>
      <c r="J858" s="11" t="s">
        <v>1660</v>
      </c>
      <c r="K858" s="15" t="str">
        <f>HYPERLINK("https://drive.google.com/open?id=1oLEtNwc-cHUiCjT6H-8zpZIM41iqf7Hj","ХМ 02071234/001")</f>
        <v>ХМ 02071234/001</v>
      </c>
      <c r="L858" s="15" t="str">
        <f>HYPERLINK("https://drive.google.com/open?id=1T-TRL8mXSts07Eq1E9_ilvRprA0Kk2cv","Сертифікат")</f>
        <v>Сертифікат</v>
      </c>
      <c r="M858" s="11" t="s">
        <v>15</v>
      </c>
      <c r="N858" s="10">
        <v>5819.61</v>
      </c>
      <c r="O858" s="10">
        <v>19204.71</v>
      </c>
      <c r="P858" s="10">
        <v>4.5</v>
      </c>
      <c r="Q858" s="10">
        <v>24.62</v>
      </c>
      <c r="R858" s="10" t="s">
        <v>66</v>
      </c>
      <c r="S858" s="10">
        <v>87.9</v>
      </c>
      <c r="T858" s="10">
        <v>16.52</v>
      </c>
      <c r="U858" s="66">
        <v>43777</v>
      </c>
      <c r="V858" s="66">
        <v>47429</v>
      </c>
      <c r="W858" s="10" t="s">
        <v>13</v>
      </c>
      <c r="X858" s="10" t="s">
        <v>17</v>
      </c>
    </row>
    <row r="859" spans="1:24" ht="50.25" customHeight="1" x14ac:dyDescent="0.25">
      <c r="A859" s="10">
        <f t="shared" si="0"/>
        <v>856</v>
      </c>
      <c r="B859" s="11" t="s">
        <v>2285</v>
      </c>
      <c r="C859" s="10" t="s">
        <v>68</v>
      </c>
      <c r="D859" s="10" t="s">
        <v>69</v>
      </c>
      <c r="E859" s="10" t="s">
        <v>7</v>
      </c>
      <c r="F859" s="11" t="s">
        <v>2286</v>
      </c>
      <c r="G859" s="11"/>
      <c r="H859" s="11"/>
      <c r="I859" s="11" t="s">
        <v>836</v>
      </c>
      <c r="J859" s="11" t="s">
        <v>609</v>
      </c>
      <c r="K859" s="15" t="str">
        <f>HYPERLINK("https://drive.google.com/open?id=1MmGP6rtYcZwVyIqDA-ykUrezieQsOMPg","ОД 000024")</f>
        <v>ОД 000024</v>
      </c>
      <c r="L859" s="15" t="str">
        <f>HYPERLINK("https://drive.google.com/open?id=1I9Blm5kbkMO8M5LhhahYb-d_goZ3HVuS","Сертифікат")</f>
        <v>Сертифікат</v>
      </c>
      <c r="M859" s="11" t="s">
        <v>15</v>
      </c>
      <c r="N859" s="10">
        <v>2339.8000000000002</v>
      </c>
      <c r="O859" s="10">
        <v>8873.2000000000007</v>
      </c>
      <c r="P859" s="10">
        <v>3</v>
      </c>
      <c r="Q859" s="10">
        <v>37.5</v>
      </c>
      <c r="R859" s="10" t="s">
        <v>66</v>
      </c>
      <c r="S859" s="10">
        <v>313.60000000000002</v>
      </c>
      <c r="T859" s="10">
        <v>59.5</v>
      </c>
      <c r="U859" s="29">
        <v>43767</v>
      </c>
      <c r="V859" s="66">
        <v>47419</v>
      </c>
      <c r="W859" s="10" t="s">
        <v>10</v>
      </c>
      <c r="X859" s="10" t="s">
        <v>17</v>
      </c>
    </row>
    <row r="860" spans="1:24" ht="50.25" customHeight="1" x14ac:dyDescent="0.25">
      <c r="A860" s="10">
        <f t="shared" si="0"/>
        <v>857</v>
      </c>
      <c r="B860" s="11" t="s">
        <v>2287</v>
      </c>
      <c r="C860" s="10" t="s">
        <v>74</v>
      </c>
      <c r="D860" s="10" t="s">
        <v>75</v>
      </c>
      <c r="E860" s="10" t="s">
        <v>0</v>
      </c>
      <c r="F860" s="11" t="s">
        <v>2288</v>
      </c>
      <c r="G860" s="11"/>
      <c r="H860" s="11"/>
      <c r="I860" s="11" t="s">
        <v>2289</v>
      </c>
      <c r="J860" s="11" t="s">
        <v>209</v>
      </c>
      <c r="K860" s="15" t="str">
        <f>HYPERLINK("https://drive.google.com/open?id=1nFSy5k_5dEpHD1r7NrzhyR0bvCdUEIlN","СБ-0033")</f>
        <v>СБ-0033</v>
      </c>
      <c r="L860" s="15" t="str">
        <f>HYPERLINK("https://drive.google.com/open?id=1qm93ic7sNlEKE-5AMNFlwKPSwXL83rXv","Сертифікат")</f>
        <v>Сертифікат</v>
      </c>
      <c r="M860" s="11" t="s">
        <v>26</v>
      </c>
      <c r="N860" s="10">
        <v>13413</v>
      </c>
      <c r="O860" s="10">
        <v>37556</v>
      </c>
      <c r="P860" s="10">
        <v>9</v>
      </c>
      <c r="Q860" s="10">
        <v>621</v>
      </c>
      <c r="R860" s="24" t="s">
        <v>57</v>
      </c>
      <c r="S860" s="10">
        <v>371</v>
      </c>
      <c r="T860" s="10">
        <v>74</v>
      </c>
      <c r="U860" s="29">
        <v>43777</v>
      </c>
      <c r="V860" s="45">
        <v>47429</v>
      </c>
      <c r="W860" s="10" t="s">
        <v>13</v>
      </c>
      <c r="X860" s="10" t="s">
        <v>17</v>
      </c>
    </row>
    <row r="861" spans="1:24" ht="50.25" customHeight="1" x14ac:dyDescent="0.25">
      <c r="A861" s="10">
        <f t="shared" si="0"/>
        <v>858</v>
      </c>
      <c r="B861" s="11" t="s">
        <v>2290</v>
      </c>
      <c r="C861" s="10" t="s">
        <v>68</v>
      </c>
      <c r="D861" s="10" t="s">
        <v>69</v>
      </c>
      <c r="E861" s="10" t="s">
        <v>5</v>
      </c>
      <c r="F861" s="11" t="s">
        <v>2291</v>
      </c>
      <c r="G861" s="11"/>
      <c r="H861" s="11"/>
      <c r="I861" s="11">
        <v>1986</v>
      </c>
      <c r="J861" s="11" t="s">
        <v>291</v>
      </c>
      <c r="K861" s="15" t="str">
        <f>HYPERLINK("https://drive.google.com/open?id=1hRveVW8wUZQ_UaJ5nMN6tSGm5Wd2ppTv","АА 000024")</f>
        <v>АА 000024</v>
      </c>
      <c r="L861" s="15" t="str">
        <f>HYPERLINK("https://drive.google.com/open?id=1yQ2OhMyCL6BRmD-LyPgA43F4XEV9WU_o","Сертифікат")</f>
        <v>Сертифікат</v>
      </c>
      <c r="M861" s="11" t="s">
        <v>24</v>
      </c>
      <c r="N861" s="10">
        <v>4268</v>
      </c>
      <c r="O861" s="10">
        <v>14084.4</v>
      </c>
      <c r="P861" s="10">
        <v>5</v>
      </c>
      <c r="Q861" s="10">
        <v>88.9</v>
      </c>
      <c r="R861" s="10" t="s">
        <v>66</v>
      </c>
      <c r="S861" s="10">
        <v>406</v>
      </c>
      <c r="T861" s="10">
        <v>114.62</v>
      </c>
      <c r="U861" s="29">
        <v>43777</v>
      </c>
      <c r="V861" s="66">
        <v>47429</v>
      </c>
      <c r="W861" s="10" t="s">
        <v>10</v>
      </c>
      <c r="X861" s="10" t="s">
        <v>17</v>
      </c>
    </row>
    <row r="862" spans="1:24" ht="50.25" customHeight="1" x14ac:dyDescent="0.25">
      <c r="A862" s="10">
        <f t="shared" si="0"/>
        <v>859</v>
      </c>
      <c r="B862" s="11" t="s">
        <v>2292</v>
      </c>
      <c r="C862" s="10" t="s">
        <v>2222</v>
      </c>
      <c r="D862" s="10" t="s">
        <v>2293</v>
      </c>
      <c r="E862" s="10" t="s">
        <v>3</v>
      </c>
      <c r="F862" s="11" t="s">
        <v>2294</v>
      </c>
      <c r="G862" s="11"/>
      <c r="H862" s="11"/>
      <c r="I862" s="11">
        <v>1961</v>
      </c>
      <c r="J862" s="11" t="s">
        <v>2295</v>
      </c>
      <c r="K862" s="15" t="str">
        <f>HYPERLINK("https://drive.google.com/open?id=1cU_fDZk5ohOuZBjVs1-Vhkz8arIz-d1m","ЕЕБ 00014")</f>
        <v>ЕЕБ 00014</v>
      </c>
      <c r="L862" s="15" t="str">
        <f>HYPERLINK("https://drive.google.com/open?id=1lr7j7x04680VRfCeUrblHd0YXSEvISU3","Сертифікат")</f>
        <v>Сертифікат</v>
      </c>
      <c r="M862" s="11" t="s">
        <v>26</v>
      </c>
      <c r="N862" s="10">
        <v>2319.92</v>
      </c>
      <c r="O862" s="10">
        <v>9305</v>
      </c>
      <c r="P862" s="31">
        <v>43526</v>
      </c>
      <c r="Q862" s="10">
        <v>167.8</v>
      </c>
      <c r="R862" s="10" t="s">
        <v>66</v>
      </c>
      <c r="S862" s="10">
        <v>952.9</v>
      </c>
      <c r="T862" s="10">
        <v>188.5</v>
      </c>
      <c r="U862" s="29">
        <v>43780</v>
      </c>
      <c r="V862" s="66">
        <v>47432</v>
      </c>
      <c r="W862" s="10" t="s">
        <v>10</v>
      </c>
      <c r="X862" s="10" t="s">
        <v>17</v>
      </c>
    </row>
    <row r="863" spans="1:24" ht="50.25" customHeight="1" x14ac:dyDescent="0.25">
      <c r="A863" s="10">
        <f t="shared" si="0"/>
        <v>860</v>
      </c>
      <c r="B863" s="11" t="s">
        <v>2296</v>
      </c>
      <c r="C863" s="10" t="s">
        <v>1145</v>
      </c>
      <c r="D863" s="10" t="s">
        <v>1295</v>
      </c>
      <c r="E863" s="10" t="s">
        <v>2</v>
      </c>
      <c r="F863" s="11" t="s">
        <v>2297</v>
      </c>
      <c r="G863" s="11"/>
      <c r="H863" s="11"/>
      <c r="I863" s="11" t="s">
        <v>836</v>
      </c>
      <c r="J863" s="11" t="s">
        <v>2298</v>
      </c>
      <c r="K863" s="15" t="str">
        <f>HYPERLINK("https://drive.google.com/open?id=1HaDqQXAtet_8VgxaBmoxXxADu-bGNCh1","СБ-0053")</f>
        <v>СБ-0053</v>
      </c>
      <c r="L863" s="15" t="str">
        <f>HYPERLINK("https://drive.google.com/open?id=19s8WmC_pIojkvhTl1zB2bFO78Q4hWveH","Сертифікат")</f>
        <v>Сертифікат</v>
      </c>
      <c r="M863" s="11" t="s">
        <v>15</v>
      </c>
      <c r="N863" s="10">
        <v>8854.4</v>
      </c>
      <c r="O863" s="10">
        <v>26563.200000000001</v>
      </c>
      <c r="P863" s="10">
        <v>8</v>
      </c>
      <c r="Q863" s="10">
        <v>34</v>
      </c>
      <c r="R863" s="10" t="s">
        <v>66</v>
      </c>
      <c r="S863" s="10">
        <v>203.8</v>
      </c>
      <c r="T863" s="10">
        <v>32</v>
      </c>
      <c r="U863" s="29">
        <v>43780</v>
      </c>
      <c r="V863" s="66">
        <v>47432</v>
      </c>
      <c r="W863" s="10" t="s">
        <v>13</v>
      </c>
      <c r="X863" s="10" t="s">
        <v>17</v>
      </c>
    </row>
    <row r="864" spans="1:24" ht="50.25" customHeight="1" x14ac:dyDescent="0.25">
      <c r="A864" s="10">
        <f t="shared" si="0"/>
        <v>861</v>
      </c>
      <c r="B864" s="27" t="s">
        <v>2299</v>
      </c>
      <c r="C864" s="47" t="s">
        <v>502</v>
      </c>
      <c r="D864" s="10" t="s">
        <v>69</v>
      </c>
      <c r="E864" s="10" t="s">
        <v>3</v>
      </c>
      <c r="F864" s="27" t="s">
        <v>2300</v>
      </c>
      <c r="G864" s="11"/>
      <c r="H864" s="11"/>
      <c r="I864" s="47">
        <v>1974</v>
      </c>
      <c r="J864" s="11" t="s">
        <v>2301</v>
      </c>
      <c r="K864" s="15" t="str">
        <f t="shared" ref="K864:K865" si="61">HYPERLINK("https://drive.google.com/open?id=1pQzRPvBj_zLUQF1x327A_Ozsrhj7_hqF","ОД 02071010/0994-18")</f>
        <v>ОД 02071010/0994-18</v>
      </c>
      <c r="L864" s="15" t="str">
        <f>HYPERLINK("https://drive.google.com/open?id=13syZcD69ms2lkcf6pOk0ZNJzKCxPd3bL","Сертифікат")</f>
        <v>Сертифікат</v>
      </c>
      <c r="M864" s="11" t="s">
        <v>22</v>
      </c>
      <c r="N864" s="47">
        <v>3003.9</v>
      </c>
      <c r="O864" s="52">
        <v>10525.5</v>
      </c>
      <c r="P864" s="10">
        <v>2</v>
      </c>
      <c r="Q864" s="10">
        <v>49.4</v>
      </c>
      <c r="R864" s="10" t="s">
        <v>66</v>
      </c>
      <c r="S864" s="10">
        <v>287</v>
      </c>
      <c r="T864" s="10">
        <v>56</v>
      </c>
      <c r="U864" s="29">
        <v>43777</v>
      </c>
      <c r="V864" s="66">
        <v>47429</v>
      </c>
      <c r="W864" s="10" t="s">
        <v>10</v>
      </c>
      <c r="X864" s="10" t="s">
        <v>17</v>
      </c>
    </row>
    <row r="865" spans="1:24" ht="50.25" customHeight="1" x14ac:dyDescent="0.25">
      <c r="A865" s="10">
        <f t="shared" si="0"/>
        <v>862</v>
      </c>
      <c r="B865" s="11" t="s">
        <v>2302</v>
      </c>
      <c r="C865" s="10" t="s">
        <v>2303</v>
      </c>
      <c r="D865" s="10" t="s">
        <v>69</v>
      </c>
      <c r="E865" s="10" t="s">
        <v>3</v>
      </c>
      <c r="F865" s="11" t="s">
        <v>2304</v>
      </c>
      <c r="G865" s="11"/>
      <c r="H865" s="11"/>
      <c r="I865" s="11">
        <v>1974</v>
      </c>
      <c r="J865" s="11" t="s">
        <v>438</v>
      </c>
      <c r="K865" s="15" t="str">
        <f t="shared" si="61"/>
        <v>ОД 02071010/0994-18</v>
      </c>
      <c r="L865" s="15" t="str">
        <f>HYPERLINK("https://drive.google.com/open?id=1HfOiAMWgGDQ3YSV_mQQHmzlXGP8NfYDj","Сертифікат")</f>
        <v>Сертифікат</v>
      </c>
      <c r="M865" s="11" t="s">
        <v>26</v>
      </c>
      <c r="N865" s="10">
        <v>1182</v>
      </c>
      <c r="O865" s="10">
        <v>3929.5</v>
      </c>
      <c r="P865" s="10">
        <v>1</v>
      </c>
      <c r="Q865" s="10">
        <v>133.69999999999999</v>
      </c>
      <c r="R865" s="10" t="s">
        <v>66</v>
      </c>
      <c r="S865" s="10">
        <v>142.5</v>
      </c>
      <c r="T865" s="10">
        <v>27.5</v>
      </c>
      <c r="U865" s="29">
        <v>43744</v>
      </c>
      <c r="V865" s="66">
        <v>47396</v>
      </c>
      <c r="W865" s="10" t="s">
        <v>10</v>
      </c>
      <c r="X865" s="10" t="s">
        <v>17</v>
      </c>
    </row>
    <row r="866" spans="1:24" ht="50.25" customHeight="1" x14ac:dyDescent="0.25">
      <c r="A866" s="10">
        <f t="shared" si="0"/>
        <v>863</v>
      </c>
      <c r="B866" s="11" t="s">
        <v>2305</v>
      </c>
      <c r="C866" s="47" t="s">
        <v>2306</v>
      </c>
      <c r="D866" s="10" t="s">
        <v>75</v>
      </c>
      <c r="E866" s="10" t="s">
        <v>3</v>
      </c>
      <c r="F866" s="11" t="s">
        <v>2307</v>
      </c>
      <c r="G866" s="11"/>
      <c r="H866" s="11"/>
      <c r="I866" s="11">
        <v>1954</v>
      </c>
      <c r="J866" s="11" t="s">
        <v>2054</v>
      </c>
      <c r="K866" s="15" t="str">
        <f>HYPERLINK("https://drive.google.com/open?id=15mzOVo5DzvZRYSFkEsMp5jV14CeCYhNn","АЕ00007")</f>
        <v>АЕ00007</v>
      </c>
      <c r="L866" s="15" t="str">
        <f>HYPERLINK("https://drive.google.com/open?id=105uIx9QLUbz9EWQtKNjHeMguQnrrZLtm","Сертифікат")</f>
        <v>Сертифікат</v>
      </c>
      <c r="M866" s="11" t="s">
        <v>26</v>
      </c>
      <c r="N866" s="10">
        <v>1325.86</v>
      </c>
      <c r="O866" s="10">
        <v>4673.66</v>
      </c>
      <c r="P866" s="10">
        <v>2</v>
      </c>
      <c r="Q866" s="10">
        <v>139.4</v>
      </c>
      <c r="R866" s="10" t="s">
        <v>66</v>
      </c>
      <c r="S866" s="10">
        <v>661.1</v>
      </c>
      <c r="T866" s="10">
        <v>175.8</v>
      </c>
      <c r="U866" s="29">
        <v>43780</v>
      </c>
      <c r="V866" s="66">
        <v>47432</v>
      </c>
      <c r="W866" s="10" t="s">
        <v>13</v>
      </c>
      <c r="X866" s="10" t="s">
        <v>17</v>
      </c>
    </row>
    <row r="867" spans="1:24" ht="50.25" customHeight="1" x14ac:dyDescent="0.25">
      <c r="A867" s="10">
        <f t="shared" si="0"/>
        <v>864</v>
      </c>
      <c r="B867" s="11" t="s">
        <v>2308</v>
      </c>
      <c r="C867" s="10" t="s">
        <v>2309</v>
      </c>
      <c r="D867" s="10" t="s">
        <v>75</v>
      </c>
      <c r="E867" s="10" t="s">
        <v>2</v>
      </c>
      <c r="F867" s="11" t="s">
        <v>2310</v>
      </c>
      <c r="G867" s="11"/>
      <c r="H867" s="11"/>
      <c r="I867" s="11" t="s">
        <v>2311</v>
      </c>
      <c r="J867" s="11" t="s">
        <v>1504</v>
      </c>
      <c r="K867" s="15" t="str">
        <f>HYPERLINK("https://drive.google.com/open?id=1cNdHo19T35eklBUZY_qj1BVJ98P3D_u8","АА000071")</f>
        <v>АА000071</v>
      </c>
      <c r="L867" s="15" t="str">
        <f>HYPERLINK("https://drive.google.com/open?id=1iczIvTwxo6UKXXR0t4lY6eHTKpYuankm","Сертифікат")</f>
        <v>Сертифікат</v>
      </c>
      <c r="M867" s="11" t="s">
        <v>18</v>
      </c>
      <c r="N867" s="10">
        <v>1938</v>
      </c>
      <c r="O867" s="10">
        <v>6570</v>
      </c>
      <c r="P867" s="10">
        <v>3</v>
      </c>
      <c r="Q867" s="10">
        <v>58.4</v>
      </c>
      <c r="R867" s="10" t="s">
        <v>66</v>
      </c>
      <c r="S867" s="10">
        <v>91</v>
      </c>
      <c r="T867" s="10">
        <v>24.1</v>
      </c>
      <c r="U867" s="29">
        <v>43776</v>
      </c>
      <c r="V867" s="66">
        <v>47428</v>
      </c>
      <c r="W867" s="10" t="s">
        <v>10</v>
      </c>
      <c r="X867" s="10" t="s">
        <v>17</v>
      </c>
    </row>
    <row r="868" spans="1:24" ht="50.25" customHeight="1" x14ac:dyDescent="0.25">
      <c r="A868" s="10">
        <f t="shared" si="0"/>
        <v>865</v>
      </c>
      <c r="B868" s="11" t="s">
        <v>2312</v>
      </c>
      <c r="C868" s="10" t="s">
        <v>2313</v>
      </c>
      <c r="D868" s="10" t="s">
        <v>75</v>
      </c>
      <c r="E868" s="10" t="s">
        <v>3</v>
      </c>
      <c r="F868" s="11" t="s">
        <v>2314</v>
      </c>
      <c r="G868" s="11"/>
      <c r="H868" s="11"/>
      <c r="I868" s="11">
        <v>1966</v>
      </c>
      <c r="J868" s="11" t="s">
        <v>2054</v>
      </c>
      <c r="K868" s="15" t="str">
        <f>HYPERLINK("https://drive.google.com/open?id=15mzOVo5DzvZRYSFkEsMp5jV14CeCYhNn","АЕ00007")</f>
        <v>АЕ00007</v>
      </c>
      <c r="L868" s="15" t="str">
        <f>HYPERLINK("https://drive.google.com/open?id=1HpdOTZqV1pk3Bz80pLvAVPMz9BXx4N4c","Сертифікат")</f>
        <v>Сертифікат</v>
      </c>
      <c r="M868" s="11" t="s">
        <v>26</v>
      </c>
      <c r="N868" s="10">
        <v>1526.28</v>
      </c>
      <c r="O868" s="10">
        <v>6307.43</v>
      </c>
      <c r="P868" s="10">
        <v>1</v>
      </c>
      <c r="Q868" s="10">
        <v>114.6</v>
      </c>
      <c r="R868" s="10" t="s">
        <v>66</v>
      </c>
      <c r="S868" s="10">
        <v>654.4</v>
      </c>
      <c r="T868" s="10">
        <v>176.6</v>
      </c>
      <c r="U868" s="29">
        <v>43780</v>
      </c>
      <c r="V868" s="66">
        <v>47432</v>
      </c>
      <c r="W868" s="10" t="s">
        <v>13</v>
      </c>
      <c r="X868" s="10" t="s">
        <v>17</v>
      </c>
    </row>
    <row r="869" spans="1:24" ht="50.25" customHeight="1" x14ac:dyDescent="0.25">
      <c r="A869" s="10">
        <f t="shared" si="0"/>
        <v>866</v>
      </c>
      <c r="B869" s="11" t="s">
        <v>2315</v>
      </c>
      <c r="C869" s="10" t="s">
        <v>359</v>
      </c>
      <c r="D869" s="10" t="s">
        <v>124</v>
      </c>
      <c r="E869" s="10" t="s">
        <v>0</v>
      </c>
      <c r="F869" s="11" t="s">
        <v>2316</v>
      </c>
      <c r="G869" s="11"/>
      <c r="H869" s="11"/>
      <c r="I869" s="11">
        <v>1964</v>
      </c>
      <c r="J869" s="11" t="s">
        <v>158</v>
      </c>
      <c r="K869" s="15" t="str">
        <f>HYPERLINK("https://drive.google.com/open?id=1pEg5agn5jdMhfl4Pa1dRPaxDB2kT59cP","ЕЕ-005-10-18")</f>
        <v>ЕЕ-005-10-18</v>
      </c>
      <c r="L869" s="15" t="str">
        <f>HYPERLINK("https://drive.google.com/open?id=1OjiXO7H1ahG5OzpoiV5kcs1uidNgLRN_","Сертифікат")</f>
        <v>Сертифікат</v>
      </c>
      <c r="M869" s="11" t="s">
        <v>26</v>
      </c>
      <c r="N869" s="10">
        <v>5649.7</v>
      </c>
      <c r="O869" s="10">
        <v>16384.099999999999</v>
      </c>
      <c r="P869" s="10">
        <v>5</v>
      </c>
      <c r="Q869" s="10">
        <v>283.2</v>
      </c>
      <c r="R869" s="10" t="s">
        <v>57</v>
      </c>
      <c r="S869" s="10">
        <v>370</v>
      </c>
      <c r="T869" s="10">
        <v>74</v>
      </c>
      <c r="U869" s="29">
        <v>43777</v>
      </c>
      <c r="V869" s="66">
        <v>47429</v>
      </c>
      <c r="W869" s="10" t="s">
        <v>10</v>
      </c>
      <c r="X869" s="10" t="s">
        <v>17</v>
      </c>
    </row>
    <row r="870" spans="1:24" ht="50.25" customHeight="1" x14ac:dyDescent="0.25">
      <c r="A870" s="10">
        <f t="shared" si="0"/>
        <v>867</v>
      </c>
      <c r="B870" s="11" t="s">
        <v>2317</v>
      </c>
      <c r="C870" s="10" t="s">
        <v>357</v>
      </c>
      <c r="D870" s="10" t="s">
        <v>142</v>
      </c>
      <c r="E870" s="10" t="s">
        <v>0</v>
      </c>
      <c r="F870" s="11" t="s">
        <v>1009</v>
      </c>
      <c r="G870" s="11"/>
      <c r="H870" s="11"/>
      <c r="I870" s="11">
        <v>2019</v>
      </c>
      <c r="J870" s="11" t="s">
        <v>93</v>
      </c>
      <c r="K870" s="15" t="str">
        <f>HYPERLINK("https://drive.google.com/open?id=16knL7rF64EXtCB0-Ch1v5DtfiE2GYjkB","ЕЕ-002-10-18")</f>
        <v>ЕЕ-002-10-18</v>
      </c>
      <c r="L870" s="15" t="str">
        <f>HYPERLINK("https://drive.google.com/open?id=1fLiMMttZrz56FbvkZ_5H8JOOt0i_QTkQ","Сертифікат")</f>
        <v>Сертифікат</v>
      </c>
      <c r="M870" s="11" t="s">
        <v>26</v>
      </c>
      <c r="N870" s="10">
        <v>3107.5</v>
      </c>
      <c r="O870" s="10">
        <v>8949.6</v>
      </c>
      <c r="P870" s="10">
        <v>6</v>
      </c>
      <c r="Q870" s="10">
        <v>168.8</v>
      </c>
      <c r="R870" s="10" t="s">
        <v>57</v>
      </c>
      <c r="S870" s="10">
        <v>212</v>
      </c>
      <c r="T870" s="10">
        <v>42</v>
      </c>
      <c r="U870" s="29">
        <v>43772</v>
      </c>
      <c r="V870" s="66">
        <v>47424</v>
      </c>
      <c r="W870" s="10" t="s">
        <v>13</v>
      </c>
      <c r="X870" s="10" t="s">
        <v>17</v>
      </c>
    </row>
    <row r="871" spans="1:24" ht="50.25" customHeight="1" x14ac:dyDescent="0.25">
      <c r="A871" s="10">
        <f t="shared" si="0"/>
        <v>868</v>
      </c>
      <c r="B871" s="11" t="s">
        <v>2318</v>
      </c>
      <c r="C871" s="10" t="s">
        <v>517</v>
      </c>
      <c r="D871" s="10" t="s">
        <v>518</v>
      </c>
      <c r="E871" s="10" t="s">
        <v>5</v>
      </c>
      <c r="F871" s="11" t="s">
        <v>2319</v>
      </c>
      <c r="G871" s="11"/>
      <c r="H871" s="11"/>
      <c r="I871" s="11">
        <v>1981</v>
      </c>
      <c r="J871" s="11" t="s">
        <v>1875</v>
      </c>
      <c r="K871" s="15" t="str">
        <f>HYPERLINK("https://drive.google.com/open?id=18jCdnumNyK2SRM-vS6TjNS-ct9MQ7n5o","АА000067")</f>
        <v>АА000067</v>
      </c>
      <c r="L871" s="15" t="str">
        <f>HYPERLINK("https://drive.google.com/open?id=18sv7frlCAwaJrbe2mrxiwdRMei6EhLUg","Сертифікат")</f>
        <v>Сертифікат</v>
      </c>
      <c r="M871" s="11" t="s">
        <v>26</v>
      </c>
      <c r="N871" s="10">
        <v>21745</v>
      </c>
      <c r="O871" s="10">
        <v>69584</v>
      </c>
      <c r="P871" s="10">
        <v>9</v>
      </c>
      <c r="Q871" s="10">
        <v>124.7</v>
      </c>
      <c r="R871" s="10" t="s">
        <v>66</v>
      </c>
      <c r="S871" s="10">
        <v>766.3</v>
      </c>
      <c r="T871" s="10">
        <v>147.1</v>
      </c>
      <c r="U871" s="29">
        <v>43766</v>
      </c>
      <c r="V871" s="66">
        <v>47418</v>
      </c>
      <c r="W871" s="10" t="s">
        <v>10</v>
      </c>
      <c r="X871" s="10" t="s">
        <v>17</v>
      </c>
    </row>
    <row r="872" spans="1:24" ht="50.25" customHeight="1" x14ac:dyDescent="0.25">
      <c r="A872" s="10">
        <f t="shared" si="0"/>
        <v>869</v>
      </c>
      <c r="B872" s="11" t="s">
        <v>2320</v>
      </c>
      <c r="C872" s="47" t="s">
        <v>102</v>
      </c>
      <c r="D872" s="10" t="s">
        <v>2321</v>
      </c>
      <c r="E872" s="10" t="s">
        <v>0</v>
      </c>
      <c r="F872" s="27" t="s">
        <v>2322</v>
      </c>
      <c r="G872" s="11"/>
      <c r="H872" s="11"/>
      <c r="I872" s="11">
        <v>1983</v>
      </c>
      <c r="J872" s="11" t="s">
        <v>702</v>
      </c>
      <c r="K872" s="15" t="s">
        <v>703</v>
      </c>
      <c r="L872" s="15" t="str">
        <f>HYPERLINK("https://drive.google.com/open?id=1SASVMuJ8BWdB_qgeN5EG-uagVFPgWLZU","Сертифікат")</f>
        <v>Сертифікат</v>
      </c>
      <c r="M872" s="11" t="s">
        <v>22</v>
      </c>
      <c r="N872" s="10">
        <v>7225</v>
      </c>
      <c r="O872" s="10">
        <v>18423</v>
      </c>
      <c r="P872" s="10">
        <v>9</v>
      </c>
      <c r="Q872" s="10">
        <v>130.1</v>
      </c>
      <c r="R872" s="10" t="s">
        <v>57</v>
      </c>
      <c r="S872" s="10">
        <v>203.79</v>
      </c>
      <c r="T872" s="10">
        <v>60.19</v>
      </c>
      <c r="U872" s="29">
        <v>43781</v>
      </c>
      <c r="V872" s="66">
        <v>47402</v>
      </c>
      <c r="W872" s="10" t="s">
        <v>10</v>
      </c>
      <c r="X872" s="10" t="s">
        <v>17</v>
      </c>
    </row>
    <row r="873" spans="1:24" ht="50.25" customHeight="1" x14ac:dyDescent="0.25">
      <c r="A873" s="10">
        <f t="shared" si="0"/>
        <v>870</v>
      </c>
      <c r="B873" s="11" t="s">
        <v>2323</v>
      </c>
      <c r="C873" s="10" t="s">
        <v>1030</v>
      </c>
      <c r="D873" s="47" t="s">
        <v>75</v>
      </c>
      <c r="E873" s="10" t="s">
        <v>5</v>
      </c>
      <c r="F873" s="11" t="s">
        <v>2324</v>
      </c>
      <c r="G873" s="11"/>
      <c r="H873" s="11"/>
      <c r="I873" s="11">
        <v>1983</v>
      </c>
      <c r="J873" s="20" t="s">
        <v>158</v>
      </c>
      <c r="K873" s="15" t="str">
        <f>HYPERLINK("https://drive.google.com/open?id=1pEg5agn5jdMhfl4Pa1dRPaxDB2kT59cP","ЕЕ-005-10-18")</f>
        <v>ЕЕ-005-10-18</v>
      </c>
      <c r="L873" s="15" t="str">
        <f>HYPERLINK("https://drive.google.com/open?id=1jgVMfhe9NH9CA2gO3GM5e8n5FNxkOGFj","Сертифікат")</f>
        <v>Сертифікат</v>
      </c>
      <c r="M873" s="11" t="s">
        <v>22</v>
      </c>
      <c r="N873" s="10">
        <v>1158.4000000000001</v>
      </c>
      <c r="O873" s="10">
        <v>3234.2</v>
      </c>
      <c r="P873" s="10">
        <v>3</v>
      </c>
      <c r="Q873" s="10">
        <v>79.8</v>
      </c>
      <c r="R873" s="10" t="s">
        <v>66</v>
      </c>
      <c r="S873" s="10">
        <v>439</v>
      </c>
      <c r="T873" s="10">
        <v>82</v>
      </c>
      <c r="U873" s="64">
        <v>43766</v>
      </c>
      <c r="V873" s="66">
        <v>43765</v>
      </c>
      <c r="W873" s="10" t="s">
        <v>10</v>
      </c>
      <c r="X873" s="10" t="s">
        <v>17</v>
      </c>
    </row>
    <row r="874" spans="1:24" ht="50.25" customHeight="1" x14ac:dyDescent="0.25">
      <c r="A874" s="10">
        <f t="shared" si="0"/>
        <v>871</v>
      </c>
      <c r="B874" s="11" t="s">
        <v>2325</v>
      </c>
      <c r="C874" s="10" t="s">
        <v>2326</v>
      </c>
      <c r="D874" s="10" t="s">
        <v>2327</v>
      </c>
      <c r="E874" s="10" t="s">
        <v>0</v>
      </c>
      <c r="F874" s="11" t="s">
        <v>2328</v>
      </c>
      <c r="G874" s="11"/>
      <c r="H874" s="11"/>
      <c r="I874" s="11">
        <v>2019</v>
      </c>
      <c r="J874" s="20" t="s">
        <v>110</v>
      </c>
      <c r="K874" s="15" t="str">
        <f>HYPERLINK("https://drive.google.com/open?id=1hysLLNyTDspucV_3Tt8ScCWEgMedd8bv","1/010")</f>
        <v>1/010</v>
      </c>
      <c r="L874" s="15" t="str">
        <f>HYPERLINK("https://drive.google.com/open?id=1vDkURNEvHYdaE1a3ic59OxDEYtYmcojK","Сертифікат")</f>
        <v>Сертифікат</v>
      </c>
      <c r="M874" s="11" t="s">
        <v>18</v>
      </c>
      <c r="N874" s="10">
        <v>6285.1</v>
      </c>
      <c r="O874" s="10">
        <v>19798.2</v>
      </c>
      <c r="P874" s="10" t="s">
        <v>2329</v>
      </c>
      <c r="Q874" s="10">
        <v>84.66</v>
      </c>
      <c r="R874" s="10" t="s">
        <v>57</v>
      </c>
      <c r="S874" s="10">
        <v>114.11</v>
      </c>
      <c r="T874" s="10">
        <v>22.36</v>
      </c>
      <c r="U874" s="66">
        <v>43781</v>
      </c>
      <c r="V874" s="66">
        <v>47433</v>
      </c>
      <c r="W874" s="10" t="s">
        <v>10</v>
      </c>
      <c r="X874" s="10" t="s">
        <v>17</v>
      </c>
    </row>
    <row r="875" spans="1:24" ht="50.25" customHeight="1" x14ac:dyDescent="0.25">
      <c r="A875" s="10">
        <f t="shared" si="0"/>
        <v>872</v>
      </c>
      <c r="B875" s="11" t="s">
        <v>2330</v>
      </c>
      <c r="C875" s="10" t="s">
        <v>1507</v>
      </c>
      <c r="D875" s="10" t="s">
        <v>317</v>
      </c>
      <c r="E875" s="10" t="s">
        <v>0</v>
      </c>
      <c r="F875" s="11" t="s">
        <v>2331</v>
      </c>
      <c r="G875" s="11"/>
      <c r="H875" s="11"/>
      <c r="I875" s="11">
        <v>2019</v>
      </c>
      <c r="J875" s="20" t="s">
        <v>1509</v>
      </c>
      <c r="K875" s="15" t="str">
        <f>HYPERLINK("https://drive.google.com/open?id=1xjvbubZ6C8eI0z8-eUIdnd7AelssdqYB","ЕЕ 00004")</f>
        <v>ЕЕ 00004</v>
      </c>
      <c r="L875" s="15" t="str">
        <f>HYPERLINK("https://drive.google.com/open?id=1Z8wvoY_LajnMLlij--rFeUvLZhpevfSD","Сертифікат")</f>
        <v>Сертифікат</v>
      </c>
      <c r="M875" s="11" t="s">
        <v>22</v>
      </c>
      <c r="N875" s="10">
        <v>3903.9</v>
      </c>
      <c r="O875" s="10">
        <v>11865</v>
      </c>
      <c r="P875" s="10">
        <v>10</v>
      </c>
      <c r="Q875" s="10">
        <v>130.19999999999999</v>
      </c>
      <c r="R875" s="10" t="s">
        <v>57</v>
      </c>
      <c r="S875" s="10">
        <v>143.6</v>
      </c>
      <c r="T875" s="10">
        <v>35.47</v>
      </c>
      <c r="U875" s="29">
        <v>43780</v>
      </c>
      <c r="V875" s="66">
        <v>47432</v>
      </c>
      <c r="W875" s="10" t="s">
        <v>13</v>
      </c>
      <c r="X875" s="10" t="s">
        <v>17</v>
      </c>
    </row>
    <row r="876" spans="1:24" ht="50.25" customHeight="1" x14ac:dyDescent="0.25">
      <c r="A876" s="10">
        <f t="shared" si="0"/>
        <v>873</v>
      </c>
      <c r="B876" s="11" t="s">
        <v>2332</v>
      </c>
      <c r="C876" s="10" t="s">
        <v>85</v>
      </c>
      <c r="D876" s="10" t="s">
        <v>86</v>
      </c>
      <c r="E876" s="10" t="s">
        <v>0</v>
      </c>
      <c r="F876" s="11" t="s">
        <v>2333</v>
      </c>
      <c r="G876" s="11"/>
      <c r="H876" s="11"/>
      <c r="I876" s="11" t="s">
        <v>836</v>
      </c>
      <c r="J876" s="20" t="s">
        <v>739</v>
      </c>
      <c r="K876" s="15" t="str">
        <f>HYPERLINK("https://drive.google.com/open?id=1zVrpIuY14Z4qtH7jTtKij9w-zFpVz9Q_","ЕЕ00004")</f>
        <v>ЕЕ00004</v>
      </c>
      <c r="L876" s="15" t="str">
        <f>HYPERLINK("https://drive.google.com/open?id=1mhyFUQ_pvAmnVuxxIF1SO8QvAW8-Fdmn","Сертифікат")</f>
        <v>Сертифікат</v>
      </c>
      <c r="M876" s="11" t="s">
        <v>18</v>
      </c>
      <c r="N876" s="10">
        <v>7165.06</v>
      </c>
      <c r="O876" s="10">
        <v>20409.509999999998</v>
      </c>
      <c r="P876" s="10">
        <v>10</v>
      </c>
      <c r="Q876" s="10">
        <v>80.760000000000005</v>
      </c>
      <c r="R876" s="10" t="s">
        <v>57</v>
      </c>
      <c r="S876" s="10">
        <v>116.1</v>
      </c>
      <c r="T876" s="10">
        <v>22.72</v>
      </c>
      <c r="U876" s="29">
        <v>43773</v>
      </c>
      <c r="V876" s="66">
        <v>47425</v>
      </c>
      <c r="W876" s="10" t="s">
        <v>10</v>
      </c>
      <c r="X876" s="10" t="s">
        <v>17</v>
      </c>
    </row>
    <row r="877" spans="1:24" ht="50.25" customHeight="1" x14ac:dyDescent="0.25">
      <c r="A877" s="10">
        <f t="shared" si="0"/>
        <v>874</v>
      </c>
      <c r="B877" s="11" t="s">
        <v>2334</v>
      </c>
      <c r="C877" s="10" t="s">
        <v>814</v>
      </c>
      <c r="D877" s="10" t="s">
        <v>815</v>
      </c>
      <c r="E877" s="10" t="s">
        <v>0</v>
      </c>
      <c r="F877" s="11" t="s">
        <v>2335</v>
      </c>
      <c r="G877" s="11"/>
      <c r="H877" s="11"/>
      <c r="I877" s="11">
        <v>1987</v>
      </c>
      <c r="J877" s="20" t="s">
        <v>1851</v>
      </c>
      <c r="K877" s="15" t="str">
        <f>HYPERLINK("https://drive.google.com/open?id=1Z344y0a5hq6cdYHd97ReByZ5HkZGpmhi","СБ-0088")</f>
        <v>СБ-0088</v>
      </c>
      <c r="L877" s="15" t="str">
        <f>HYPERLINK("https://drive.google.com/open?id=12AhzGdgkWEhF53BiylKRczdieqY1OOs7","Сертифікат")</f>
        <v>Сертифікат</v>
      </c>
      <c r="M877" s="11" t="s">
        <v>26</v>
      </c>
      <c r="N877" s="10">
        <v>6094</v>
      </c>
      <c r="O877" s="10">
        <v>18281</v>
      </c>
      <c r="P877" s="10">
        <v>9</v>
      </c>
      <c r="Q877" s="10">
        <v>280</v>
      </c>
      <c r="R877" s="10" t="s">
        <v>57</v>
      </c>
      <c r="S877" s="10">
        <v>392</v>
      </c>
      <c r="T877" s="10">
        <v>78</v>
      </c>
      <c r="U877" s="29">
        <v>43756</v>
      </c>
      <c r="V877" s="66">
        <v>47408</v>
      </c>
      <c r="W877" s="10" t="s">
        <v>10</v>
      </c>
      <c r="X877" s="10" t="s">
        <v>17</v>
      </c>
    </row>
    <row r="878" spans="1:24" ht="50.25" customHeight="1" x14ac:dyDescent="0.25">
      <c r="A878" s="10">
        <f t="shared" si="0"/>
        <v>875</v>
      </c>
      <c r="B878" s="11" t="s">
        <v>2336</v>
      </c>
      <c r="C878" s="10" t="s">
        <v>805</v>
      </c>
      <c r="D878" s="10" t="s">
        <v>86</v>
      </c>
      <c r="E878" s="10" t="s">
        <v>2</v>
      </c>
      <c r="F878" s="11" t="s">
        <v>2337</v>
      </c>
      <c r="G878" s="11"/>
      <c r="H878" s="11"/>
      <c r="I878" s="11">
        <v>1991</v>
      </c>
      <c r="J878" s="69" t="s">
        <v>93</v>
      </c>
      <c r="K878" s="15" t="str">
        <f>HYPERLINK("https://drive.google.com/open?id=16knL7rF64EXtCB0-Ch1v5DtfiE2GYjkB","ЕЕ-002-10-18")</f>
        <v>ЕЕ-002-10-18</v>
      </c>
      <c r="L878" s="15" t="str">
        <f>HYPERLINK("https://drive.google.com/open?id=1n3rodp22nVKQIzQxheeYMZsuwQNchYFm","Сертифікат")</f>
        <v>Сертифікат</v>
      </c>
      <c r="M878" s="11" t="s">
        <v>24</v>
      </c>
      <c r="N878" s="10">
        <v>1963.1</v>
      </c>
      <c r="O878" s="10">
        <v>7796.9</v>
      </c>
      <c r="P878" s="10">
        <v>3</v>
      </c>
      <c r="Q878" s="10">
        <v>90.8</v>
      </c>
      <c r="R878" s="10" t="s">
        <v>66</v>
      </c>
      <c r="S878" s="10">
        <v>454</v>
      </c>
      <c r="T878" s="10">
        <v>90</v>
      </c>
      <c r="U878" s="29">
        <v>43770</v>
      </c>
      <c r="V878" s="66">
        <v>47422</v>
      </c>
      <c r="W878" s="10" t="s">
        <v>10</v>
      </c>
      <c r="X878" s="10" t="s">
        <v>17</v>
      </c>
    </row>
    <row r="879" spans="1:24" ht="50.25" customHeight="1" x14ac:dyDescent="0.25">
      <c r="A879" s="10">
        <f t="shared" si="0"/>
        <v>876</v>
      </c>
      <c r="B879" s="11" t="s">
        <v>2338</v>
      </c>
      <c r="C879" s="10" t="s">
        <v>2339</v>
      </c>
      <c r="D879" s="10" t="s">
        <v>247</v>
      </c>
      <c r="E879" s="10" t="s">
        <v>2</v>
      </c>
      <c r="F879" s="11" t="s">
        <v>2340</v>
      </c>
      <c r="G879" s="11"/>
      <c r="H879" s="11"/>
      <c r="I879" s="11" t="s">
        <v>2341</v>
      </c>
      <c r="J879" s="11" t="s">
        <v>2041</v>
      </c>
      <c r="K879" s="15" t="str">
        <f>HYPERLINK("https://drive.google.com/open?id=1Au8E_bZbjxLFzKqIuTi9p7_Ogz2fLbnG","АА000030")</f>
        <v>АА000030</v>
      </c>
      <c r="L879" s="15" t="str">
        <f>HYPERLINK("https://drive.google.com/open?id=1l6cmiWgPkx2jHD5K7wLqsbYTAdfqcMJU","Сертифікат")</f>
        <v>Сертифікат</v>
      </c>
      <c r="M879" s="11" t="s">
        <v>22</v>
      </c>
      <c r="N879" s="10">
        <v>537.1</v>
      </c>
      <c r="O879" s="10">
        <v>1467</v>
      </c>
      <c r="P879" s="10">
        <v>1</v>
      </c>
      <c r="Q879" s="10">
        <v>88.3</v>
      </c>
      <c r="R879" s="10" t="s">
        <v>66</v>
      </c>
      <c r="S879" s="10">
        <v>426.8</v>
      </c>
      <c r="T879" s="10">
        <v>82.1</v>
      </c>
      <c r="U879" s="29">
        <v>43781</v>
      </c>
      <c r="V879" s="66">
        <v>47433</v>
      </c>
      <c r="W879" s="10" t="s">
        <v>13</v>
      </c>
      <c r="X879" s="10" t="s">
        <v>17</v>
      </c>
    </row>
    <row r="880" spans="1:24" ht="50.25" customHeight="1" x14ac:dyDescent="0.25">
      <c r="A880" s="10">
        <f t="shared" si="0"/>
        <v>877</v>
      </c>
      <c r="B880" s="11" t="s">
        <v>2342</v>
      </c>
      <c r="C880" s="10" t="s">
        <v>1142</v>
      </c>
      <c r="D880" s="10" t="s">
        <v>815</v>
      </c>
      <c r="E880" s="10" t="s">
        <v>2</v>
      </c>
      <c r="F880" s="11" t="s">
        <v>2343</v>
      </c>
      <c r="G880" s="11"/>
      <c r="H880" s="11"/>
      <c r="I880" s="11" t="s">
        <v>2344</v>
      </c>
      <c r="J880" s="11" t="s">
        <v>1094</v>
      </c>
      <c r="K880" s="15" t="str">
        <f>HYPERLINK("https://drive.google.com/open?id=1Qlik4TIJLPoTQ6woAYUYpDbbA-PfyWE1","АА000059")</f>
        <v>АА000059</v>
      </c>
      <c r="L880" s="15" t="str">
        <f>HYPERLINK("https://drive.google.com/open?id=1xH_zA2NMN0DhOtPYEn0z1dRIxfYZGcJd","Сертифікат")</f>
        <v>Сертифікат</v>
      </c>
      <c r="M880" s="11" t="s">
        <v>18</v>
      </c>
      <c r="N880" s="10">
        <v>169.3</v>
      </c>
      <c r="O880" s="10">
        <v>541.79999999999995</v>
      </c>
      <c r="P880" s="10">
        <v>1</v>
      </c>
      <c r="Q880" s="10">
        <v>58.7</v>
      </c>
      <c r="R880" s="10" t="s">
        <v>66</v>
      </c>
      <c r="S880" s="10">
        <v>481</v>
      </c>
      <c r="T880" s="10">
        <v>88</v>
      </c>
      <c r="U880" s="29">
        <v>43781</v>
      </c>
      <c r="V880" s="66">
        <v>47433</v>
      </c>
      <c r="W880" s="10" t="s">
        <v>10</v>
      </c>
      <c r="X880" s="10" t="s">
        <v>17</v>
      </c>
    </row>
    <row r="881" spans="1:24" ht="50.25" customHeight="1" x14ac:dyDescent="0.25">
      <c r="A881" s="10">
        <f t="shared" si="0"/>
        <v>878</v>
      </c>
      <c r="B881" s="11" t="s">
        <v>2345</v>
      </c>
      <c r="C881" s="10" t="s">
        <v>243</v>
      </c>
      <c r="D881" s="10" t="s">
        <v>238</v>
      </c>
      <c r="E881" s="10" t="s">
        <v>2</v>
      </c>
      <c r="F881" s="11" t="s">
        <v>2346</v>
      </c>
      <c r="G881" s="11"/>
      <c r="H881" s="11"/>
      <c r="I881" s="11">
        <v>2012</v>
      </c>
      <c r="J881" s="10" t="s">
        <v>2347</v>
      </c>
      <c r="K881" s="51" t="str">
        <f>HYPERLINK("https://drive.google.com/open?id=1tYA6mHoYATC0lpDSlChyx7uxGwMkjZPw","ХПІ-№00009")</f>
        <v>ХПІ-№00009</v>
      </c>
      <c r="L881" s="15" t="str">
        <f>HYPERLINK("https://drive.google.com/open?id=1keJTwtjpui26EynW1WOcqmfVr4w0Sc-6","Сертифікат")</f>
        <v>Сертифікат</v>
      </c>
      <c r="M881" s="11" t="s">
        <v>18</v>
      </c>
      <c r="N881" s="10">
        <v>37003</v>
      </c>
      <c r="O881" s="10">
        <v>188162</v>
      </c>
      <c r="P881" s="10">
        <v>5</v>
      </c>
      <c r="Q881" s="10">
        <v>39.24</v>
      </c>
      <c r="R881" s="10" t="s">
        <v>66</v>
      </c>
      <c r="S881" s="10">
        <v>241.47</v>
      </c>
      <c r="T881" s="10">
        <v>47.47</v>
      </c>
      <c r="U881" s="29">
        <v>43782</v>
      </c>
      <c r="V881" s="66">
        <v>47434</v>
      </c>
      <c r="W881" s="10" t="s">
        <v>13</v>
      </c>
      <c r="X881" s="10" t="s">
        <v>17</v>
      </c>
    </row>
    <row r="882" spans="1:24" ht="50.25" customHeight="1" x14ac:dyDescent="0.25">
      <c r="A882" s="10">
        <f t="shared" si="0"/>
        <v>879</v>
      </c>
      <c r="B882" s="11" t="s">
        <v>2348</v>
      </c>
      <c r="C882" s="47" t="s">
        <v>2349</v>
      </c>
      <c r="D882" s="10" t="s">
        <v>69</v>
      </c>
      <c r="E882" s="10" t="s">
        <v>3</v>
      </c>
      <c r="F882" s="11" t="s">
        <v>1774</v>
      </c>
      <c r="G882" s="11"/>
      <c r="H882" s="11"/>
      <c r="I882" s="11">
        <v>1962</v>
      </c>
      <c r="J882" s="11" t="s">
        <v>2217</v>
      </c>
      <c r="K882" s="15" t="str">
        <f>HYPERLINK("https://drive.google.com/open?id=1OzYN2u1j9VdmpTJ38VYqUYLqHZqnxRmI","АА000118")</f>
        <v>АА000118</v>
      </c>
      <c r="L882" s="15" t="str">
        <f>HYPERLINK("https://drive.google.com/open?id=1Hj-7llxfxsE6ZH26wZp8RQYoX1o_J05C","Сертифікат")</f>
        <v>Сертифікат</v>
      </c>
      <c r="M882" s="11" t="s">
        <v>26</v>
      </c>
      <c r="N882" s="10">
        <v>311.60000000000002</v>
      </c>
      <c r="O882" s="10">
        <v>901</v>
      </c>
      <c r="P882" s="10">
        <v>1</v>
      </c>
      <c r="Q882" s="10">
        <v>197.4</v>
      </c>
      <c r="R882" s="10" t="s">
        <v>66</v>
      </c>
      <c r="S882" s="10">
        <v>665.7</v>
      </c>
      <c r="T882" s="10">
        <v>236.4</v>
      </c>
      <c r="U882" s="29">
        <v>43782</v>
      </c>
      <c r="V882" s="66">
        <v>47434</v>
      </c>
      <c r="W882" s="10" t="s">
        <v>10</v>
      </c>
      <c r="X882" s="10" t="s">
        <v>17</v>
      </c>
    </row>
    <row r="883" spans="1:24" ht="50.25" customHeight="1" x14ac:dyDescent="0.25">
      <c r="A883" s="10">
        <f t="shared" si="0"/>
        <v>880</v>
      </c>
      <c r="B883" s="11" t="s">
        <v>2350</v>
      </c>
      <c r="C883" s="10" t="s">
        <v>345</v>
      </c>
      <c r="D883" s="10" t="s">
        <v>79</v>
      </c>
      <c r="E883" s="10" t="s">
        <v>0</v>
      </c>
      <c r="F883" s="11" t="s">
        <v>2013</v>
      </c>
      <c r="G883" s="11"/>
      <c r="H883" s="11"/>
      <c r="I883" s="11" t="s">
        <v>2351</v>
      </c>
      <c r="J883" s="70" t="s">
        <v>642</v>
      </c>
      <c r="K883" s="15" t="s">
        <v>643</v>
      </c>
      <c r="L883" s="15" t="str">
        <f>HYPERLINK("https://drive.google.com/open?id=14jvqgHw1z8Ux864WcbG0cQYdY5J-KomF","Сертифікат")</f>
        <v>Сертифікат</v>
      </c>
      <c r="M883" s="11" t="s">
        <v>22</v>
      </c>
      <c r="N883" s="10">
        <v>4716</v>
      </c>
      <c r="O883" s="10">
        <v>13309</v>
      </c>
      <c r="P883" s="10">
        <v>9</v>
      </c>
      <c r="Q883" s="10">
        <v>128.6</v>
      </c>
      <c r="R883" s="10" t="s">
        <v>57</v>
      </c>
      <c r="S883" s="10">
        <v>170</v>
      </c>
      <c r="T883" s="10">
        <v>33</v>
      </c>
      <c r="U883" s="29">
        <v>43781</v>
      </c>
      <c r="V883" s="66">
        <v>47433</v>
      </c>
      <c r="W883" s="10" t="s">
        <v>13</v>
      </c>
      <c r="X883" s="10" t="s">
        <v>17</v>
      </c>
    </row>
    <row r="884" spans="1:24" ht="50.25" customHeight="1" x14ac:dyDescent="0.25">
      <c r="A884" s="10">
        <f t="shared" si="0"/>
        <v>881</v>
      </c>
      <c r="B884" s="11" t="s">
        <v>2352</v>
      </c>
      <c r="C884" s="52" t="s">
        <v>68</v>
      </c>
      <c r="D884" s="10" t="s">
        <v>69</v>
      </c>
      <c r="E884" s="10" t="s">
        <v>0</v>
      </c>
      <c r="F884" s="11" t="s">
        <v>1572</v>
      </c>
      <c r="G884" s="11"/>
      <c r="H884" s="11"/>
      <c r="I884" s="11" t="s">
        <v>2353</v>
      </c>
      <c r="J884" s="11" t="s">
        <v>2354</v>
      </c>
      <c r="K884" s="15" t="s">
        <v>2355</v>
      </c>
      <c r="L884" s="15" t="str">
        <f>HYPERLINK("https://drive.google.com/open?id=1vPf213FMCqU6ys5YAQw6s4VSo7qKplna","Сертифікат")</f>
        <v>Сертифікат</v>
      </c>
      <c r="M884" s="11" t="s">
        <v>22</v>
      </c>
      <c r="N884" s="10">
        <v>2062.4</v>
      </c>
      <c r="O884" s="10">
        <v>6032.5</v>
      </c>
      <c r="P884" s="10">
        <v>4</v>
      </c>
      <c r="Q884" s="10">
        <v>129.19999999999999</v>
      </c>
      <c r="R884" s="10" t="s">
        <v>66</v>
      </c>
      <c r="S884" s="10">
        <v>143.4</v>
      </c>
      <c r="T884" s="10">
        <v>28.6</v>
      </c>
      <c r="U884" s="66">
        <v>43777</v>
      </c>
      <c r="V884" s="66">
        <v>47429</v>
      </c>
      <c r="W884" s="10" t="s">
        <v>13</v>
      </c>
      <c r="X884" s="10" t="s">
        <v>17</v>
      </c>
    </row>
    <row r="885" spans="1:24" ht="50.25" customHeight="1" x14ac:dyDescent="0.25">
      <c r="A885" s="10">
        <f t="shared" si="0"/>
        <v>882</v>
      </c>
      <c r="B885" s="11" t="s">
        <v>2356</v>
      </c>
      <c r="C885" s="47" t="s">
        <v>2357</v>
      </c>
      <c r="D885" s="52" t="s">
        <v>86</v>
      </c>
      <c r="E885" s="10" t="s">
        <v>2</v>
      </c>
      <c r="F885" s="11" t="s">
        <v>2358</v>
      </c>
      <c r="G885" s="11"/>
      <c r="H885" s="11"/>
      <c r="I885" s="11">
        <v>1968</v>
      </c>
      <c r="J885" s="27" t="s">
        <v>93</v>
      </c>
      <c r="K885" s="15" t="str">
        <f>HYPERLINK("https://drive.google.com/open?id=16knL7rF64EXtCB0-Ch1v5DtfiE2GYjkB","ЕЕ-002-10-18 ")</f>
        <v xml:space="preserve">ЕЕ-002-10-18 </v>
      </c>
      <c r="L885" s="15" t="str">
        <f>HYPERLINK("https://drive.google.com/open?id=10Iow1OQPDQQp9LsCNHAxKPRMARW_GafR","Сертифікат")</f>
        <v>Сертифікат</v>
      </c>
      <c r="M885" s="11" t="s">
        <v>26</v>
      </c>
      <c r="N885" s="10">
        <v>1124.4000000000001</v>
      </c>
      <c r="O885" s="10">
        <v>3831.1</v>
      </c>
      <c r="P885" s="10">
        <v>2</v>
      </c>
      <c r="Q885" s="10">
        <v>147.6</v>
      </c>
      <c r="R885" s="10" t="s">
        <v>66</v>
      </c>
      <c r="S885" s="10">
        <v>712</v>
      </c>
      <c r="T885" s="10">
        <v>141</v>
      </c>
      <c r="U885" s="66">
        <v>43774</v>
      </c>
      <c r="V885" s="66">
        <v>43773</v>
      </c>
      <c r="W885" s="10" t="s">
        <v>10</v>
      </c>
      <c r="X885" s="10" t="s">
        <v>17</v>
      </c>
    </row>
    <row r="886" spans="1:24" ht="50.25" customHeight="1" x14ac:dyDescent="0.25">
      <c r="A886" s="10">
        <f t="shared" si="0"/>
        <v>883</v>
      </c>
      <c r="B886" s="11" t="s">
        <v>2359</v>
      </c>
      <c r="C886" s="10" t="s">
        <v>2360</v>
      </c>
      <c r="D886" s="10" t="s">
        <v>571</v>
      </c>
      <c r="E886" s="10" t="s">
        <v>2</v>
      </c>
      <c r="F886" s="11" t="s">
        <v>2361</v>
      </c>
      <c r="G886" s="11"/>
      <c r="H886" s="11"/>
      <c r="I886" s="11">
        <v>1975</v>
      </c>
      <c r="J886" s="11" t="s">
        <v>2362</v>
      </c>
      <c r="K886" s="15" t="str">
        <f>HYPERLINK("https://drive.google.com/open?id=10cUP7WQr3hkukDf6Y93gU9vyhCgnhGOX","ЕМ 0001-12-18")</f>
        <v>ЕМ 0001-12-18</v>
      </c>
      <c r="L886" s="15" t="str">
        <f>HYPERLINK("https://drive.google.com/open?id=1fULzPlmYDrMcZzoVJj_dzIgTDBw8dZ4c","Сертифікат")</f>
        <v>Сертифікат</v>
      </c>
      <c r="M886" s="11" t="s">
        <v>20</v>
      </c>
      <c r="N886" s="10">
        <v>1066.32</v>
      </c>
      <c r="O886" s="10">
        <v>3281.49</v>
      </c>
      <c r="P886" s="10">
        <v>2</v>
      </c>
      <c r="Q886" s="10">
        <v>70.34</v>
      </c>
      <c r="R886" s="10" t="s">
        <v>66</v>
      </c>
      <c r="S886" s="10">
        <v>262.67</v>
      </c>
      <c r="T886" s="10">
        <v>51.98</v>
      </c>
      <c r="U886" s="29">
        <v>43758</v>
      </c>
      <c r="V886" s="66">
        <v>47410</v>
      </c>
      <c r="W886" s="10" t="s">
        <v>10</v>
      </c>
      <c r="X886" s="10" t="s">
        <v>17</v>
      </c>
    </row>
    <row r="887" spans="1:24" ht="50.25" customHeight="1" x14ac:dyDescent="0.25">
      <c r="A887" s="10">
        <f t="shared" si="0"/>
        <v>884</v>
      </c>
      <c r="B887" s="11" t="s">
        <v>2363</v>
      </c>
      <c r="C887" s="10" t="s">
        <v>1145</v>
      </c>
      <c r="D887" s="10" t="s">
        <v>1295</v>
      </c>
      <c r="E887" s="10" t="s">
        <v>5</v>
      </c>
      <c r="F887" s="11" t="s">
        <v>2364</v>
      </c>
      <c r="G887" s="11"/>
      <c r="H887" s="11"/>
      <c r="I887" s="11" t="s">
        <v>2365</v>
      </c>
      <c r="J887" s="11" t="s">
        <v>1660</v>
      </c>
      <c r="K887" s="15" t="str">
        <f>HYPERLINK("https://drive.google.com/open?id=1oLEtNwc-cHUiCjT6H-8zpZIM41iqf7Hj","ХМ 02071234/001")</f>
        <v>ХМ 02071234/001</v>
      </c>
      <c r="L887" s="15" t="str">
        <f>HYPERLINK("https://drive.google.com/open?id=1BWstnb4-xy_Xj9S98twN2UZ9yGF6R40L","Сертифікат")</f>
        <v>Сертифікат</v>
      </c>
      <c r="M887" s="11" t="s">
        <v>15</v>
      </c>
      <c r="N887" s="10">
        <v>337.09</v>
      </c>
      <c r="O887" s="10">
        <v>1264.8499999999999</v>
      </c>
      <c r="P887" s="10">
        <v>1</v>
      </c>
      <c r="Q887" s="10">
        <v>47.11</v>
      </c>
      <c r="R887" s="10" t="s">
        <v>66</v>
      </c>
      <c r="S887" s="10">
        <v>421.95</v>
      </c>
      <c r="T887" s="10">
        <v>77.95</v>
      </c>
      <c r="U887" s="29">
        <v>43782</v>
      </c>
      <c r="V887" s="66">
        <v>47434</v>
      </c>
      <c r="W887" s="10" t="s">
        <v>13</v>
      </c>
      <c r="X887" s="10" t="s">
        <v>17</v>
      </c>
    </row>
    <row r="888" spans="1:24" ht="50.25" customHeight="1" x14ac:dyDescent="0.25">
      <c r="A888" s="10">
        <f t="shared" si="0"/>
        <v>885</v>
      </c>
      <c r="B888" s="11" t="s">
        <v>2366</v>
      </c>
      <c r="C888" s="10" t="s">
        <v>85</v>
      </c>
      <c r="D888" s="10" t="s">
        <v>86</v>
      </c>
      <c r="E888" s="10" t="s">
        <v>0</v>
      </c>
      <c r="F888" s="11" t="s">
        <v>2367</v>
      </c>
      <c r="G888" s="11"/>
      <c r="H888" s="11"/>
      <c r="I888" s="11">
        <v>2019</v>
      </c>
      <c r="J888" s="11" t="s">
        <v>1686</v>
      </c>
      <c r="K888" s="15" t="str">
        <f>HYPERLINK("https://drive.google.com/open?id=1kcSobogn-MfTmwbIlnCLOKwOxGp89q3N","ЕЕ 00031")</f>
        <v>ЕЕ 00031</v>
      </c>
      <c r="L888" s="15" t="str">
        <f>HYPERLINK("https://drive.google.com/open?id=1qiN9W2JZasL5bdQ7-mvDwYwK4mJ9kqVc","Сертифікат")</f>
        <v>Сертифікат</v>
      </c>
      <c r="M888" s="11" t="s">
        <v>22</v>
      </c>
      <c r="N888" s="10">
        <v>12927.8</v>
      </c>
      <c r="O888" s="10">
        <v>38615.5</v>
      </c>
      <c r="P888" s="10">
        <v>15</v>
      </c>
      <c r="Q888" s="10">
        <v>125.7</v>
      </c>
      <c r="R888" s="10" t="s">
        <v>57</v>
      </c>
      <c r="S888" s="10">
        <v>183</v>
      </c>
      <c r="T888" s="10">
        <v>35.799999999999997</v>
      </c>
      <c r="U888" s="29">
        <v>43781</v>
      </c>
      <c r="V888" s="66">
        <v>47433</v>
      </c>
      <c r="W888" s="10" t="s">
        <v>13</v>
      </c>
      <c r="X888" s="10" t="s">
        <v>17</v>
      </c>
    </row>
    <row r="889" spans="1:24" ht="50.25" customHeight="1" x14ac:dyDescent="0.25">
      <c r="A889" s="10">
        <f t="shared" si="0"/>
        <v>886</v>
      </c>
      <c r="B889" s="11" t="s">
        <v>2368</v>
      </c>
      <c r="C889" s="10" t="s">
        <v>52</v>
      </c>
      <c r="D889" s="10" t="s">
        <v>52</v>
      </c>
      <c r="E889" s="10" t="s">
        <v>7</v>
      </c>
      <c r="F889" s="11" t="s">
        <v>2369</v>
      </c>
      <c r="G889" s="11"/>
      <c r="H889" s="11"/>
      <c r="I889" s="11" t="s">
        <v>836</v>
      </c>
      <c r="J889" s="11" t="s">
        <v>2370</v>
      </c>
      <c r="K889" s="15" t="str">
        <f>HYPERLINK("https://drive.google.com/open?id=1S_mRHIaYb8zWMnSOoNl9Y_4r6M6YwqUV","ЕЕ 00039")</f>
        <v>ЕЕ 00039</v>
      </c>
      <c r="L889" s="15" t="str">
        <f>HYPERLINK("https://drive.google.com/open?id=1xCTdS7de71abHIxL7AnmgquOm4GNxESV","Сертифікат")</f>
        <v>Сертифікат</v>
      </c>
      <c r="M889" s="11" t="s">
        <v>15</v>
      </c>
      <c r="N889" s="10">
        <v>125448.9</v>
      </c>
      <c r="O889" s="10">
        <v>1069182.3</v>
      </c>
      <c r="P889" s="10">
        <v>12</v>
      </c>
      <c r="Q889" s="10">
        <v>26.99</v>
      </c>
      <c r="R889" s="10" t="s">
        <v>66</v>
      </c>
      <c r="S889" s="10">
        <v>429.35</v>
      </c>
      <c r="T889" s="10">
        <v>82.73</v>
      </c>
      <c r="U889" s="29">
        <v>43780</v>
      </c>
      <c r="V889" s="66">
        <v>47432</v>
      </c>
      <c r="W889" s="10" t="s">
        <v>13</v>
      </c>
      <c r="X889" s="10" t="s">
        <v>17</v>
      </c>
    </row>
    <row r="890" spans="1:24" ht="50.25" customHeight="1" x14ac:dyDescent="0.25">
      <c r="A890" s="10">
        <f t="shared" si="0"/>
        <v>887</v>
      </c>
      <c r="B890" s="11" t="s">
        <v>2371</v>
      </c>
      <c r="C890" s="10" t="s">
        <v>2372</v>
      </c>
      <c r="D890" s="10" t="s">
        <v>442</v>
      </c>
      <c r="E890" s="10" t="s">
        <v>3</v>
      </c>
      <c r="F890" s="11" t="s">
        <v>2373</v>
      </c>
      <c r="G890" s="11"/>
      <c r="H890" s="11"/>
      <c r="I890" s="11" t="s">
        <v>2374</v>
      </c>
      <c r="J890" s="11" t="s">
        <v>2375</v>
      </c>
      <c r="K890" s="15" t="str">
        <f>HYPERLINK("https://drive.google.com/open?id=1h3wLwUYHwf857lwScZLOmOLIVIxXl176","ОРІ-АВ00004")</f>
        <v>ОРІ-АВ00004</v>
      </c>
      <c r="L890" s="15" t="str">
        <f>HYPERLINK("https://drive.google.com/open?id=1Ac6k-OBjxCGTIxAcx1-I7UiIl0D6a616","Сертифікат")</f>
        <v>Сертифікат</v>
      </c>
      <c r="M890" s="11" t="s">
        <v>18</v>
      </c>
      <c r="N890" s="10">
        <v>670</v>
      </c>
      <c r="O890" s="10">
        <v>3392</v>
      </c>
      <c r="P890" s="10">
        <v>2</v>
      </c>
      <c r="Q890" s="10">
        <v>32.1</v>
      </c>
      <c r="R890" s="10" t="s">
        <v>66</v>
      </c>
      <c r="S890" s="10">
        <v>252</v>
      </c>
      <c r="T890" s="10">
        <v>49</v>
      </c>
      <c r="U890" s="66">
        <v>43773</v>
      </c>
      <c r="V890" s="66">
        <v>47425</v>
      </c>
      <c r="W890" s="10" t="s">
        <v>13</v>
      </c>
      <c r="X890" s="10" t="s">
        <v>17</v>
      </c>
    </row>
    <row r="891" spans="1:24" ht="50.25" customHeight="1" x14ac:dyDescent="0.25">
      <c r="A891" s="10">
        <f t="shared" si="0"/>
        <v>888</v>
      </c>
      <c r="B891" s="11" t="s">
        <v>2376</v>
      </c>
      <c r="C891" s="10"/>
      <c r="D891" s="10" t="s">
        <v>69</v>
      </c>
      <c r="E891" s="10" t="s">
        <v>5</v>
      </c>
      <c r="F891" s="11" t="s">
        <v>2377</v>
      </c>
      <c r="G891" s="11"/>
      <c r="H891" s="11"/>
      <c r="I891" s="11" t="s">
        <v>2378</v>
      </c>
      <c r="J891" s="11" t="s">
        <v>609</v>
      </c>
      <c r="K891" s="15" t="str">
        <f>HYPERLINK("https://drive.google.com/open?id=1MmGP6rtYcZwVyIqDA-ykUrezieQsOMPg","ОД №000024")</f>
        <v>ОД №000024</v>
      </c>
      <c r="L891" s="15" t="str">
        <f>HYPERLINK("https://drive.google.com/open?id=17Isq64Gj6-vvEWG5FOq2gIQnafo20yIq","Сертифікат")</f>
        <v>Сертифікат</v>
      </c>
      <c r="M891" s="11" t="s">
        <v>18</v>
      </c>
      <c r="N891" s="10">
        <v>4549.12</v>
      </c>
      <c r="O891" s="10">
        <v>14865</v>
      </c>
      <c r="P891" s="10">
        <v>3</v>
      </c>
      <c r="Q891" s="10">
        <v>52.5</v>
      </c>
      <c r="R891" s="10" t="s">
        <v>66</v>
      </c>
      <c r="S891" s="10">
        <v>232.3</v>
      </c>
      <c r="T891" s="10">
        <v>42.9</v>
      </c>
      <c r="U891" s="66">
        <v>43769</v>
      </c>
      <c r="V891" s="66">
        <v>47421</v>
      </c>
      <c r="W891" s="10" t="s">
        <v>13</v>
      </c>
      <c r="X891" s="10" t="s">
        <v>17</v>
      </c>
    </row>
    <row r="892" spans="1:24" ht="50.25" customHeight="1" x14ac:dyDescent="0.25">
      <c r="A892" s="10">
        <f t="shared" si="0"/>
        <v>889</v>
      </c>
      <c r="B892" s="11" t="s">
        <v>2379</v>
      </c>
      <c r="C892" s="10" t="s">
        <v>2380</v>
      </c>
      <c r="D892" s="10" t="s">
        <v>69</v>
      </c>
      <c r="E892" s="10" t="s">
        <v>2</v>
      </c>
      <c r="F892" s="11" t="s">
        <v>2381</v>
      </c>
      <c r="G892" s="11"/>
      <c r="H892" s="11"/>
      <c r="I892" s="11">
        <v>1936</v>
      </c>
      <c r="J892" s="11" t="s">
        <v>291</v>
      </c>
      <c r="K892" s="15" t="str">
        <f>HYPERLINK("https://drive.google.com/open?id=1CRH6LURjaDoC4uy7Pq0XsMibLnne0lta","АА 000024")</f>
        <v>АА 000024</v>
      </c>
      <c r="L892" s="15" t="str">
        <f>HYPERLINK("https://drive.google.com/open?id=1kcAyAyx_w6kk-0MQ9CdZZelkibpW86xi","Сертифікат")</f>
        <v>Сертифікат</v>
      </c>
      <c r="M892" s="11" t="s">
        <v>26</v>
      </c>
      <c r="N892" s="10">
        <v>566</v>
      </c>
      <c r="O892" s="10">
        <v>1839.5</v>
      </c>
      <c r="P892" s="10">
        <v>2</v>
      </c>
      <c r="Q892" s="10">
        <v>112.86</v>
      </c>
      <c r="R892" s="10" t="s">
        <v>66</v>
      </c>
      <c r="S892" s="10">
        <v>410.24</v>
      </c>
      <c r="T892" s="10">
        <v>45.18</v>
      </c>
      <c r="U892" s="29">
        <v>43783</v>
      </c>
      <c r="V892" s="66">
        <v>47435</v>
      </c>
      <c r="W892" s="10" t="s">
        <v>10</v>
      </c>
      <c r="X892" s="10" t="s">
        <v>17</v>
      </c>
    </row>
    <row r="893" spans="1:24" ht="50.25" customHeight="1" x14ac:dyDescent="0.25">
      <c r="A893" s="10">
        <f t="shared" si="0"/>
        <v>890</v>
      </c>
      <c r="B893" s="11" t="s">
        <v>2382</v>
      </c>
      <c r="C893" s="47" t="s">
        <v>85</v>
      </c>
      <c r="D893" s="52" t="s">
        <v>86</v>
      </c>
      <c r="E893" s="10" t="s">
        <v>0</v>
      </c>
      <c r="F893" s="11" t="s">
        <v>2125</v>
      </c>
      <c r="G893" s="11"/>
      <c r="H893" s="11"/>
      <c r="I893" s="11">
        <v>1976</v>
      </c>
      <c r="J893" s="11" t="s">
        <v>64</v>
      </c>
      <c r="K893" s="15" t="str">
        <f>HYPERLINK("https://drive.google.com/open?id=1-fr_zsf-7fSXhRxegEztRfDKVGALmS4z","АА000004")</f>
        <v>АА000004</v>
      </c>
      <c r="L893" s="15" t="str">
        <f>HYPERLINK("https://drive.google.com/open?id=1j-utdRQeOCxiMTG5R36XWhX1UWAgZApE","Сертифікат")</f>
        <v>Сертифікат</v>
      </c>
      <c r="M893" s="11" t="s">
        <v>26</v>
      </c>
      <c r="N893" s="10">
        <v>4752</v>
      </c>
      <c r="O893" s="10">
        <v>13186</v>
      </c>
      <c r="P893" s="10">
        <v>9</v>
      </c>
      <c r="Q893" s="10">
        <v>196</v>
      </c>
      <c r="R893" s="10" t="s">
        <v>57</v>
      </c>
      <c r="S893" s="10">
        <v>340</v>
      </c>
      <c r="T893" s="10">
        <v>66.5</v>
      </c>
      <c r="U893" s="66">
        <v>43761</v>
      </c>
      <c r="V893" s="66">
        <v>47413</v>
      </c>
      <c r="W893" s="10" t="s">
        <v>10</v>
      </c>
      <c r="X893" s="10" t="s">
        <v>17</v>
      </c>
    </row>
    <row r="894" spans="1:24" ht="50.25" customHeight="1" x14ac:dyDescent="0.25">
      <c r="A894" s="10">
        <f t="shared" si="0"/>
        <v>891</v>
      </c>
      <c r="B894" s="11" t="s">
        <v>2383</v>
      </c>
      <c r="C894" s="52" t="s">
        <v>147</v>
      </c>
      <c r="D894" s="47" t="s">
        <v>148</v>
      </c>
      <c r="E894" s="10" t="s">
        <v>0</v>
      </c>
      <c r="F894" s="11" t="s">
        <v>1084</v>
      </c>
      <c r="G894" s="11"/>
      <c r="H894" s="11"/>
      <c r="I894" s="11" t="s">
        <v>2384</v>
      </c>
      <c r="J894" s="27" t="s">
        <v>732</v>
      </c>
      <c r="K894" s="15" t="str">
        <f>HYPERLINK("https://drive.google.com/open?id=1YmIUNUHq4P-kOoyLjfDDMpvQv5hFDMTd","№ОРІ-АВ00010")</f>
        <v>№ОРІ-АВ00010</v>
      </c>
      <c r="L894" s="15" t="str">
        <f>HYPERLINK("https://drive.google.com/open?id=15Dkpb_FTLSpxKf7ibARfNIpcBN35HPLq","Сертифікат")</f>
        <v>Сертифікат</v>
      </c>
      <c r="M894" s="11" t="s">
        <v>18</v>
      </c>
      <c r="N894" s="10">
        <v>11546.26</v>
      </c>
      <c r="O894" s="10">
        <v>32329.53</v>
      </c>
      <c r="P894" s="10">
        <v>22</v>
      </c>
      <c r="Q894" s="10">
        <v>85.6</v>
      </c>
      <c r="R894" s="10" t="s">
        <v>57</v>
      </c>
      <c r="S894" s="10">
        <v>156</v>
      </c>
      <c r="T894" s="10">
        <v>30</v>
      </c>
      <c r="U894" s="29">
        <v>43783</v>
      </c>
      <c r="V894" s="66">
        <v>47435</v>
      </c>
      <c r="W894" s="10" t="s">
        <v>10</v>
      </c>
      <c r="X894" s="10" t="s">
        <v>17</v>
      </c>
    </row>
    <row r="895" spans="1:24" ht="50.25" customHeight="1" x14ac:dyDescent="0.25">
      <c r="A895" s="10">
        <f t="shared" si="0"/>
        <v>892</v>
      </c>
      <c r="B895" s="11" t="s">
        <v>2385</v>
      </c>
      <c r="C895" s="10" t="s">
        <v>552</v>
      </c>
      <c r="D895" s="10" t="s">
        <v>541</v>
      </c>
      <c r="E895" s="10" t="s">
        <v>2</v>
      </c>
      <c r="F895" s="11" t="s">
        <v>2386</v>
      </c>
      <c r="G895" s="11"/>
      <c r="H895" s="11"/>
      <c r="I895" s="11" t="s">
        <v>689</v>
      </c>
      <c r="J895" s="10" t="s">
        <v>2008</v>
      </c>
      <c r="K895" s="51" t="str">
        <f>HYPERLINK("https://drive.google.com/open?id=1Do6lmdSbyvLLqC0yOLG1tDAG0TFH3W3N","ОД 02071010/0117-19")</f>
        <v>ОД 02071010/0117-19</v>
      </c>
      <c r="L895" s="15" t="str">
        <f>HYPERLINK("https://drive.google.com/open?id=1j8IulDq23bvs4YK9KComVBNftNFyAc_l","Сертифікат")</f>
        <v>Сертифікат</v>
      </c>
      <c r="M895" s="11" t="s">
        <v>15</v>
      </c>
      <c r="N895" s="10">
        <v>1337.5</v>
      </c>
      <c r="O895" s="10">
        <v>4249</v>
      </c>
      <c r="P895" s="10">
        <v>1</v>
      </c>
      <c r="Q895" s="10">
        <v>39.19</v>
      </c>
      <c r="R895" s="10" t="s">
        <v>66</v>
      </c>
      <c r="S895" s="10">
        <v>544.07000000000005</v>
      </c>
      <c r="T895" s="10">
        <v>99.35</v>
      </c>
      <c r="U895" s="29">
        <v>43782</v>
      </c>
      <c r="V895" s="66">
        <v>47434</v>
      </c>
      <c r="W895" s="10" t="s">
        <v>13</v>
      </c>
      <c r="X895" s="10" t="s">
        <v>17</v>
      </c>
    </row>
    <row r="896" spans="1:24" ht="50.25" customHeight="1" x14ac:dyDescent="0.25">
      <c r="A896" s="10">
        <f t="shared" si="0"/>
        <v>893</v>
      </c>
      <c r="B896" s="11" t="s">
        <v>2387</v>
      </c>
      <c r="C896" s="10" t="s">
        <v>2388</v>
      </c>
      <c r="D896" s="10" t="s">
        <v>148</v>
      </c>
      <c r="E896" s="10" t="s">
        <v>0</v>
      </c>
      <c r="F896" s="11" t="s">
        <v>2389</v>
      </c>
      <c r="G896" s="11"/>
      <c r="H896" s="11"/>
      <c r="I896" s="11" t="s">
        <v>836</v>
      </c>
      <c r="J896" s="11" t="s">
        <v>2041</v>
      </c>
      <c r="K896" s="15" t="str">
        <f>HYPERLINK("https://drive.google.com/open?id=1Au8E_bZbjxLFzKqIuTi9p7_Ogz2fLbnG","АА000030")</f>
        <v>АА000030</v>
      </c>
      <c r="L896" s="15" t="str">
        <f>HYPERLINK("https://drive.google.com/open?id=1uKENVWGKeXhFRrHTvL9A9YGbygA9IFPF","Сертифікат")</f>
        <v>Сертифікат</v>
      </c>
      <c r="M896" s="11" t="s">
        <v>18</v>
      </c>
      <c r="N896" s="10">
        <v>11771.3</v>
      </c>
      <c r="O896" s="10">
        <v>35719</v>
      </c>
      <c r="P896" s="10">
        <v>17</v>
      </c>
      <c r="Q896" s="10">
        <v>85.6</v>
      </c>
      <c r="R896" s="10" t="s">
        <v>57</v>
      </c>
      <c r="S896" s="10">
        <v>178.1</v>
      </c>
      <c r="T896" s="10">
        <v>33.4</v>
      </c>
      <c r="U896" s="66">
        <v>43783</v>
      </c>
      <c r="V896" s="66">
        <v>47435</v>
      </c>
      <c r="W896" s="10" t="s">
        <v>10</v>
      </c>
      <c r="X896" s="10" t="s">
        <v>17</v>
      </c>
    </row>
    <row r="897" spans="1:24" ht="50.25" customHeight="1" x14ac:dyDescent="0.25">
      <c r="A897" s="10">
        <f t="shared" si="0"/>
        <v>894</v>
      </c>
      <c r="B897" s="11" t="s">
        <v>2390</v>
      </c>
      <c r="C897" s="10" t="s">
        <v>147</v>
      </c>
      <c r="D897" s="10" t="s">
        <v>148</v>
      </c>
      <c r="E897" s="10" t="s">
        <v>0</v>
      </c>
      <c r="F897" s="11" t="s">
        <v>2391</v>
      </c>
      <c r="G897" s="11"/>
      <c r="H897" s="11"/>
      <c r="I897" s="11" t="s">
        <v>2384</v>
      </c>
      <c r="J897" s="27" t="s">
        <v>732</v>
      </c>
      <c r="K897" s="15" t="s">
        <v>2392</v>
      </c>
      <c r="L897" s="15" t="str">
        <f>HYPERLINK("https://drive.google.com/open?id=1bJmaNvzOx3185HzoE-FmQj3jXrWS9umA","Сертифікат")</f>
        <v>Сертифікат</v>
      </c>
      <c r="M897" s="11" t="s">
        <v>18</v>
      </c>
      <c r="N897" s="10">
        <v>11546.26</v>
      </c>
      <c r="O897" s="10">
        <v>32329</v>
      </c>
      <c r="P897" s="10">
        <v>22</v>
      </c>
      <c r="Q897" s="10">
        <v>85.6</v>
      </c>
      <c r="R897" s="10" t="s">
        <v>57</v>
      </c>
      <c r="S897" s="10">
        <v>156</v>
      </c>
      <c r="T897" s="10">
        <v>30</v>
      </c>
      <c r="U897" s="29">
        <v>43783</v>
      </c>
      <c r="V897" s="66">
        <v>47435</v>
      </c>
      <c r="W897" s="10" t="s">
        <v>10</v>
      </c>
      <c r="X897" s="10" t="s">
        <v>17</v>
      </c>
    </row>
    <row r="898" spans="1:24" ht="50.25" customHeight="1" x14ac:dyDescent="0.25">
      <c r="A898" s="10">
        <f t="shared" si="0"/>
        <v>895</v>
      </c>
      <c r="B898" s="11" t="s">
        <v>2393</v>
      </c>
      <c r="C898" s="10" t="s">
        <v>2394</v>
      </c>
      <c r="D898" s="10" t="s">
        <v>783</v>
      </c>
      <c r="E898" s="10" t="s">
        <v>5</v>
      </c>
      <c r="F898" s="11" t="s">
        <v>2395</v>
      </c>
      <c r="G898" s="11"/>
      <c r="H898" s="11"/>
      <c r="I898" s="11">
        <v>1960</v>
      </c>
      <c r="J898" s="11" t="s">
        <v>2217</v>
      </c>
      <c r="K898" s="15" t="str">
        <f>HYPERLINK("https://drive.google.com/open?id=1OzYN2u1j9VdmpTJ38VYqUYLqHZqnxRmI","АА000118")</f>
        <v>АА000118</v>
      </c>
      <c r="L898" s="15" t="str">
        <f>HYPERLINK("https://drive.google.com/open?id=1Rh6ZDDL7odW1Mz9IMAak5uYzaPy-ibPT","Сертифікат")</f>
        <v>Сертифікат</v>
      </c>
      <c r="M898" s="11" t="s">
        <v>22</v>
      </c>
      <c r="N898" s="10">
        <v>321.10000000000002</v>
      </c>
      <c r="O898" s="10">
        <v>1124</v>
      </c>
      <c r="P898" s="10">
        <v>1</v>
      </c>
      <c r="Q898" s="10">
        <v>75.099999999999994</v>
      </c>
      <c r="R898" s="10" t="s">
        <v>66</v>
      </c>
      <c r="S898" s="10">
        <v>415.5</v>
      </c>
      <c r="T898" s="10">
        <v>123.4</v>
      </c>
      <c r="U898" s="29">
        <v>43780</v>
      </c>
      <c r="V898" s="66">
        <v>47432</v>
      </c>
      <c r="W898" s="10" t="s">
        <v>13</v>
      </c>
      <c r="X898" s="10" t="s">
        <v>17</v>
      </c>
    </row>
    <row r="899" spans="1:24" ht="50.25" customHeight="1" x14ac:dyDescent="0.25">
      <c r="A899" s="10">
        <f t="shared" si="0"/>
        <v>896</v>
      </c>
      <c r="B899" s="11" t="s">
        <v>2396</v>
      </c>
      <c r="C899" s="10" t="s">
        <v>68</v>
      </c>
      <c r="D899" s="10" t="s">
        <v>69</v>
      </c>
      <c r="E899" s="10" t="s">
        <v>5</v>
      </c>
      <c r="F899" s="11" t="s">
        <v>2397</v>
      </c>
      <c r="G899" s="11"/>
      <c r="H899" s="11"/>
      <c r="I899" s="11" t="s">
        <v>2398</v>
      </c>
      <c r="J899" s="11" t="s">
        <v>448</v>
      </c>
      <c r="K899" s="15" t="str">
        <f>HYPERLINK("https://drive.google.com/open?id=1YFy-QkXteFQ7Qy3y-cGXRmFusNCMcXqN","ОД №000019")</f>
        <v>ОД №000019</v>
      </c>
      <c r="L899" s="15" t="str">
        <f>HYPERLINK("https://drive.google.com/open?id=15tjXb14gXohENa7bQ_tPRkFwMuaFTF6y","Сертифікат")</f>
        <v>Сертифікат</v>
      </c>
      <c r="M899" s="11" t="s">
        <v>20</v>
      </c>
      <c r="N899" s="10">
        <v>15771</v>
      </c>
      <c r="O899" s="10">
        <v>4932</v>
      </c>
      <c r="P899" s="10">
        <v>1</v>
      </c>
      <c r="Q899" s="10">
        <v>61.9</v>
      </c>
      <c r="R899" s="10" t="s">
        <v>66</v>
      </c>
      <c r="S899" s="10">
        <v>183.9</v>
      </c>
      <c r="T899" s="10">
        <v>34.1</v>
      </c>
      <c r="U899" s="29">
        <v>43770</v>
      </c>
      <c r="V899" s="66">
        <v>47422</v>
      </c>
      <c r="W899" s="10" t="s">
        <v>10</v>
      </c>
      <c r="X899" s="10" t="s">
        <v>17</v>
      </c>
    </row>
    <row r="900" spans="1:24" ht="50.25" customHeight="1" x14ac:dyDescent="0.25">
      <c r="A900" s="10">
        <f t="shared" si="0"/>
        <v>897</v>
      </c>
      <c r="B900" s="11" t="s">
        <v>2399</v>
      </c>
      <c r="C900" s="52" t="s">
        <v>441</v>
      </c>
      <c r="D900" s="10" t="s">
        <v>442</v>
      </c>
      <c r="E900" s="10" t="s">
        <v>0</v>
      </c>
      <c r="F900" s="11" t="s">
        <v>2400</v>
      </c>
      <c r="G900" s="11"/>
      <c r="H900" s="11"/>
      <c r="I900" s="11" t="s">
        <v>836</v>
      </c>
      <c r="J900" s="11" t="s">
        <v>2196</v>
      </c>
      <c r="K900" s="15" t="str">
        <f t="shared" ref="K900:K901" si="62">HYPERLINK("https://drive.google.com/open?id=1meZq0O4N8mvAC0qawgk1YFIoeDD-CyCg","ОД № 000013")</f>
        <v>ОД № 000013</v>
      </c>
      <c r="L900" s="15" t="str">
        <f>HYPERLINK("https://drive.google.com/open?id=1rKhoYeH4kQ4_HK52GP5MDOWeuEcdSs1x","Сертифікат")</f>
        <v>Сертифікат</v>
      </c>
      <c r="M900" s="11" t="s">
        <v>15</v>
      </c>
      <c r="N900" s="10">
        <v>16421.47</v>
      </c>
      <c r="O900" s="10">
        <v>51727.63</v>
      </c>
      <c r="P900" s="10">
        <v>27</v>
      </c>
      <c r="Q900" s="10">
        <v>51.76</v>
      </c>
      <c r="R900" s="10" t="s">
        <v>57</v>
      </c>
      <c r="S900" s="10">
        <v>119.1</v>
      </c>
      <c r="T900" s="10">
        <v>20.3</v>
      </c>
      <c r="U900" s="29">
        <v>43783</v>
      </c>
      <c r="V900" s="66">
        <v>47435</v>
      </c>
      <c r="W900" s="10" t="s">
        <v>10</v>
      </c>
      <c r="X900" s="10" t="s">
        <v>17</v>
      </c>
    </row>
    <row r="901" spans="1:24" ht="50.25" customHeight="1" x14ac:dyDescent="0.25">
      <c r="A901" s="10">
        <f t="shared" si="0"/>
        <v>898</v>
      </c>
      <c r="B901" s="11" t="s">
        <v>2401</v>
      </c>
      <c r="C901" s="47" t="s">
        <v>441</v>
      </c>
      <c r="D901" s="10" t="s">
        <v>442</v>
      </c>
      <c r="E901" s="10" t="s">
        <v>0</v>
      </c>
      <c r="F901" s="11" t="s">
        <v>2402</v>
      </c>
      <c r="G901" s="11"/>
      <c r="H901" s="11"/>
      <c r="I901" s="11" t="s">
        <v>836</v>
      </c>
      <c r="J901" s="11" t="s">
        <v>2196</v>
      </c>
      <c r="K901" s="15" t="str">
        <f t="shared" si="62"/>
        <v>ОД № 000013</v>
      </c>
      <c r="L901" s="48" t="str">
        <f>HYPERLINK("https://drive.google.com/open?id=1vO-FMyjQ1_1XNx2ZWdJJ-1Iu81ns6CQ1","Сертифікат")</f>
        <v>Сертифікат</v>
      </c>
      <c r="M901" s="11" t="s">
        <v>15</v>
      </c>
      <c r="N901" s="10">
        <v>16053</v>
      </c>
      <c r="O901" s="10">
        <v>50566.95</v>
      </c>
      <c r="P901" s="10">
        <v>25</v>
      </c>
      <c r="Q901" s="10">
        <v>53.34</v>
      </c>
      <c r="R901" s="10" t="s">
        <v>57</v>
      </c>
      <c r="S901" s="10">
        <v>121.2</v>
      </c>
      <c r="T901" s="10">
        <v>20.6</v>
      </c>
      <c r="U901" s="29">
        <v>43783</v>
      </c>
      <c r="V901" s="66">
        <v>47435</v>
      </c>
      <c r="W901" s="10" t="s">
        <v>13</v>
      </c>
      <c r="X901" s="10" t="s">
        <v>17</v>
      </c>
    </row>
    <row r="902" spans="1:24" ht="50.25" customHeight="1" x14ac:dyDescent="0.25">
      <c r="A902" s="10">
        <f t="shared" si="0"/>
        <v>899</v>
      </c>
      <c r="B902" s="11" t="s">
        <v>2403</v>
      </c>
      <c r="C902" s="10" t="s">
        <v>2404</v>
      </c>
      <c r="D902" s="10" t="s">
        <v>75</v>
      </c>
      <c r="E902" s="10" t="s">
        <v>2</v>
      </c>
      <c r="F902" s="11" t="s">
        <v>2405</v>
      </c>
      <c r="G902" s="11"/>
      <c r="H902" s="11"/>
      <c r="I902" s="11" t="s">
        <v>2406</v>
      </c>
      <c r="J902" s="11" t="s">
        <v>981</v>
      </c>
      <c r="K902" s="15" t="str">
        <f>HYPERLINK("https://drive.google.com/open?id=1IDQuQux79NT0xtRrkfgG6JOgxOamY1Vd","АА000036 ")</f>
        <v xml:space="preserve">АА000036 </v>
      </c>
      <c r="L902" s="15" t="str">
        <f>HYPERLINK("https://drive.google.com/open?id=1X81xIN5L8KDqku1w8EFh9TYs-axNwjXe","Сертифікат")</f>
        <v>Сертифікат</v>
      </c>
      <c r="M902" s="11" t="s">
        <v>18</v>
      </c>
      <c r="N902" s="10">
        <v>336.9</v>
      </c>
      <c r="O902" s="10">
        <v>1111.8</v>
      </c>
      <c r="P902" s="10">
        <v>1</v>
      </c>
      <c r="Q902" s="10">
        <v>58.7</v>
      </c>
      <c r="R902" s="10" t="s">
        <v>66</v>
      </c>
      <c r="S902" s="10">
        <v>505</v>
      </c>
      <c r="T902" s="10">
        <v>92</v>
      </c>
      <c r="U902" s="29">
        <v>43782</v>
      </c>
      <c r="V902" s="66">
        <v>47434</v>
      </c>
      <c r="W902" s="10" t="s">
        <v>10</v>
      </c>
      <c r="X902" s="10" t="s">
        <v>17</v>
      </c>
    </row>
    <row r="903" spans="1:24" ht="50.25" customHeight="1" x14ac:dyDescent="0.25">
      <c r="A903" s="10">
        <f t="shared" si="0"/>
        <v>900</v>
      </c>
      <c r="B903" s="11" t="s">
        <v>2407</v>
      </c>
      <c r="C903" s="10" t="s">
        <v>258</v>
      </c>
      <c r="D903" s="10" t="s">
        <v>75</v>
      </c>
      <c r="E903" s="10" t="s">
        <v>3</v>
      </c>
      <c r="F903" s="11" t="s">
        <v>2408</v>
      </c>
      <c r="G903" s="11"/>
      <c r="H903" s="11"/>
      <c r="I903" s="11" t="s">
        <v>836</v>
      </c>
      <c r="J903" s="11" t="s">
        <v>642</v>
      </c>
      <c r="K903" s="15" t="str">
        <f>HYPERLINK("https://drive.google.com/open?id=1cxGxrVWMvCNlS6TwjKIt2Jn85z6h57TB","ЕЕ-036-05-19")</f>
        <v>ЕЕ-036-05-19</v>
      </c>
      <c r="L903" s="15" t="str">
        <f>HYPERLINK("https://drive.google.com/open?id=18wqaIubSLSY6CIaQy1CAGls25nq1ZWe4","Сертифікат")</f>
        <v>Сертифікат</v>
      </c>
      <c r="M903" s="11" t="s">
        <v>20</v>
      </c>
      <c r="N903" s="10">
        <v>1366.2</v>
      </c>
      <c r="O903" s="10">
        <v>4408</v>
      </c>
      <c r="P903" s="10">
        <v>3</v>
      </c>
      <c r="Q903" s="10">
        <v>38.700000000000003</v>
      </c>
      <c r="R903" s="10" t="s">
        <v>66</v>
      </c>
      <c r="S903" s="10">
        <v>182</v>
      </c>
      <c r="T903" s="10">
        <v>36</v>
      </c>
      <c r="U903" s="29">
        <v>43782</v>
      </c>
      <c r="V903" s="66">
        <v>47434</v>
      </c>
      <c r="W903" s="10" t="s">
        <v>13</v>
      </c>
      <c r="X903" s="10" t="s">
        <v>17</v>
      </c>
    </row>
    <row r="904" spans="1:24" ht="50.25" customHeight="1" x14ac:dyDescent="0.25">
      <c r="A904" s="10">
        <f t="shared" si="0"/>
        <v>901</v>
      </c>
      <c r="B904" s="11" t="s">
        <v>2409</v>
      </c>
      <c r="C904" s="10" t="s">
        <v>814</v>
      </c>
      <c r="D904" s="10" t="s">
        <v>815</v>
      </c>
      <c r="E904" s="10" t="s">
        <v>4</v>
      </c>
      <c r="F904" s="11" t="s">
        <v>2410</v>
      </c>
      <c r="G904" s="11"/>
      <c r="H904" s="11"/>
      <c r="I904" s="11">
        <v>1984</v>
      </c>
      <c r="J904" s="11" t="s">
        <v>276</v>
      </c>
      <c r="K904" s="15" t="str">
        <f>HYPERLINK("https://drive.google.com/open?id=1xKDm5adVHh4bLbZX5D9_DIs--dpuGyBZ","СБ-0022")</f>
        <v>СБ-0022</v>
      </c>
      <c r="L904" s="15" t="str">
        <f>HYPERLINK("https://drive.google.com/open?id=1fLA1PhVM2oDTgK7delvt_hHJ_iaW41ot","Сертифікат")</f>
        <v>Сертифікат</v>
      </c>
      <c r="M904" s="11" t="s">
        <v>26</v>
      </c>
      <c r="N904" s="10">
        <v>1502</v>
      </c>
      <c r="O904" s="10">
        <v>4506</v>
      </c>
      <c r="P904" s="10">
        <v>2</v>
      </c>
      <c r="Q904" s="10">
        <v>139</v>
      </c>
      <c r="R904" s="10" t="s">
        <v>66</v>
      </c>
      <c r="S904" s="10">
        <v>622</v>
      </c>
      <c r="T904" s="10">
        <v>123</v>
      </c>
      <c r="U904" s="29">
        <v>43782</v>
      </c>
      <c r="V904" s="66">
        <v>47434</v>
      </c>
      <c r="W904" s="10" t="s">
        <v>10</v>
      </c>
      <c r="X904" s="10" t="s">
        <v>17</v>
      </c>
    </row>
    <row r="905" spans="1:24" ht="50.25" customHeight="1" x14ac:dyDescent="0.25">
      <c r="A905" s="10">
        <f t="shared" si="0"/>
        <v>902</v>
      </c>
      <c r="B905" s="11" t="s">
        <v>2411</v>
      </c>
      <c r="C905" s="10" t="s">
        <v>68</v>
      </c>
      <c r="D905" s="10" t="s">
        <v>69</v>
      </c>
      <c r="E905" s="10" t="s">
        <v>0</v>
      </c>
      <c r="F905" s="11" t="s">
        <v>2412</v>
      </c>
      <c r="G905" s="11"/>
      <c r="H905" s="11"/>
      <c r="I905" s="11" t="s">
        <v>836</v>
      </c>
      <c r="J905" s="11" t="s">
        <v>2413</v>
      </c>
      <c r="K905" s="15" t="str">
        <f>HYPERLINK("https://drive.google.com/open?id=1uKL5TfE5Qetliem5ZHeVFP90Jp2TkhNH","АА000070")</f>
        <v>АА000070</v>
      </c>
      <c r="L905" s="15" t="str">
        <f>HYPERLINK("https://drive.google.com/open?id=18XGsXSauGC1BbYQFCq20d7UfMcBO5OMw","Сертифікат")</f>
        <v>Сертифікат</v>
      </c>
      <c r="M905" s="11" t="s">
        <v>18</v>
      </c>
      <c r="N905" s="10">
        <v>9046</v>
      </c>
      <c r="O905" s="10">
        <v>27138</v>
      </c>
      <c r="P905" s="10">
        <v>10</v>
      </c>
      <c r="Q905" s="10">
        <v>83.3</v>
      </c>
      <c r="R905" s="10" t="s">
        <v>57</v>
      </c>
      <c r="S905" s="10">
        <v>150.4</v>
      </c>
      <c r="T905" s="10">
        <v>29</v>
      </c>
      <c r="U905" s="29">
        <v>43781</v>
      </c>
      <c r="V905" s="66">
        <v>47433</v>
      </c>
      <c r="W905" s="10" t="s">
        <v>13</v>
      </c>
      <c r="X905" s="10" t="s">
        <v>17</v>
      </c>
    </row>
    <row r="906" spans="1:24" ht="50.25" customHeight="1" x14ac:dyDescent="0.25">
      <c r="A906" s="10">
        <f t="shared" si="0"/>
        <v>903</v>
      </c>
      <c r="B906" s="11" t="s">
        <v>2414</v>
      </c>
      <c r="C906" s="10" t="s">
        <v>1313</v>
      </c>
      <c r="D906" s="10" t="s">
        <v>442</v>
      </c>
      <c r="E906" s="10" t="s">
        <v>4</v>
      </c>
      <c r="F906" s="11" t="s">
        <v>1314</v>
      </c>
      <c r="G906" s="11"/>
      <c r="H906" s="11"/>
      <c r="I906" s="11">
        <v>1950</v>
      </c>
      <c r="J906" s="11" t="s">
        <v>1740</v>
      </c>
      <c r="K906" s="15" t="str">
        <f>HYPERLINK("https://drive.google.com/open?id=1olNXwN6O7EqQ47IkA2pAkSyR84Ia7OFR","ОД № 000012 ")</f>
        <v xml:space="preserve">ОД № 000012 </v>
      </c>
      <c r="L906" s="15" t="str">
        <f>HYPERLINK("https://drive.google.com/open?id=15STaC0JFseyMeDvYwgN4C8Xdgvca22Nf","Сертифікат")</f>
        <v>Сертифікат</v>
      </c>
      <c r="M906" s="11" t="s">
        <v>20</v>
      </c>
      <c r="N906" s="10">
        <v>363.9</v>
      </c>
      <c r="O906" s="10">
        <v>1056</v>
      </c>
      <c r="P906" s="10">
        <v>1</v>
      </c>
      <c r="Q906" s="10">
        <v>68.319999999999993</v>
      </c>
      <c r="R906" s="10" t="s">
        <v>66</v>
      </c>
      <c r="S906" s="10">
        <v>262.3</v>
      </c>
      <c r="T906" s="10">
        <v>50.1</v>
      </c>
      <c r="U906" s="29">
        <v>43784</v>
      </c>
      <c r="V906" s="66">
        <v>47436</v>
      </c>
      <c r="W906" s="10" t="s">
        <v>13</v>
      </c>
      <c r="X906" s="10" t="s">
        <v>17</v>
      </c>
    </row>
    <row r="907" spans="1:24" ht="50.25" customHeight="1" x14ac:dyDescent="0.25">
      <c r="A907" s="10">
        <f t="shared" si="0"/>
        <v>904</v>
      </c>
      <c r="B907" s="11" t="s">
        <v>2415</v>
      </c>
      <c r="C907" s="10" t="s">
        <v>2416</v>
      </c>
      <c r="D907" s="10" t="s">
        <v>75</v>
      </c>
      <c r="E907" s="10" t="s">
        <v>2</v>
      </c>
      <c r="F907" s="11" t="s">
        <v>2417</v>
      </c>
      <c r="G907" s="11"/>
      <c r="H907" s="11"/>
      <c r="I907" s="11" t="s">
        <v>2418</v>
      </c>
      <c r="J907" s="11" t="s">
        <v>1950</v>
      </c>
      <c r="K907" s="15" t="str">
        <f>HYPERLINK("https://drive.google.com/open?id=1VJQzachoPV6RuQQdauZ7MVrxqnU4ohmt","ЕЕ-004-10-18")</f>
        <v>ЕЕ-004-10-18</v>
      </c>
      <c r="L907" s="15" t="str">
        <f>HYPERLINK("https://drive.google.com/open?id=1o1lRXivJWjpgX_g65R2U6RB8jJRcQUEA","Сертифікат")</f>
        <v>Сертифікат</v>
      </c>
      <c r="M907" s="11" t="s">
        <v>20</v>
      </c>
      <c r="N907" s="10">
        <v>1614.6</v>
      </c>
      <c r="O907" s="10">
        <v>5957.2</v>
      </c>
      <c r="P907" s="10">
        <v>2</v>
      </c>
      <c r="Q907" s="10">
        <v>60.1</v>
      </c>
      <c r="R907" s="10" t="s">
        <v>66</v>
      </c>
      <c r="S907" s="10">
        <v>102.5</v>
      </c>
      <c r="T907" s="10">
        <v>19.5</v>
      </c>
      <c r="U907" s="29">
        <v>43782</v>
      </c>
      <c r="V907" s="66">
        <v>47434</v>
      </c>
      <c r="W907" s="10" t="s">
        <v>10</v>
      </c>
      <c r="X907" s="10" t="s">
        <v>17</v>
      </c>
    </row>
    <row r="908" spans="1:24" ht="50.25" customHeight="1" x14ac:dyDescent="0.25">
      <c r="A908" s="10">
        <f t="shared" si="0"/>
        <v>905</v>
      </c>
      <c r="B908" s="11" t="s">
        <v>2419</v>
      </c>
      <c r="C908" s="10" t="s">
        <v>2420</v>
      </c>
      <c r="D908" s="10" t="s">
        <v>1295</v>
      </c>
      <c r="E908" s="10" t="s">
        <v>5</v>
      </c>
      <c r="F908" s="11" t="s">
        <v>2421</v>
      </c>
      <c r="G908" s="11"/>
      <c r="H908" s="11"/>
      <c r="I908" s="11" t="s">
        <v>2422</v>
      </c>
      <c r="J908" s="11" t="s">
        <v>1660</v>
      </c>
      <c r="K908" s="15" t="str">
        <f>HYPERLINK("https://drive.google.com/open?id=1oLEtNwc-cHUiCjT6H-8zpZIM41iqf7Hj","ХМ 02071234/001")</f>
        <v>ХМ 02071234/001</v>
      </c>
      <c r="L908" s="15" t="str">
        <f>HYPERLINK("https://drive.google.com/open?id=1fmDhwqdp8SnywUKyOfA61JsHJ72BMWoU","Сертифікат")</f>
        <v>Сертифікат</v>
      </c>
      <c r="M908" s="11" t="s">
        <v>15</v>
      </c>
      <c r="N908" s="10">
        <v>1739.76</v>
      </c>
      <c r="O908" s="10">
        <v>5219.28</v>
      </c>
      <c r="P908" s="10">
        <v>3</v>
      </c>
      <c r="Q908" s="10">
        <v>29.88</v>
      </c>
      <c r="R908" s="10" t="s">
        <v>66</v>
      </c>
      <c r="S908" s="10">
        <v>93.48</v>
      </c>
      <c r="T908" s="10">
        <v>17.489999999999998</v>
      </c>
      <c r="U908" s="29">
        <v>43784</v>
      </c>
      <c r="V908" s="66">
        <v>47436</v>
      </c>
      <c r="W908" s="10" t="s">
        <v>13</v>
      </c>
      <c r="X908" s="10" t="s">
        <v>17</v>
      </c>
    </row>
    <row r="909" spans="1:24" ht="50.25" customHeight="1" x14ac:dyDescent="0.25">
      <c r="A909" s="10">
        <f t="shared" si="0"/>
        <v>906</v>
      </c>
      <c r="B909" s="11" t="s">
        <v>2423</v>
      </c>
      <c r="C909" s="10" t="s">
        <v>2424</v>
      </c>
      <c r="D909" s="10" t="s">
        <v>75</v>
      </c>
      <c r="E909" s="10" t="s">
        <v>3</v>
      </c>
      <c r="F909" s="11" t="s">
        <v>2425</v>
      </c>
      <c r="G909" s="11"/>
      <c r="H909" s="11"/>
      <c r="I909" s="11" t="s">
        <v>2426</v>
      </c>
      <c r="J909" s="20" t="s">
        <v>2238</v>
      </c>
      <c r="K909" s="61" t="str">
        <f>HYPERLINK("https://drive.google.com/open?id=1WKM6emkWz3l1_yf5hh7MbwlgQu9-sHyN","СБ-0018")</f>
        <v>СБ-0018</v>
      </c>
      <c r="L909" s="15" t="str">
        <f>HYPERLINK("https://drive.google.com/open?id=12SYLINsSS4q_QSWoiJqUB68d6dXDqCMf","Сертифікат")</f>
        <v>Сертифікат</v>
      </c>
      <c r="M909" s="11" t="s">
        <v>26</v>
      </c>
      <c r="N909" s="10">
        <v>3311.6</v>
      </c>
      <c r="O909" s="10">
        <v>9400</v>
      </c>
      <c r="P909" s="10">
        <v>3</v>
      </c>
      <c r="Q909" s="10">
        <v>76.8</v>
      </c>
      <c r="R909" s="10" t="s">
        <v>66</v>
      </c>
      <c r="S909" s="10">
        <v>320</v>
      </c>
      <c r="T909" s="10">
        <v>77</v>
      </c>
      <c r="U909" s="29">
        <v>43783</v>
      </c>
      <c r="V909" s="66">
        <v>47435</v>
      </c>
      <c r="W909" s="10" t="s">
        <v>10</v>
      </c>
      <c r="X909" s="10" t="s">
        <v>17</v>
      </c>
    </row>
    <row r="910" spans="1:24" ht="50.25" customHeight="1" x14ac:dyDescent="0.25">
      <c r="A910" s="11">
        <f t="shared" ref="A910:A1000" si="63">A909+1</f>
        <v>907</v>
      </c>
      <c r="B910" s="11" t="s">
        <v>2427</v>
      </c>
      <c r="C910" s="10" t="s">
        <v>243</v>
      </c>
      <c r="D910" s="10" t="s">
        <v>238</v>
      </c>
      <c r="E910" s="10" t="s">
        <v>2</v>
      </c>
      <c r="F910" s="11" t="s">
        <v>2428</v>
      </c>
      <c r="G910" s="11"/>
      <c r="H910" s="11"/>
      <c r="I910" s="11">
        <v>1917</v>
      </c>
      <c r="J910" s="11" t="s">
        <v>908</v>
      </c>
      <c r="K910" s="46" t="s">
        <v>909</v>
      </c>
      <c r="L910" s="15" t="str">
        <f>HYPERLINK("https://drive.google.com/open?id=1nWvNQ3hdAo-GbLTx5k5CZfqc0A1mOyiJ","Сертифікат")</f>
        <v>Сертифікат</v>
      </c>
      <c r="M910" s="11" t="s">
        <v>26</v>
      </c>
      <c r="N910" s="10">
        <v>315</v>
      </c>
      <c r="O910" s="10">
        <v>934.79</v>
      </c>
      <c r="P910" s="10">
        <v>2</v>
      </c>
      <c r="Q910" s="10">
        <v>130.13</v>
      </c>
      <c r="R910" s="10" t="s">
        <v>66</v>
      </c>
      <c r="S910" s="10">
        <v>510.4</v>
      </c>
      <c r="T910" s="10">
        <v>100.43</v>
      </c>
      <c r="U910" s="29">
        <v>43784</v>
      </c>
      <c r="V910" s="66">
        <v>47436</v>
      </c>
      <c r="W910" s="10" t="s">
        <v>10</v>
      </c>
      <c r="X910" s="10" t="s">
        <v>17</v>
      </c>
    </row>
    <row r="911" spans="1:24" ht="50.25" customHeight="1" x14ac:dyDescent="0.25">
      <c r="A911" s="11">
        <f t="shared" si="63"/>
        <v>908</v>
      </c>
      <c r="B911" s="11" t="s">
        <v>2430</v>
      </c>
      <c r="C911" s="10" t="s">
        <v>710</v>
      </c>
      <c r="D911" s="10" t="s">
        <v>69</v>
      </c>
      <c r="E911" s="10" t="s">
        <v>0</v>
      </c>
      <c r="F911" s="11" t="s">
        <v>2431</v>
      </c>
      <c r="G911" s="11"/>
      <c r="H911" s="11"/>
      <c r="I911" s="11">
        <v>2019</v>
      </c>
      <c r="J911" s="10" t="s">
        <v>609</v>
      </c>
      <c r="K911" s="15" t="str">
        <f>HYPERLINK("https://drive.google.com/open?id=1MmGP6rtYcZwVyIqDA-ykUrezieQsOMPg","ОД 000024")</f>
        <v>ОД 000024</v>
      </c>
      <c r="L911" s="15" t="str">
        <f>HYPERLINK("https://drive.google.com/open?id=1PCtkhDF7q0Iq9h9uNIKlJk_wfHWJqv22","Сертифікат")</f>
        <v>Сертифікат</v>
      </c>
      <c r="M911" s="11" t="s">
        <v>20</v>
      </c>
      <c r="N911" s="10">
        <v>3762</v>
      </c>
      <c r="O911" s="10">
        <v>10307</v>
      </c>
      <c r="P911" s="10">
        <v>5</v>
      </c>
      <c r="Q911" s="10">
        <v>103.3</v>
      </c>
      <c r="R911" s="10" t="s">
        <v>57</v>
      </c>
      <c r="S911" s="10">
        <v>171.1</v>
      </c>
      <c r="T911" s="10">
        <v>33.200000000000003</v>
      </c>
      <c r="U911" s="29">
        <v>43783</v>
      </c>
      <c r="V911" s="66">
        <v>47435</v>
      </c>
      <c r="W911" s="10" t="s">
        <v>10</v>
      </c>
      <c r="X911" s="10" t="s">
        <v>17</v>
      </c>
    </row>
    <row r="912" spans="1:24" ht="50.25" customHeight="1" x14ac:dyDescent="0.25">
      <c r="A912" s="11">
        <f t="shared" si="63"/>
        <v>909</v>
      </c>
      <c r="B912" s="11" t="s">
        <v>2432</v>
      </c>
      <c r="C912" s="10" t="s">
        <v>52</v>
      </c>
      <c r="D912" s="10" t="s">
        <v>52</v>
      </c>
      <c r="E912" s="10" t="s">
        <v>0</v>
      </c>
      <c r="F912" s="11" t="s">
        <v>2433</v>
      </c>
      <c r="G912" s="11"/>
      <c r="H912" s="11"/>
      <c r="I912" s="11">
        <v>2019</v>
      </c>
      <c r="J912" s="11" t="s">
        <v>1168</v>
      </c>
      <c r="K912" s="15" t="str">
        <f t="shared" ref="K912:K913" si="64">HYPERLINK("https://drive.google.com/open?id=1IAlNZe4csuyp8RH-DTYn3L4-p1-qcHtF","ЕЕ-001-10-18")</f>
        <v>ЕЕ-001-10-18</v>
      </c>
      <c r="L912" s="15" t="str">
        <f>HYPERLINK("https://drive.google.com/open?id=1pMl14gTE8mdBQz1YU4oMO2humiqOO0RI","Сертифікат")</f>
        <v>Сертифікат</v>
      </c>
      <c r="M912" s="11" t="s">
        <v>20</v>
      </c>
      <c r="N912" s="10">
        <v>20228.2</v>
      </c>
      <c r="O912" s="10">
        <v>60608</v>
      </c>
      <c r="P912" s="10">
        <v>25</v>
      </c>
      <c r="Q912" s="10">
        <v>105.6</v>
      </c>
      <c r="R912" s="10" t="s">
        <v>57</v>
      </c>
      <c r="S912" s="10">
        <v>157</v>
      </c>
      <c r="T912" s="10">
        <v>31</v>
      </c>
      <c r="U912" s="29">
        <v>43782</v>
      </c>
      <c r="V912" s="66">
        <v>47434</v>
      </c>
      <c r="W912" s="10" t="s">
        <v>13</v>
      </c>
      <c r="X912" s="10" t="s">
        <v>17</v>
      </c>
    </row>
    <row r="913" spans="1:24" ht="50.25" customHeight="1" x14ac:dyDescent="0.25">
      <c r="A913" s="11">
        <f t="shared" si="63"/>
        <v>910</v>
      </c>
      <c r="B913" s="11" t="s">
        <v>2434</v>
      </c>
      <c r="C913" s="10" t="s">
        <v>52</v>
      </c>
      <c r="D913" s="10" t="s">
        <v>52</v>
      </c>
      <c r="E913" s="10" t="s">
        <v>0</v>
      </c>
      <c r="F913" s="11" t="s">
        <v>2435</v>
      </c>
      <c r="G913" s="11"/>
      <c r="H913" s="11"/>
      <c r="I913" s="11">
        <v>2019</v>
      </c>
      <c r="J913" s="11" t="s">
        <v>1168</v>
      </c>
      <c r="K913" s="15" t="str">
        <f t="shared" si="64"/>
        <v>ЕЕ-001-10-18</v>
      </c>
      <c r="L913" s="15" t="str">
        <f>HYPERLINK("https://drive.google.com/open?id=16caM4e62J_9t7_iF41PPgfomNdPkEVi-","Сертифікат")</f>
        <v>Сертифікат</v>
      </c>
      <c r="M913" s="11" t="s">
        <v>20</v>
      </c>
      <c r="N913" s="10">
        <v>29369.1</v>
      </c>
      <c r="O913" s="10">
        <v>87991</v>
      </c>
      <c r="P913" s="10">
        <v>25</v>
      </c>
      <c r="Q913" s="10">
        <v>108.9</v>
      </c>
      <c r="R913" s="10" t="s">
        <v>57</v>
      </c>
      <c r="S913" s="10">
        <v>161</v>
      </c>
      <c r="T913" s="10">
        <v>31</v>
      </c>
      <c r="U913" s="29">
        <v>43782</v>
      </c>
      <c r="V913" s="66">
        <v>47434</v>
      </c>
      <c r="W913" s="10" t="s">
        <v>13</v>
      </c>
      <c r="X913" s="10" t="s">
        <v>17</v>
      </c>
    </row>
    <row r="914" spans="1:24" ht="50.25" customHeight="1" x14ac:dyDescent="0.25">
      <c r="A914" s="11">
        <f t="shared" si="63"/>
        <v>911</v>
      </c>
      <c r="B914" s="11" t="s">
        <v>2436</v>
      </c>
      <c r="C914" s="10" t="s">
        <v>1145</v>
      </c>
      <c r="D914" s="10" t="s">
        <v>1295</v>
      </c>
      <c r="E914" s="10" t="s">
        <v>0</v>
      </c>
      <c r="F914" s="11" t="s">
        <v>2437</v>
      </c>
      <c r="G914" s="11"/>
      <c r="H914" s="11"/>
      <c r="I914" s="11" t="s">
        <v>1010</v>
      </c>
      <c r="J914" s="11" t="s">
        <v>1660</v>
      </c>
      <c r="K914" s="15" t="str">
        <f>HYPERLINK("https://drive.google.com/open?id=1oLEtNwc-cHUiCjT6H-8zpZIM41iqf7Hj","ХМ 02071234/001")</f>
        <v>ХМ 02071234/001</v>
      </c>
      <c r="L914" s="15" t="str">
        <f>HYPERLINK("https://drive.google.com/open?id=1CkOvSmLXM3aZQePUZIWZASLmCWdJ9jiL","Сертифікат")</f>
        <v>Сертифікат</v>
      </c>
      <c r="M914" s="11" t="s">
        <v>20</v>
      </c>
      <c r="N914" s="10">
        <v>4083.28</v>
      </c>
      <c r="O914" s="10">
        <v>11333.18</v>
      </c>
      <c r="P914" s="10">
        <v>10</v>
      </c>
      <c r="Q914" s="10">
        <v>97.51</v>
      </c>
      <c r="R914" s="10" t="s">
        <v>57</v>
      </c>
      <c r="S914" s="10">
        <v>403.93</v>
      </c>
      <c r="T914" s="10">
        <v>74.95</v>
      </c>
      <c r="U914" s="29">
        <v>43784</v>
      </c>
      <c r="V914" s="66">
        <v>47436</v>
      </c>
      <c r="W914" s="10" t="s">
        <v>13</v>
      </c>
      <c r="X914" s="10" t="s">
        <v>17</v>
      </c>
    </row>
    <row r="915" spans="1:24" ht="50.25" customHeight="1" x14ac:dyDescent="0.25">
      <c r="A915" s="11">
        <f t="shared" si="63"/>
        <v>912</v>
      </c>
      <c r="B915" s="11" t="s">
        <v>2438</v>
      </c>
      <c r="C915" s="10" t="s">
        <v>2439</v>
      </c>
      <c r="D915" s="10" t="s">
        <v>75</v>
      </c>
      <c r="E915" s="10" t="s">
        <v>4</v>
      </c>
      <c r="F915" s="11" t="s">
        <v>2440</v>
      </c>
      <c r="G915" s="11"/>
      <c r="H915" s="11"/>
      <c r="I915" s="11" t="s">
        <v>2441</v>
      </c>
      <c r="J915" s="11" t="s">
        <v>2238</v>
      </c>
      <c r="K915" s="15" t="str">
        <f>HYPERLINK("https://drive.google.com/open?id=1WKM6emkWz3l1_yf5hh7MbwlgQu9-sHyN","СБ-0018")</f>
        <v>СБ-0018</v>
      </c>
      <c r="L915" s="15" t="str">
        <f>HYPERLINK("https://drive.google.com/open?id=1s8uxmVM7NnOCPsNsbN134z6NF78EE4xn","Сертифікат")</f>
        <v>Сертифікат</v>
      </c>
      <c r="M915" s="11" t="s">
        <v>22</v>
      </c>
      <c r="N915" s="10">
        <v>1265</v>
      </c>
      <c r="O915" s="10">
        <v>3428</v>
      </c>
      <c r="P915" s="10">
        <v>2</v>
      </c>
      <c r="Q915" s="10">
        <v>80.7</v>
      </c>
      <c r="R915" s="10" t="s">
        <v>66</v>
      </c>
      <c r="S915" s="10">
        <v>417</v>
      </c>
      <c r="T915" s="10">
        <v>79</v>
      </c>
      <c r="U915" s="29">
        <v>43782</v>
      </c>
      <c r="V915" s="66">
        <v>47434</v>
      </c>
      <c r="W915" s="10" t="s">
        <v>13</v>
      </c>
      <c r="X915" s="10" t="s">
        <v>17</v>
      </c>
    </row>
    <row r="916" spans="1:24" ht="50.25" customHeight="1" x14ac:dyDescent="0.25">
      <c r="A916" s="11">
        <f t="shared" si="63"/>
        <v>913</v>
      </c>
      <c r="B916" s="11" t="s">
        <v>2442</v>
      </c>
      <c r="C916" s="10" t="s">
        <v>359</v>
      </c>
      <c r="D916" s="10" t="s">
        <v>124</v>
      </c>
      <c r="E916" s="10" t="s">
        <v>0</v>
      </c>
      <c r="F916" s="11" t="s">
        <v>2443</v>
      </c>
      <c r="G916" s="11"/>
      <c r="H916" s="11"/>
      <c r="I916" s="11">
        <v>1987</v>
      </c>
      <c r="J916" s="11" t="s">
        <v>432</v>
      </c>
      <c r="K916" s="15" t="str">
        <f>HYPERLINK("https://drive.google.com/open?id=1euBM6QoP56NhYkl2g8T2IRU9qquzh3C9","АА000006")</f>
        <v>АА000006</v>
      </c>
      <c r="L916" s="15" t="str">
        <f>HYPERLINK("https://drive.google.com/open?id=1Ceiz6lo5isET4NkWNfkoapO0sMYUwr2r","Сертифікат")</f>
        <v>Сертифікат</v>
      </c>
      <c r="M916" s="11" t="s">
        <v>26</v>
      </c>
      <c r="N916" s="10">
        <v>7755.5</v>
      </c>
      <c r="O916" s="10">
        <v>22051.9</v>
      </c>
      <c r="P916" s="10">
        <v>9</v>
      </c>
      <c r="Q916" s="10">
        <v>187.25</v>
      </c>
      <c r="R916" s="10" t="s">
        <v>57</v>
      </c>
      <c r="S916" s="10">
        <v>244.8</v>
      </c>
      <c r="T916" s="10">
        <v>48.91</v>
      </c>
      <c r="U916" s="29">
        <v>43781</v>
      </c>
      <c r="V916" s="66">
        <v>47433</v>
      </c>
      <c r="W916" s="10" t="s">
        <v>10</v>
      </c>
      <c r="X916" s="10" t="s">
        <v>17</v>
      </c>
    </row>
    <row r="917" spans="1:24" ht="50.25" customHeight="1" x14ac:dyDescent="0.25">
      <c r="A917" s="11">
        <f t="shared" si="63"/>
        <v>914</v>
      </c>
      <c r="B917" s="11" t="s">
        <v>2444</v>
      </c>
      <c r="C917" s="10" t="s">
        <v>74</v>
      </c>
      <c r="D917" s="10" t="s">
        <v>75</v>
      </c>
      <c r="E917" s="10" t="s">
        <v>0</v>
      </c>
      <c r="F917" s="11" t="s">
        <v>2125</v>
      </c>
      <c r="G917" s="11"/>
      <c r="H917" s="11"/>
      <c r="I917" s="11">
        <v>2019</v>
      </c>
      <c r="J917" s="11" t="s">
        <v>2445</v>
      </c>
      <c r="K917" s="61" t="str">
        <f>HYPERLINK("https://drive.google.com/open?id=1t1U1B-Dcl65fJeefDUPkygcXwkZ4v3nl","АА000018")</f>
        <v>АА000018</v>
      </c>
      <c r="L917" s="15" t="str">
        <f>HYPERLINK("https://drive.google.com/open?id=1TwXNbs49_AmHj_jgTHGJ9Ig73x4IMWF2","Сертифікат")</f>
        <v>Сертифікат</v>
      </c>
      <c r="M917" s="11" t="s">
        <v>20</v>
      </c>
      <c r="N917" s="10">
        <v>4283.08</v>
      </c>
      <c r="O917" s="10">
        <v>12849</v>
      </c>
      <c r="P917" s="10">
        <v>10</v>
      </c>
      <c r="Q917" s="10">
        <v>80.08</v>
      </c>
      <c r="R917" s="10" t="s">
        <v>57</v>
      </c>
      <c r="S917" s="10">
        <v>78.55</v>
      </c>
      <c r="T917" s="10">
        <v>370.09</v>
      </c>
      <c r="U917" s="29">
        <v>43784</v>
      </c>
      <c r="V917" s="66">
        <v>47436</v>
      </c>
      <c r="W917" s="10" t="s">
        <v>13</v>
      </c>
      <c r="X917" s="10" t="s">
        <v>17</v>
      </c>
    </row>
    <row r="918" spans="1:24" ht="50.25" customHeight="1" x14ac:dyDescent="0.25">
      <c r="A918" s="11">
        <f t="shared" si="63"/>
        <v>915</v>
      </c>
      <c r="B918" s="11" t="s">
        <v>2446</v>
      </c>
      <c r="C918" s="10" t="s">
        <v>2447</v>
      </c>
      <c r="D918" s="10" t="s">
        <v>317</v>
      </c>
      <c r="E918" s="10" t="s">
        <v>5</v>
      </c>
      <c r="F918" s="11" t="s">
        <v>2448</v>
      </c>
      <c r="G918" s="11"/>
      <c r="H918" s="11"/>
      <c r="I918" s="11"/>
      <c r="J918" s="26" t="s">
        <v>2217</v>
      </c>
      <c r="K918" s="15" t="str">
        <f>HYPERLINK("https://drive.google.com/open?id=1OzYN2u1j9VdmpTJ38VYqUYLqHZqnxRmI","АА000118")</f>
        <v>АА000118</v>
      </c>
      <c r="L918" s="15" t="str">
        <f>HYPERLINK("https://drive.google.com/open?id=1HVFzYtHHAEswBbEgFzFjTHjkZk6dsEci","Сертифікат")</f>
        <v>Сертифікат</v>
      </c>
      <c r="M918" s="11" t="s">
        <v>26</v>
      </c>
      <c r="N918" s="10">
        <v>1208.8</v>
      </c>
      <c r="O918" s="10">
        <v>3505</v>
      </c>
      <c r="P918" s="10">
        <v>3</v>
      </c>
      <c r="Q918" s="10">
        <v>186.3</v>
      </c>
      <c r="R918" s="10" t="s">
        <v>66</v>
      </c>
      <c r="S918" s="10">
        <v>727.2</v>
      </c>
      <c r="T918" s="10">
        <v>211.7</v>
      </c>
      <c r="U918" s="29">
        <v>43787</v>
      </c>
      <c r="V918" s="66">
        <v>47439</v>
      </c>
      <c r="W918" s="10" t="s">
        <v>10</v>
      </c>
      <c r="X918" s="10" t="s">
        <v>17</v>
      </c>
    </row>
    <row r="919" spans="1:24" ht="50.25" customHeight="1" x14ac:dyDescent="0.25">
      <c r="A919" s="11">
        <f t="shared" si="63"/>
        <v>916</v>
      </c>
      <c r="B919" s="11" t="s">
        <v>2449</v>
      </c>
      <c r="C919" s="10" t="s">
        <v>1348</v>
      </c>
      <c r="D919" s="10" t="s">
        <v>69</v>
      </c>
      <c r="E919" s="10" t="s">
        <v>2</v>
      </c>
      <c r="F919" s="11" t="s">
        <v>2450</v>
      </c>
      <c r="G919" s="11"/>
      <c r="H919" s="11"/>
      <c r="I919" s="11">
        <v>2019</v>
      </c>
      <c r="J919" s="11" t="s">
        <v>438</v>
      </c>
      <c r="K919" s="15" t="str">
        <f>HYPERLINK("https://drive.google.com/open?id=1pQzRPvBj_zLUQF1x327A_Ozsrhj7_hqF","ОД 02071010/0994-18")</f>
        <v>ОД 02071010/0994-18</v>
      </c>
      <c r="L919" s="15" t="str">
        <f>HYPERLINK("https://drive.google.com/open?id=1Dxy6rt5VRa8KQo-2N--ArxGSRK15AHvJ","Сертифікат")</f>
        <v>Сертифікат</v>
      </c>
      <c r="M919" s="11" t="s">
        <v>18</v>
      </c>
      <c r="N919" s="10">
        <v>493.6</v>
      </c>
      <c r="O919" s="10">
        <v>1851</v>
      </c>
      <c r="P919" s="10">
        <v>2</v>
      </c>
      <c r="Q919" s="10">
        <v>57.6</v>
      </c>
      <c r="R919" s="10" t="s">
        <v>66</v>
      </c>
      <c r="S919" s="10">
        <v>686.4</v>
      </c>
      <c r="T919" s="10">
        <v>125.3</v>
      </c>
      <c r="U919" s="29">
        <v>43784</v>
      </c>
      <c r="V919" s="66">
        <v>47436</v>
      </c>
      <c r="W919" s="10" t="s">
        <v>13</v>
      </c>
      <c r="X919" s="10" t="s">
        <v>17</v>
      </c>
    </row>
    <row r="920" spans="1:24" ht="50.25" customHeight="1" x14ac:dyDescent="0.25">
      <c r="A920" s="11">
        <f t="shared" si="63"/>
        <v>917</v>
      </c>
      <c r="B920" s="11" t="s">
        <v>2451</v>
      </c>
      <c r="C920" s="10" t="s">
        <v>517</v>
      </c>
      <c r="D920" s="10" t="s">
        <v>518</v>
      </c>
      <c r="E920" s="10" t="s">
        <v>0</v>
      </c>
      <c r="F920" s="11" t="s">
        <v>2452</v>
      </c>
      <c r="G920" s="11"/>
      <c r="H920" s="11"/>
      <c r="I920" s="11" t="s">
        <v>1010</v>
      </c>
      <c r="J920" s="11" t="s">
        <v>2217</v>
      </c>
      <c r="K920" s="15" t="str">
        <f>HYPERLINK("https://drive.google.com/open?id=1OzYN2u1j9VdmpTJ38VYqUYLqHZqnxRmI","АА000118")</f>
        <v>АА000118</v>
      </c>
      <c r="L920" s="15" t="str">
        <f>HYPERLINK("https://drive.google.com/open?id=1rUWewmbgi96gyH5ntq1KHFno9lfcf3ZK","Сертифікат")</f>
        <v>Сертифікат</v>
      </c>
      <c r="M920" s="11" t="s">
        <v>18</v>
      </c>
      <c r="N920" s="10">
        <v>5406.9</v>
      </c>
      <c r="O920" s="10">
        <v>16176</v>
      </c>
      <c r="P920" s="10">
        <v>10</v>
      </c>
      <c r="Q920" s="10">
        <v>82.3</v>
      </c>
      <c r="R920" s="10" t="s">
        <v>57</v>
      </c>
      <c r="S920" s="10">
        <v>123.4</v>
      </c>
      <c r="T920" s="10">
        <v>35.799999999999997</v>
      </c>
      <c r="U920" s="29">
        <v>43783</v>
      </c>
      <c r="V920" s="66">
        <v>47435</v>
      </c>
      <c r="W920" s="10" t="s">
        <v>10</v>
      </c>
      <c r="X920" s="10" t="s">
        <v>17</v>
      </c>
    </row>
    <row r="921" spans="1:24" ht="50.25" customHeight="1" x14ac:dyDescent="0.25">
      <c r="A921" s="11">
        <f t="shared" si="63"/>
        <v>918</v>
      </c>
      <c r="B921" s="11" t="s">
        <v>2453</v>
      </c>
      <c r="C921" s="10" t="s">
        <v>1507</v>
      </c>
      <c r="D921" s="10" t="s">
        <v>317</v>
      </c>
      <c r="E921" s="10" t="s">
        <v>0</v>
      </c>
      <c r="F921" s="11" t="s">
        <v>2454</v>
      </c>
      <c r="G921" s="11"/>
      <c r="H921" s="11"/>
      <c r="I921" s="11" t="s">
        <v>1394</v>
      </c>
      <c r="J921" s="11" t="s">
        <v>93</v>
      </c>
      <c r="K921" s="15" t="str">
        <f>HYPERLINK("https://drive.google.com/open?id=16knL7rF64EXtCB0-Ch1v5DtfiE2GYjkB","ЕЕ-002-10-18")</f>
        <v>ЕЕ-002-10-18</v>
      </c>
      <c r="L921" s="15" t="str">
        <f>HYPERLINK("https://drive.google.com/open?id=1m79BIFD6MhQCE8hdZUtLhCEj2EljxOJC","Сертифікат")</f>
        <v>Сертифікат</v>
      </c>
      <c r="M921" s="11" t="s">
        <v>26</v>
      </c>
      <c r="N921" s="10">
        <v>8480.2000000000007</v>
      </c>
      <c r="O921" s="10">
        <v>23474.1</v>
      </c>
      <c r="P921" s="10">
        <v>9</v>
      </c>
      <c r="Q921" s="10">
        <v>177.7</v>
      </c>
      <c r="R921" s="10" t="s">
        <v>66</v>
      </c>
      <c r="S921" s="10">
        <v>224</v>
      </c>
      <c r="T921" s="10">
        <v>44</v>
      </c>
      <c r="U921" s="29">
        <v>43787</v>
      </c>
      <c r="V921" s="66">
        <v>47439</v>
      </c>
      <c r="W921" s="10" t="s">
        <v>13</v>
      </c>
      <c r="X921" s="10" t="s">
        <v>17</v>
      </c>
    </row>
    <row r="922" spans="1:24" ht="50.25" customHeight="1" x14ac:dyDescent="0.25">
      <c r="A922" s="11">
        <f t="shared" si="63"/>
        <v>919</v>
      </c>
      <c r="B922" s="27" t="s">
        <v>2455</v>
      </c>
      <c r="C922" s="10" t="s">
        <v>517</v>
      </c>
      <c r="D922" s="10" t="s">
        <v>518</v>
      </c>
      <c r="E922" s="10" t="s">
        <v>7</v>
      </c>
      <c r="F922" s="11" t="s">
        <v>2456</v>
      </c>
      <c r="G922" s="11"/>
      <c r="H922" s="11"/>
      <c r="I922" s="11" t="s">
        <v>2457</v>
      </c>
      <c r="J922" s="11" t="s">
        <v>1875</v>
      </c>
      <c r="K922" s="15" t="str">
        <f>HYPERLINK("https://drive.google.com/open?id=18jCdnumNyK2SRM-vS6TjNS-ct9MQ7n5o","АА000067")</f>
        <v>АА000067</v>
      </c>
      <c r="L922" s="15" t="str">
        <f>HYPERLINK("https://drive.google.com/open?id=1i4y75A6a2wVysqtz8bcHlTeN2at4vmPl","Сертифікат")</f>
        <v>Сертифікат</v>
      </c>
      <c r="M922" s="11" t="s">
        <v>18</v>
      </c>
      <c r="N922" s="10">
        <v>918</v>
      </c>
      <c r="O922" s="10">
        <v>2896</v>
      </c>
      <c r="P922" s="10">
        <v>2</v>
      </c>
      <c r="Q922" s="10">
        <v>57.14</v>
      </c>
      <c r="R922" s="10" t="s">
        <v>66</v>
      </c>
      <c r="S922" s="10">
        <v>866.9</v>
      </c>
      <c r="T922" s="10">
        <v>160.6</v>
      </c>
      <c r="U922" s="29">
        <v>43784</v>
      </c>
      <c r="V922" s="66">
        <v>47436</v>
      </c>
      <c r="W922" s="10" t="s">
        <v>10</v>
      </c>
      <c r="X922" s="10" t="s">
        <v>17</v>
      </c>
    </row>
    <row r="923" spans="1:24" ht="50.25" customHeight="1" x14ac:dyDescent="0.25">
      <c r="A923" s="11">
        <f t="shared" si="63"/>
        <v>920</v>
      </c>
      <c r="B923" s="11" t="s">
        <v>2458</v>
      </c>
      <c r="C923" s="10" t="s">
        <v>243</v>
      </c>
      <c r="D923" s="10" t="s">
        <v>238</v>
      </c>
      <c r="E923" s="10" t="s">
        <v>2</v>
      </c>
      <c r="F923" s="11" t="s">
        <v>2428</v>
      </c>
      <c r="G923" s="11"/>
      <c r="H923" s="11"/>
      <c r="I923" s="11">
        <v>1984</v>
      </c>
      <c r="J923" s="11" t="s">
        <v>908</v>
      </c>
      <c r="K923" s="46" t="s">
        <v>909</v>
      </c>
      <c r="L923" s="15" t="str">
        <f>HYPERLINK("https://drive.google.com/open?id=1Jl6um5-pYP-YEb1kaF6Oou0_1yjjfc6F","Сертифікат")</f>
        <v>Сертифікат</v>
      </c>
      <c r="M923" s="11" t="s">
        <v>24</v>
      </c>
      <c r="N923" s="10">
        <v>2183.1999999999998</v>
      </c>
      <c r="O923" s="10">
        <v>9582.9</v>
      </c>
      <c r="P923" s="10">
        <v>3</v>
      </c>
      <c r="Q923" s="10">
        <v>99.73</v>
      </c>
      <c r="R923" s="10" t="s">
        <v>66</v>
      </c>
      <c r="S923" s="10">
        <v>596.16</v>
      </c>
      <c r="T923" s="10">
        <v>113.82</v>
      </c>
      <c r="U923" s="29">
        <v>43787</v>
      </c>
      <c r="V923" s="66">
        <v>47439</v>
      </c>
      <c r="W923" s="10" t="s">
        <v>10</v>
      </c>
      <c r="X923" s="10" t="s">
        <v>17</v>
      </c>
    </row>
    <row r="924" spans="1:24" ht="50.25" customHeight="1" x14ac:dyDescent="0.25">
      <c r="A924" s="11">
        <f t="shared" si="63"/>
        <v>921</v>
      </c>
      <c r="B924" s="11" t="s">
        <v>2459</v>
      </c>
      <c r="C924" s="10" t="s">
        <v>1415</v>
      </c>
      <c r="D924" s="10" t="s">
        <v>86</v>
      </c>
      <c r="E924" s="10" t="s">
        <v>2</v>
      </c>
      <c r="F924" s="11" t="s">
        <v>2460</v>
      </c>
      <c r="G924" s="11"/>
      <c r="H924" s="11"/>
      <c r="I924" s="11" t="s">
        <v>157</v>
      </c>
      <c r="J924" s="11" t="s">
        <v>642</v>
      </c>
      <c r="K924" s="15" t="str">
        <f>HYPERLINK("https://drive.google.com/open?id=1cxGxrVWMvCNlS6TwjKIt2Jn85z6h57TB","ЕЕ-036-05-19")</f>
        <v>ЕЕ-036-05-19</v>
      </c>
      <c r="L924" s="15" t="str">
        <f>HYPERLINK("https://drive.google.com/open?id=1iXz32yUXTBuKCM4AdPyxcd-aawBXP2Ii","Сертифікат")</f>
        <v>Сертифікат</v>
      </c>
      <c r="M924" s="11" t="s">
        <v>26</v>
      </c>
      <c r="N924" s="10">
        <v>1715.6</v>
      </c>
      <c r="O924" s="10">
        <v>5532.4</v>
      </c>
      <c r="P924" s="10">
        <v>4</v>
      </c>
      <c r="Q924" s="10">
        <v>132.30000000000001</v>
      </c>
      <c r="R924" s="10" t="s">
        <v>66</v>
      </c>
      <c r="S924" s="10">
        <v>151</v>
      </c>
      <c r="T924" s="10">
        <v>29</v>
      </c>
      <c r="U924" s="29">
        <v>43784</v>
      </c>
      <c r="V924" s="66">
        <v>47436</v>
      </c>
      <c r="W924" s="10" t="s">
        <v>10</v>
      </c>
      <c r="X924" s="10" t="s">
        <v>17</v>
      </c>
    </row>
    <row r="925" spans="1:24" ht="50.25" customHeight="1" x14ac:dyDescent="0.25">
      <c r="A925" s="11">
        <f t="shared" si="63"/>
        <v>922</v>
      </c>
      <c r="B925" s="11" t="s">
        <v>2461</v>
      </c>
      <c r="C925" s="10" t="s">
        <v>805</v>
      </c>
      <c r="D925" s="10" t="s">
        <v>86</v>
      </c>
      <c r="E925" s="10" t="s">
        <v>0</v>
      </c>
      <c r="F925" s="11" t="s">
        <v>2462</v>
      </c>
      <c r="G925" s="11"/>
      <c r="H925" s="11"/>
      <c r="I925" s="11">
        <v>1986</v>
      </c>
      <c r="J925" s="11" t="s">
        <v>64</v>
      </c>
      <c r="K925" s="15" t="str">
        <f>HYPERLINK("https://drive.google.com/open?id=1-fr_zsf-7fSXhRxegEztRfDKVGALmS4z","АА000004")</f>
        <v>АА000004</v>
      </c>
      <c r="L925" s="15" t="str">
        <f>HYPERLINK("https://drive.google.com/open?id=1p-sdeU77aaDH92yn4UwdYUL9o7zD4HG9","Сертифікат")</f>
        <v>Сертифікат</v>
      </c>
      <c r="M925" s="11" t="s">
        <v>26</v>
      </c>
      <c r="N925" s="10">
        <v>3327</v>
      </c>
      <c r="O925" s="10">
        <v>8983</v>
      </c>
      <c r="P925" s="10">
        <v>5</v>
      </c>
      <c r="Q925" s="10">
        <v>243</v>
      </c>
      <c r="R925" s="10" t="s">
        <v>57</v>
      </c>
      <c r="S925" s="10">
        <v>351</v>
      </c>
      <c r="T925" s="10">
        <v>68.7</v>
      </c>
      <c r="U925" s="29">
        <v>43785</v>
      </c>
      <c r="V925" s="66">
        <v>47437</v>
      </c>
      <c r="W925" s="10" t="s">
        <v>10</v>
      </c>
      <c r="X925" s="10" t="s">
        <v>17</v>
      </c>
    </row>
    <row r="926" spans="1:24" ht="50.25" customHeight="1" x14ac:dyDescent="0.25">
      <c r="A926" s="11">
        <f t="shared" si="63"/>
        <v>923</v>
      </c>
      <c r="B926" s="11" t="s">
        <v>2463</v>
      </c>
      <c r="C926" s="10" t="s">
        <v>85</v>
      </c>
      <c r="D926" s="10" t="s">
        <v>86</v>
      </c>
      <c r="E926" s="10" t="s">
        <v>0</v>
      </c>
      <c r="F926" s="11" t="s">
        <v>2464</v>
      </c>
      <c r="G926" s="11"/>
      <c r="H926" s="11"/>
      <c r="I926" s="11" t="s">
        <v>836</v>
      </c>
      <c r="J926" s="11" t="s">
        <v>739</v>
      </c>
      <c r="K926" s="15" t="str">
        <f>HYPERLINK("https://drive.google.com/open?id=1zVrpIuY14Z4qtH7jTtKij9w-zFpVz9Q_","ЕЕ00004")</f>
        <v>ЕЕ00004</v>
      </c>
      <c r="L926" s="15" t="str">
        <f>HYPERLINK("https://drive.google.com/open?id=1e0CnaWDoz1P4Lqrv8ezekPVqN5BcykrL","Сертифікат")</f>
        <v>Сертифікат</v>
      </c>
      <c r="M926" s="11" t="s">
        <v>15</v>
      </c>
      <c r="N926" s="10">
        <v>7410.97</v>
      </c>
      <c r="O926" s="10">
        <v>20882.93</v>
      </c>
      <c r="P926" s="10">
        <v>10</v>
      </c>
      <c r="Q926" s="10">
        <v>77.02</v>
      </c>
      <c r="R926" s="10" t="s">
        <v>57</v>
      </c>
      <c r="S926" s="10">
        <v>111.76</v>
      </c>
      <c r="T926" s="10">
        <v>21.86</v>
      </c>
      <c r="U926" s="29">
        <v>43782</v>
      </c>
      <c r="V926" s="66">
        <v>47434</v>
      </c>
      <c r="W926" s="10" t="s">
        <v>10</v>
      </c>
      <c r="X926" s="10" t="s">
        <v>17</v>
      </c>
    </row>
    <row r="927" spans="1:24" ht="50.25" customHeight="1" x14ac:dyDescent="0.25">
      <c r="A927" s="11">
        <f t="shared" si="63"/>
        <v>924</v>
      </c>
      <c r="B927" s="11" t="s">
        <v>2465</v>
      </c>
      <c r="C927" s="47" t="s">
        <v>2466</v>
      </c>
      <c r="D927" s="10" t="s">
        <v>86</v>
      </c>
      <c r="E927" s="10" t="s">
        <v>0</v>
      </c>
      <c r="F927" s="11" t="s">
        <v>2467</v>
      </c>
      <c r="G927" s="11"/>
      <c r="H927" s="11"/>
      <c r="I927" s="11">
        <v>2019</v>
      </c>
      <c r="J927" s="10" t="s">
        <v>2468</v>
      </c>
      <c r="K927" s="51" t="s">
        <v>2469</v>
      </c>
      <c r="L927" s="15" t="str">
        <f>HYPERLINK("https://drive.google.com/open?id=1qW1DaVx5zLM8OE0yAcmEDrVHQXUyO9Se","Сертифікат")</f>
        <v>Сертифікат</v>
      </c>
      <c r="M927" s="11" t="s">
        <v>22</v>
      </c>
      <c r="N927" s="10">
        <v>8086.99</v>
      </c>
      <c r="O927" s="10">
        <v>23999.24</v>
      </c>
      <c r="P927" s="10">
        <v>7</v>
      </c>
      <c r="Q927" s="10">
        <v>127.4</v>
      </c>
      <c r="R927" s="10" t="s">
        <v>57</v>
      </c>
      <c r="S927" s="10">
        <v>189.52</v>
      </c>
      <c r="T927" s="10">
        <v>36.799999999999997</v>
      </c>
      <c r="U927" s="29">
        <v>43783</v>
      </c>
      <c r="V927" s="66">
        <v>47435</v>
      </c>
      <c r="W927" s="10" t="s">
        <v>13</v>
      </c>
      <c r="X927" s="10" t="s">
        <v>17</v>
      </c>
    </row>
    <row r="928" spans="1:24" ht="50.25" customHeight="1" x14ac:dyDescent="0.25">
      <c r="A928" s="11">
        <f t="shared" si="63"/>
        <v>925</v>
      </c>
      <c r="B928" s="11" t="s">
        <v>2470</v>
      </c>
      <c r="C928" s="10" t="s">
        <v>1589</v>
      </c>
      <c r="D928" s="10" t="s">
        <v>485</v>
      </c>
      <c r="E928" s="10" t="s">
        <v>3</v>
      </c>
      <c r="F928" s="11" t="s">
        <v>2471</v>
      </c>
      <c r="G928" s="11"/>
      <c r="H928" s="11"/>
      <c r="I928" s="11">
        <v>1985</v>
      </c>
      <c r="J928" s="11" t="s">
        <v>1690</v>
      </c>
      <c r="K928" s="51" t="str">
        <f>HYPERLINK("https://drive.google.com/open?id=1TE4jVZBZCRbSD2VYoISPLh8Au66nBZh8","ОД 02071010/0933-18")</f>
        <v>ОД 02071010/0933-18</v>
      </c>
      <c r="L928" s="15" t="str">
        <f>HYPERLINK("https://drive.google.com/open?id=1fRB1OBzZga7bFY3Xa1O4gZEcIAudm31P","Сертифікат")</f>
        <v>Сертифікат</v>
      </c>
      <c r="M928" s="11" t="s">
        <v>20</v>
      </c>
      <c r="N928" s="10">
        <v>9517</v>
      </c>
      <c r="O928" s="10">
        <v>33401</v>
      </c>
      <c r="P928" s="10">
        <v>4</v>
      </c>
      <c r="Q928" s="10">
        <v>36</v>
      </c>
      <c r="R928" s="10" t="s">
        <v>66</v>
      </c>
      <c r="S928" s="10">
        <v>203.5</v>
      </c>
      <c r="T928" s="10">
        <v>40</v>
      </c>
      <c r="U928" s="29">
        <v>43787</v>
      </c>
      <c r="V928" s="66">
        <v>47439</v>
      </c>
      <c r="W928" s="10" t="s">
        <v>13</v>
      </c>
      <c r="X928" s="10" t="s">
        <v>17</v>
      </c>
    </row>
    <row r="929" spans="1:24" ht="50.25" customHeight="1" x14ac:dyDescent="0.25">
      <c r="A929" s="11">
        <f t="shared" si="63"/>
        <v>926</v>
      </c>
      <c r="B929" s="11" t="s">
        <v>2472</v>
      </c>
      <c r="C929" s="10" t="s">
        <v>2109</v>
      </c>
      <c r="D929" s="10" t="s">
        <v>148</v>
      </c>
      <c r="E929" s="10" t="s">
        <v>3</v>
      </c>
      <c r="F929" s="11" t="s">
        <v>2473</v>
      </c>
      <c r="G929" s="11"/>
      <c r="H929" s="11"/>
      <c r="I929" s="11">
        <v>1973</v>
      </c>
      <c r="J929" s="11" t="s">
        <v>2111</v>
      </c>
      <c r="K929" s="15" t="str">
        <f>HYPERLINK("https://drive.google.com/open?id=1HM8yV3R_92M8PzrCX21P7VNYfgBqCaLt","№ СБ-0081 ")</f>
        <v xml:space="preserve">№ СБ-0081 </v>
      </c>
      <c r="L929" s="15" t="str">
        <f>HYPERLINK("https://drive.google.com/open?id=1DhEdGlZfnEx5Ehcssddu1yPwpj29ovbo","Сертифікат")</f>
        <v>Сертифікат</v>
      </c>
      <c r="M929" s="11" t="s">
        <v>26</v>
      </c>
      <c r="N929" s="10">
        <v>3418.9</v>
      </c>
      <c r="O929" s="10">
        <v>10940.3</v>
      </c>
      <c r="P929" s="10">
        <v>3</v>
      </c>
      <c r="Q929" s="10">
        <v>66.48</v>
      </c>
      <c r="R929" s="10" t="s">
        <v>66</v>
      </c>
      <c r="S929" s="10">
        <v>309.07</v>
      </c>
      <c r="T929" s="10">
        <v>60.72</v>
      </c>
      <c r="U929" s="29">
        <v>43788</v>
      </c>
      <c r="V929" s="66">
        <v>47440</v>
      </c>
      <c r="W929" s="10" t="s">
        <v>10</v>
      </c>
      <c r="X929" s="10" t="s">
        <v>17</v>
      </c>
    </row>
    <row r="930" spans="1:24" ht="50.25" customHeight="1" x14ac:dyDescent="0.25">
      <c r="A930" s="11">
        <f t="shared" si="63"/>
        <v>927</v>
      </c>
      <c r="B930" s="11" t="s">
        <v>2474</v>
      </c>
      <c r="C930" s="10" t="s">
        <v>1789</v>
      </c>
      <c r="D930" s="10" t="s">
        <v>815</v>
      </c>
      <c r="E930" s="10" t="s">
        <v>0</v>
      </c>
      <c r="F930" s="11" t="s">
        <v>2475</v>
      </c>
      <c r="G930" s="11"/>
      <c r="H930" s="11"/>
      <c r="I930" s="11">
        <v>1986</v>
      </c>
      <c r="J930" s="11" t="s">
        <v>1591</v>
      </c>
      <c r="K930" s="15" t="str">
        <f>HYPERLINK("https://drive.google.com/open?id=1Eu3b-SQR6QMzDrWPm53uhmGYQaQSos-l","KPI-CE 000011")</f>
        <v>KPI-CE 000011</v>
      </c>
      <c r="L930" s="15" t="str">
        <f>HYPERLINK("https://drive.google.com/open?id=16YHz9iypttu5KNpqt5-Gwj6EjMJP5ZQ5","Сертифікат")</f>
        <v>Сертифікат</v>
      </c>
      <c r="M930" s="11" t="s">
        <v>26</v>
      </c>
      <c r="N930" s="10">
        <v>4796</v>
      </c>
      <c r="O930" s="10">
        <v>13428</v>
      </c>
      <c r="P930" s="10">
        <v>9</v>
      </c>
      <c r="Q930" s="10">
        <v>161.1</v>
      </c>
      <c r="R930" s="10" t="s">
        <v>57</v>
      </c>
      <c r="S930" s="10">
        <v>246.91</v>
      </c>
      <c r="T930" s="10">
        <v>74.7</v>
      </c>
      <c r="U930" s="29">
        <v>43787</v>
      </c>
      <c r="V930" s="66">
        <v>47439</v>
      </c>
      <c r="W930" s="10" t="s">
        <v>10</v>
      </c>
      <c r="X930" s="10" t="s">
        <v>17</v>
      </c>
    </row>
    <row r="931" spans="1:24" ht="50.25" customHeight="1" x14ac:dyDescent="0.25">
      <c r="A931" s="11">
        <f t="shared" si="63"/>
        <v>928</v>
      </c>
      <c r="B931" s="11" t="s">
        <v>2476</v>
      </c>
      <c r="C931" s="10" t="s">
        <v>2477</v>
      </c>
      <c r="D931" s="10" t="s">
        <v>86</v>
      </c>
      <c r="E931" s="10" t="s">
        <v>3</v>
      </c>
      <c r="F931" s="11" t="s">
        <v>2478</v>
      </c>
      <c r="G931" s="11"/>
      <c r="H931" s="11"/>
      <c r="I931" s="11">
        <v>1968</v>
      </c>
      <c r="J931" s="11" t="s">
        <v>2479</v>
      </c>
      <c r="K931" s="15" t="str">
        <f>HYPERLINK("https://drive.google.com/open?id=1Xvt1WHN4a3lh1GkA7Hg2sSdXHdM5XEXy","АР 000072")</f>
        <v>АР 000072</v>
      </c>
      <c r="L931" s="15" t="str">
        <f>HYPERLINK("https://drive.google.com/open?id=1SqxhJwAsw2UC_DHf-68YWhEZ1t7pY1vF","Сертифікат")</f>
        <v>Сертифікат</v>
      </c>
      <c r="M931" s="11" t="s">
        <v>26</v>
      </c>
      <c r="N931" s="10">
        <v>627.1</v>
      </c>
      <c r="O931" s="10">
        <v>2257.56</v>
      </c>
      <c r="P931" s="10">
        <v>2</v>
      </c>
      <c r="Q931" s="10">
        <v>106.9</v>
      </c>
      <c r="R931" s="10" t="s">
        <v>66</v>
      </c>
      <c r="S931" s="10">
        <v>197.5</v>
      </c>
      <c r="T931" s="10">
        <v>41.8</v>
      </c>
      <c r="U931" s="29">
        <v>43787</v>
      </c>
      <c r="V931" s="66">
        <v>47439</v>
      </c>
      <c r="W931" s="10" t="s">
        <v>10</v>
      </c>
      <c r="X931" s="10" t="s">
        <v>17</v>
      </c>
    </row>
    <row r="932" spans="1:24" ht="50.25" customHeight="1" x14ac:dyDescent="0.25">
      <c r="A932" s="11">
        <f t="shared" si="63"/>
        <v>929</v>
      </c>
      <c r="B932" s="11" t="s">
        <v>2480</v>
      </c>
      <c r="C932" s="10" t="s">
        <v>607</v>
      </c>
      <c r="D932" s="10" t="s">
        <v>69</v>
      </c>
      <c r="E932" s="10" t="s">
        <v>5</v>
      </c>
      <c r="F932" s="11" t="s">
        <v>2481</v>
      </c>
      <c r="G932" s="11"/>
      <c r="H932" s="11"/>
      <c r="I932" s="11" t="s">
        <v>858</v>
      </c>
      <c r="J932" s="11" t="s">
        <v>438</v>
      </c>
      <c r="K932" s="15" t="str">
        <f>HYPERLINK("https://drive.google.com/open?id=1pQzRPvBj_zLUQF1x327A_Ozsrhj7_hqF","ОД 02071010/0994-18")</f>
        <v>ОД 02071010/0994-18</v>
      </c>
      <c r="L932" s="15" t="str">
        <f>HYPERLINK("https://drive.google.com/open?id=1f9hB_YSdssPeSjgCDowEMDru8nFBG_Qw","Сертифікат")</f>
        <v>Сертифікат</v>
      </c>
      <c r="M932" s="11" t="s">
        <v>18</v>
      </c>
      <c r="N932" s="10">
        <v>212.1</v>
      </c>
      <c r="O932" s="10">
        <v>636.20000000000005</v>
      </c>
      <c r="P932" s="10">
        <v>1</v>
      </c>
      <c r="Q932" s="10">
        <v>55.9</v>
      </c>
      <c r="R932" s="10" t="s">
        <v>66</v>
      </c>
      <c r="S932" s="10">
        <v>465.8</v>
      </c>
      <c r="T932" s="10">
        <v>85.1</v>
      </c>
      <c r="U932" s="29">
        <v>43784</v>
      </c>
      <c r="V932" s="66">
        <v>47436</v>
      </c>
      <c r="W932" s="10" t="s">
        <v>13</v>
      </c>
      <c r="X932" s="10" t="s">
        <v>17</v>
      </c>
    </row>
    <row r="933" spans="1:24" ht="50.25" customHeight="1" x14ac:dyDescent="0.25">
      <c r="A933" s="11">
        <f t="shared" si="63"/>
        <v>930</v>
      </c>
      <c r="B933" s="11" t="s">
        <v>2482</v>
      </c>
      <c r="C933" s="10" t="s">
        <v>1507</v>
      </c>
      <c r="D933" s="10" t="s">
        <v>317</v>
      </c>
      <c r="E933" s="10" t="s">
        <v>3</v>
      </c>
      <c r="F933" s="11" t="s">
        <v>2483</v>
      </c>
      <c r="G933" s="11"/>
      <c r="H933" s="11"/>
      <c r="I933" s="11">
        <v>1934</v>
      </c>
      <c r="J933" s="11" t="s">
        <v>1520</v>
      </c>
      <c r="K933" s="15" t="str">
        <f>HYPERLINK("https://drive.google.com/open?id=1h7SxjX8kLI3GcDpujJYP0DlexJilmQJ7","АР000071")</f>
        <v>АР000071</v>
      </c>
      <c r="L933" s="15" t="str">
        <f>HYPERLINK("https://drive.google.com/open?id=1Hmi5zxiBFdwBxxGeSE0cNjzeOKZCCudg","Сертифікат")</f>
        <v>Сертифікат</v>
      </c>
      <c r="M933" s="11" t="s">
        <v>26</v>
      </c>
      <c r="N933" s="10">
        <v>8625.85</v>
      </c>
      <c r="O933" s="10">
        <v>119899</v>
      </c>
      <c r="P933" s="10">
        <v>4</v>
      </c>
      <c r="Q933" s="10">
        <v>84.04</v>
      </c>
      <c r="R933" s="10" t="s">
        <v>66</v>
      </c>
      <c r="S933" s="10">
        <v>2687.7</v>
      </c>
      <c r="T933" s="10">
        <v>495.3</v>
      </c>
      <c r="U933" s="29">
        <v>43788</v>
      </c>
      <c r="V933" s="66">
        <v>47440</v>
      </c>
      <c r="W933" s="10" t="s">
        <v>13</v>
      </c>
      <c r="X933" s="10" t="s">
        <v>17</v>
      </c>
    </row>
    <row r="934" spans="1:24" ht="50.25" customHeight="1" x14ac:dyDescent="0.25">
      <c r="A934" s="11">
        <f t="shared" si="63"/>
        <v>931</v>
      </c>
      <c r="B934" s="11" t="s">
        <v>2484</v>
      </c>
      <c r="C934" s="10" t="s">
        <v>52</v>
      </c>
      <c r="D934" s="10" t="s">
        <v>52</v>
      </c>
      <c r="E934" s="10" t="s">
        <v>0</v>
      </c>
      <c r="F934" s="11" t="s">
        <v>2485</v>
      </c>
      <c r="G934" s="11"/>
      <c r="H934" s="11"/>
      <c r="I934" s="11">
        <v>2020</v>
      </c>
      <c r="J934" s="11" t="s">
        <v>1168</v>
      </c>
      <c r="K934" s="15" t="str">
        <f>HYPERLINK("https://drive.google.com/open?id=1IAlNZe4csuyp8RH-DTYn3L4-p1-qcHtF","ЕЕ-001-10-18")</f>
        <v>ЕЕ-001-10-18</v>
      </c>
      <c r="L934" s="15" t="str">
        <f>HYPERLINK("https://drive.google.com/open?id=13RbCslYeEhgZQFEJ1-BdvMdjQCtjlL01","Сертифікат")</f>
        <v>Сертифікат</v>
      </c>
      <c r="M934" s="11" t="s">
        <v>20</v>
      </c>
      <c r="N934" s="10">
        <v>12503.4</v>
      </c>
      <c r="O934" s="10">
        <v>37510.199999999997</v>
      </c>
      <c r="P934" s="10" t="s">
        <v>2486</v>
      </c>
      <c r="Q934" s="10">
        <v>107</v>
      </c>
      <c r="R934" s="10" t="s">
        <v>57</v>
      </c>
      <c r="S934" s="10">
        <v>169</v>
      </c>
      <c r="T934" s="10">
        <v>33</v>
      </c>
      <c r="U934" s="29">
        <v>43787</v>
      </c>
      <c r="V934" s="66">
        <v>47439</v>
      </c>
      <c r="W934" s="10" t="s">
        <v>13</v>
      </c>
      <c r="X934" s="10" t="s">
        <v>17</v>
      </c>
    </row>
    <row r="935" spans="1:24" ht="50.25" customHeight="1" x14ac:dyDescent="0.25">
      <c r="A935" s="11">
        <f t="shared" si="63"/>
        <v>932</v>
      </c>
      <c r="B935" s="11" t="s">
        <v>2487</v>
      </c>
      <c r="C935" s="10" t="s">
        <v>2488</v>
      </c>
      <c r="D935" s="10" t="s">
        <v>69</v>
      </c>
      <c r="E935" s="10" t="s">
        <v>5</v>
      </c>
      <c r="F935" s="11" t="s">
        <v>2481</v>
      </c>
      <c r="G935" s="11"/>
      <c r="H935" s="11"/>
      <c r="I935" s="11" t="s">
        <v>689</v>
      </c>
      <c r="J935" s="11" t="s">
        <v>438</v>
      </c>
      <c r="K935" s="15" t="str">
        <f>HYPERLINK("https://drive.google.com/open?id=1pQzRPvBj_zLUQF1x327A_Ozsrhj7_hqF","ОД 02071010/0994-18")</f>
        <v>ОД 02071010/0994-18</v>
      </c>
      <c r="L935" s="15" t="str">
        <f>HYPERLINK("https://drive.google.com/open?id=1OFnYjl2h18_EEC2pwI3BZeahmOMULztT","Сертифікат")</f>
        <v>Сертифікат</v>
      </c>
      <c r="M935" s="11" t="s">
        <v>22</v>
      </c>
      <c r="N935" s="10">
        <v>235.8</v>
      </c>
      <c r="O935" s="10">
        <v>707.4</v>
      </c>
      <c r="P935" s="10">
        <v>1</v>
      </c>
      <c r="Q935" s="10">
        <v>82.9</v>
      </c>
      <c r="R935" s="10" t="s">
        <v>66</v>
      </c>
      <c r="S935" s="10">
        <v>479.5</v>
      </c>
      <c r="T935" s="10">
        <v>92.33</v>
      </c>
      <c r="U935" s="29">
        <v>43784</v>
      </c>
      <c r="V935" s="66">
        <v>47436</v>
      </c>
      <c r="W935" s="10" t="s">
        <v>13</v>
      </c>
      <c r="X935" s="10" t="s">
        <v>17</v>
      </c>
    </row>
    <row r="936" spans="1:24" ht="50.25" customHeight="1" x14ac:dyDescent="0.25">
      <c r="A936" s="11">
        <f t="shared" si="63"/>
        <v>933</v>
      </c>
      <c r="B936" s="11" t="s">
        <v>2489</v>
      </c>
      <c r="C936" s="10" t="s">
        <v>2490</v>
      </c>
      <c r="D936" s="10" t="s">
        <v>75</v>
      </c>
      <c r="E936" s="10" t="s">
        <v>3</v>
      </c>
      <c r="F936" s="11" t="s">
        <v>2491</v>
      </c>
      <c r="G936" s="11"/>
      <c r="H936" s="11"/>
      <c r="I936" s="11">
        <v>1882</v>
      </c>
      <c r="J936" s="11" t="s">
        <v>2054</v>
      </c>
      <c r="K936" s="15" t="str">
        <f>HYPERLINK("https://drive.google.com/open?id=15mzOVo5DzvZRYSFkEsMp5jV14CeCYhNn","АЕ00007")</f>
        <v>АЕ00007</v>
      </c>
      <c r="L936" s="15" t="str">
        <f>HYPERLINK("https://drive.google.com/open?id=1lFHpUGbF9zOZ_GLdakYjszexbjYX6wol","Сертифікат")</f>
        <v>Сертифікат</v>
      </c>
      <c r="M936" s="11" t="s">
        <v>26</v>
      </c>
      <c r="N936" s="10">
        <v>1187.8</v>
      </c>
      <c r="O936" s="10">
        <v>5322.13</v>
      </c>
      <c r="P936" s="10">
        <v>2</v>
      </c>
      <c r="Q936" s="10">
        <v>103.8</v>
      </c>
      <c r="R936" s="10" t="s">
        <v>66</v>
      </c>
      <c r="S936" s="10">
        <v>630</v>
      </c>
      <c r="T936" s="10">
        <v>168.1</v>
      </c>
      <c r="U936" s="29">
        <v>43788</v>
      </c>
      <c r="V936" s="66">
        <v>47440</v>
      </c>
      <c r="W936" s="10" t="s">
        <v>10</v>
      </c>
      <c r="X936" s="10" t="s">
        <v>17</v>
      </c>
    </row>
    <row r="937" spans="1:24" ht="50.25" customHeight="1" x14ac:dyDescent="0.25">
      <c r="A937" s="11">
        <f t="shared" si="63"/>
        <v>934</v>
      </c>
      <c r="B937" s="11" t="s">
        <v>2492</v>
      </c>
      <c r="C937" s="10" t="s">
        <v>2493</v>
      </c>
      <c r="D937" s="10" t="s">
        <v>86</v>
      </c>
      <c r="E937" s="10" t="s">
        <v>2</v>
      </c>
      <c r="F937" s="11" t="s">
        <v>2494</v>
      </c>
      <c r="G937" s="11"/>
      <c r="H937" s="11"/>
      <c r="I937" s="11">
        <v>1960</v>
      </c>
      <c r="J937" s="11" t="s">
        <v>158</v>
      </c>
      <c r="K937" s="15" t="str">
        <f>HYPERLINK("https://drive.google.com/open?id=1pEg5agn5jdMhfl4Pa1dRPaxDB2kT59cP","ЕЕ-005-10-18")</f>
        <v>ЕЕ-005-10-18</v>
      </c>
      <c r="L937" s="15" t="str">
        <f>HYPERLINK("https://drive.google.com/open?id=1r2I9-MddCvW0gf8Qa7fAWykCPAwfyWWJ","Сертифікат")</f>
        <v>Сертифікат</v>
      </c>
      <c r="M937" s="11" t="s">
        <v>26</v>
      </c>
      <c r="N937" s="10">
        <v>1484.8</v>
      </c>
      <c r="O937" s="10">
        <v>4918.3</v>
      </c>
      <c r="P937" s="10">
        <v>2</v>
      </c>
      <c r="Q937" s="10">
        <v>121.9</v>
      </c>
      <c r="R937" s="10" t="s">
        <v>66</v>
      </c>
      <c r="S937" s="10">
        <v>585</v>
      </c>
      <c r="T937" s="10">
        <v>116</v>
      </c>
      <c r="U937" s="29">
        <v>43784</v>
      </c>
      <c r="V937" s="66">
        <v>47436</v>
      </c>
      <c r="W937" s="10" t="s">
        <v>10</v>
      </c>
      <c r="X937" s="10" t="s">
        <v>17</v>
      </c>
    </row>
    <row r="938" spans="1:24" ht="50.25" customHeight="1" x14ac:dyDescent="0.25">
      <c r="A938" s="11">
        <f t="shared" si="63"/>
        <v>935</v>
      </c>
      <c r="B938" s="11" t="s">
        <v>2495</v>
      </c>
      <c r="C938" s="10" t="s">
        <v>85</v>
      </c>
      <c r="D938" s="10" t="s">
        <v>86</v>
      </c>
      <c r="E938" s="10" t="s">
        <v>0</v>
      </c>
      <c r="F938" s="11" t="s">
        <v>2125</v>
      </c>
      <c r="G938" s="11"/>
      <c r="H938" s="11"/>
      <c r="I938" s="11">
        <v>1995</v>
      </c>
      <c r="J938" s="11" t="s">
        <v>64</v>
      </c>
      <c r="K938" s="15" t="str">
        <f>HYPERLINK("https://drive.google.com/open?id=1-fr_zsf-7fSXhRxegEztRfDKVGALmS4z","АА000004")</f>
        <v>АА000004</v>
      </c>
      <c r="L938" s="15" t="str">
        <f>HYPERLINK("https://drive.google.com/open?id=1NLdKFzvZU3xxQlSPHATVTKWCU-B49Qy4","Сертифікат")</f>
        <v>Сертифікат</v>
      </c>
      <c r="M938" s="11" t="s">
        <v>26</v>
      </c>
      <c r="N938" s="10">
        <v>7467</v>
      </c>
      <c r="O938" s="10">
        <v>20720</v>
      </c>
      <c r="P938" s="10">
        <v>10</v>
      </c>
      <c r="Q938" s="10">
        <v>178</v>
      </c>
      <c r="R938" s="10" t="s">
        <v>57</v>
      </c>
      <c r="S938" s="10">
        <v>316</v>
      </c>
      <c r="T938" s="10">
        <v>61.74</v>
      </c>
      <c r="U938" s="29">
        <v>43787</v>
      </c>
      <c r="V938" s="66">
        <v>47439</v>
      </c>
      <c r="W938" s="10" t="s">
        <v>10</v>
      </c>
      <c r="X938" s="10" t="s">
        <v>17</v>
      </c>
    </row>
    <row r="939" spans="1:24" ht="50.25" customHeight="1" x14ac:dyDescent="0.25">
      <c r="A939" s="11">
        <f t="shared" si="63"/>
        <v>936</v>
      </c>
      <c r="B939" s="11" t="s">
        <v>2496</v>
      </c>
      <c r="C939" s="10" t="s">
        <v>2497</v>
      </c>
      <c r="D939" s="10" t="s">
        <v>69</v>
      </c>
      <c r="E939" s="10" t="s">
        <v>5</v>
      </c>
      <c r="F939" s="11" t="s">
        <v>2498</v>
      </c>
      <c r="G939" s="11"/>
      <c r="H939" s="11"/>
      <c r="I939" s="11">
        <v>2019</v>
      </c>
      <c r="J939" s="11" t="s">
        <v>438</v>
      </c>
      <c r="K939" s="15" t="str">
        <f>HYPERLINK("https://drive.google.com/open?id=1pQzRPvBj_zLUQF1x327A_Ozsrhj7_hqF","ОД 02071010/0994-18")</f>
        <v>ОД 02071010/0994-18</v>
      </c>
      <c r="L939" s="15" t="str">
        <f>HYPERLINK("https://drive.google.com/open?id=14ptiIN6bSTGLFVQ0KUVRULwaGXJyx4fu","Сертифікат")</f>
        <v>Сертифікат</v>
      </c>
      <c r="M939" s="11" t="s">
        <v>22</v>
      </c>
      <c r="N939" s="10">
        <v>157.9</v>
      </c>
      <c r="O939" s="10">
        <v>447</v>
      </c>
      <c r="P939" s="10">
        <v>1</v>
      </c>
      <c r="Q939" s="10">
        <v>84.2</v>
      </c>
      <c r="R939" s="10" t="s">
        <v>66</v>
      </c>
      <c r="S939" s="10">
        <v>365.5</v>
      </c>
      <c r="T939" s="10">
        <v>70.900000000000006</v>
      </c>
      <c r="U939" s="29">
        <v>43784</v>
      </c>
      <c r="V939" s="66">
        <v>47436</v>
      </c>
      <c r="W939" s="10" t="s">
        <v>13</v>
      </c>
      <c r="X939" s="10" t="s">
        <v>17</v>
      </c>
    </row>
    <row r="940" spans="1:24" ht="50.25" customHeight="1" x14ac:dyDescent="0.25">
      <c r="A940" s="11">
        <f t="shared" si="63"/>
        <v>937</v>
      </c>
      <c r="B940" s="11" t="s">
        <v>2499</v>
      </c>
      <c r="C940" s="10" t="s">
        <v>1145</v>
      </c>
      <c r="D940" s="10" t="s">
        <v>1295</v>
      </c>
      <c r="E940" s="10" t="s">
        <v>0</v>
      </c>
      <c r="F940" s="11" t="s">
        <v>2500</v>
      </c>
      <c r="G940" s="11"/>
      <c r="H940" s="11"/>
      <c r="I940" s="11" t="s">
        <v>836</v>
      </c>
      <c r="J940" s="11" t="s">
        <v>1660</v>
      </c>
      <c r="K940" s="15" t="str">
        <f>HYPERLINK("https://drive.google.com/open?id=1oLEtNwc-cHUiCjT6H-8zpZIM41iqf7Hj","ХМ 02071234/001")</f>
        <v>ХМ 02071234/001</v>
      </c>
      <c r="L940" s="15" t="str">
        <f>HYPERLINK("https://drive.google.com/open?id=1Bzfd-UVFiRjKHVctLOqnWaFX4_KPkmL2","Сертифікат")</f>
        <v>Сертифікат</v>
      </c>
      <c r="M940" s="11" t="s">
        <v>20</v>
      </c>
      <c r="N940" s="10">
        <v>4273.92</v>
      </c>
      <c r="O940" s="10">
        <v>11966.98</v>
      </c>
      <c r="P940" s="10">
        <v>10</v>
      </c>
      <c r="Q940" s="10">
        <v>91.13</v>
      </c>
      <c r="R940" s="10" t="s">
        <v>57</v>
      </c>
      <c r="S940" s="10">
        <v>383.28</v>
      </c>
      <c r="T940" s="10">
        <v>71.08</v>
      </c>
      <c r="U940" s="29">
        <v>43788</v>
      </c>
      <c r="V940" s="66">
        <v>47440</v>
      </c>
      <c r="W940" s="10" t="s">
        <v>13</v>
      </c>
      <c r="X940" s="10" t="s">
        <v>17</v>
      </c>
    </row>
    <row r="941" spans="1:24" ht="50.25" customHeight="1" x14ac:dyDescent="0.25">
      <c r="A941" s="11">
        <f t="shared" si="63"/>
        <v>938</v>
      </c>
      <c r="B941" s="11" t="s">
        <v>2501</v>
      </c>
      <c r="C941" s="10" t="s">
        <v>52</v>
      </c>
      <c r="D941" s="10" t="s">
        <v>52</v>
      </c>
      <c r="E941" s="10" t="s">
        <v>0</v>
      </c>
      <c r="F941" s="11" t="s">
        <v>2502</v>
      </c>
      <c r="G941" s="11"/>
      <c r="H941" s="11"/>
      <c r="I941" s="11" t="s">
        <v>836</v>
      </c>
      <c r="J941" s="11" t="s">
        <v>739</v>
      </c>
      <c r="K941" s="15" t="str">
        <f t="shared" ref="K941:K942" si="65">HYPERLINK("https://drive.google.com/open?id=1zVrpIuY14Z4qtH7jTtKij9w-zFpVz9Q_","ЕЕ00004")</f>
        <v>ЕЕ00004</v>
      </c>
      <c r="L941" s="15" t="str">
        <f>HYPERLINK("https://drive.google.com/open?id=1sjmheZqcWduYpWFBK3Wr6Scv2Cg3F7qu","Сертифікат")</f>
        <v>Сертифікат</v>
      </c>
      <c r="M941" s="11" t="s">
        <v>18</v>
      </c>
      <c r="N941" s="10">
        <v>20040.5</v>
      </c>
      <c r="O941" s="10">
        <v>60121.5</v>
      </c>
      <c r="P941" s="10">
        <v>25</v>
      </c>
      <c r="Q941" s="10">
        <v>82.96</v>
      </c>
      <c r="R941" s="10" t="s">
        <v>57</v>
      </c>
      <c r="S941" s="10">
        <v>134.6</v>
      </c>
      <c r="T941" s="10">
        <v>26.42</v>
      </c>
      <c r="U941" s="29">
        <v>43784</v>
      </c>
      <c r="V941" s="66">
        <v>47436</v>
      </c>
      <c r="W941" s="10" t="s">
        <v>10</v>
      </c>
      <c r="X941" s="10" t="s">
        <v>17</v>
      </c>
    </row>
    <row r="942" spans="1:24" ht="50.25" customHeight="1" x14ac:dyDescent="0.25">
      <c r="A942" s="11">
        <f t="shared" si="63"/>
        <v>939</v>
      </c>
      <c r="B942" s="11" t="s">
        <v>2503</v>
      </c>
      <c r="C942" s="10" t="s">
        <v>52</v>
      </c>
      <c r="D942" s="10" t="s">
        <v>52</v>
      </c>
      <c r="E942" s="10" t="s">
        <v>0</v>
      </c>
      <c r="F942" s="11" t="s">
        <v>2504</v>
      </c>
      <c r="G942" s="11"/>
      <c r="H942" s="11"/>
      <c r="I942" s="11" t="s">
        <v>836</v>
      </c>
      <c r="J942" s="11" t="s">
        <v>739</v>
      </c>
      <c r="K942" s="15" t="str">
        <f t="shared" si="65"/>
        <v>ЕЕ00004</v>
      </c>
      <c r="L942" s="15" t="str">
        <f>HYPERLINK("https://drive.google.com/open?id=1_GOah_z_Rvm_2X1DvPMo6PXqVNIsBvGa","Сертифікат")</f>
        <v>Сертифікат</v>
      </c>
      <c r="M942" s="11" t="s">
        <v>18</v>
      </c>
      <c r="N942" s="10">
        <v>10214.700000000001</v>
      </c>
      <c r="O942" s="10">
        <v>30644.1</v>
      </c>
      <c r="P942" s="10">
        <v>25</v>
      </c>
      <c r="Q942" s="10">
        <v>85.85</v>
      </c>
      <c r="R942" s="10" t="s">
        <v>57</v>
      </c>
      <c r="S942" s="10">
        <v>138.16</v>
      </c>
      <c r="T942" s="10">
        <v>27.14</v>
      </c>
      <c r="U942" s="29">
        <v>43784</v>
      </c>
      <c r="V942" s="66">
        <v>47436</v>
      </c>
      <c r="W942" s="10" t="s">
        <v>10</v>
      </c>
      <c r="X942" s="10" t="s">
        <v>17</v>
      </c>
    </row>
    <row r="943" spans="1:24" ht="50.25" customHeight="1" x14ac:dyDescent="0.25">
      <c r="A943" s="11">
        <f t="shared" si="63"/>
        <v>940</v>
      </c>
      <c r="B943" s="11" t="s">
        <v>2505</v>
      </c>
      <c r="C943" s="10" t="s">
        <v>814</v>
      </c>
      <c r="D943" s="10" t="s">
        <v>815</v>
      </c>
      <c r="E943" s="10" t="s">
        <v>7</v>
      </c>
      <c r="F943" s="11" t="s">
        <v>2310</v>
      </c>
      <c r="G943" s="11"/>
      <c r="H943" s="11"/>
      <c r="I943" s="11" t="s">
        <v>836</v>
      </c>
      <c r="J943" s="11" t="s">
        <v>817</v>
      </c>
      <c r="K943" s="15" t="str">
        <f>HYPERLINK("https://drive.google.com/open?id=195Nt2QyFm2vF_nQatQf2cvvhnudkfcTY","ЕЕ 00020 ")</f>
        <v xml:space="preserve">ЕЕ 00020 </v>
      </c>
      <c r="L943" s="15" t="str">
        <f>HYPERLINK("https://drive.google.com/open?id=14Cr3NB84g5dbViJ1SS485HgP8WglXo9b","Сертифікат")</f>
        <v>Сертифікат</v>
      </c>
      <c r="M943" s="11" t="s">
        <v>18</v>
      </c>
      <c r="N943" s="10">
        <v>1167.68</v>
      </c>
      <c r="O943" s="10">
        <v>5645.75</v>
      </c>
      <c r="P943" s="10">
        <v>1</v>
      </c>
      <c r="Q943" s="10">
        <v>54.57</v>
      </c>
      <c r="R943" s="10" t="s">
        <v>66</v>
      </c>
      <c r="S943" s="10">
        <v>1021.8</v>
      </c>
      <c r="T943" s="10">
        <v>186.6</v>
      </c>
      <c r="U943" s="29">
        <v>43789</v>
      </c>
      <c r="V943" s="66">
        <v>47441</v>
      </c>
      <c r="W943" s="10" t="s">
        <v>13</v>
      </c>
      <c r="X943" s="10" t="s">
        <v>17</v>
      </c>
    </row>
    <row r="944" spans="1:24" ht="50.25" customHeight="1" x14ac:dyDescent="0.25">
      <c r="A944" s="11">
        <f t="shared" si="63"/>
        <v>941</v>
      </c>
      <c r="B944" s="11" t="s">
        <v>2506</v>
      </c>
      <c r="C944" s="10" t="s">
        <v>52</v>
      </c>
      <c r="D944" s="10" t="s">
        <v>52</v>
      </c>
      <c r="E944" s="10" t="s">
        <v>0</v>
      </c>
      <c r="F944" s="11" t="s">
        <v>2507</v>
      </c>
      <c r="G944" s="11"/>
      <c r="H944" s="11"/>
      <c r="I944" s="11">
        <v>2004</v>
      </c>
      <c r="J944" s="11" t="s">
        <v>64</v>
      </c>
      <c r="K944" s="15" t="str">
        <f>HYPERLINK("https://drive.google.com/open?id=1-fr_zsf-7fSXhRxegEztRfDKVGALmS4z","АА000004")</f>
        <v>АА000004</v>
      </c>
      <c r="L944" s="15" t="str">
        <f>HYPERLINK("https://drive.google.com/open?id=1uq5Ldc3IiHzV4JzcEbttkmYDnLxIUTL-","Сертифікат")</f>
        <v>Сертифікат</v>
      </c>
      <c r="M944" s="11" t="s">
        <v>22</v>
      </c>
      <c r="N944" s="10">
        <v>65753</v>
      </c>
      <c r="O944" s="10">
        <v>199183</v>
      </c>
      <c r="P944" s="10" t="s">
        <v>2508</v>
      </c>
      <c r="Q944" s="10">
        <v>118</v>
      </c>
      <c r="R944" s="10" t="s">
        <v>57</v>
      </c>
      <c r="S944" s="10">
        <v>238.8</v>
      </c>
      <c r="T944" s="10">
        <v>46.24</v>
      </c>
      <c r="U944" s="29">
        <v>43789</v>
      </c>
      <c r="V944" s="66">
        <v>47441</v>
      </c>
      <c r="W944" s="10" t="s">
        <v>10</v>
      </c>
      <c r="X944" s="10" t="s">
        <v>17</v>
      </c>
    </row>
    <row r="945" spans="1:24" ht="50.25" customHeight="1" x14ac:dyDescent="0.25">
      <c r="A945" s="11">
        <f t="shared" si="63"/>
        <v>942</v>
      </c>
      <c r="B945" s="11" t="s">
        <v>2509</v>
      </c>
      <c r="C945" s="10" t="s">
        <v>2510</v>
      </c>
      <c r="D945" s="10" t="s">
        <v>86</v>
      </c>
      <c r="E945" s="10" t="s">
        <v>0</v>
      </c>
      <c r="F945" s="11" t="s">
        <v>2511</v>
      </c>
      <c r="G945" s="11"/>
      <c r="H945" s="11"/>
      <c r="I945" s="11" t="s">
        <v>836</v>
      </c>
      <c r="J945" s="11" t="s">
        <v>1591</v>
      </c>
      <c r="K945" s="15" t="str">
        <f>HYPERLINK("https://drive.google.com/open?id=1Eu3b-SQR6QMzDrWPm53uhmGYQaQSos-l","KPI-CE 000011")</f>
        <v>KPI-CE 000011</v>
      </c>
      <c r="L945" s="15" t="str">
        <f>HYPERLINK("https://drive.google.com/open?id=1QzbLCC2_vnxAal5rxWztdOSEZDVnr1e0","Сертифікат")</f>
        <v>Сертифікат</v>
      </c>
      <c r="M945" s="11" t="s">
        <v>20</v>
      </c>
      <c r="N945" s="10">
        <v>6570</v>
      </c>
      <c r="O945" s="10">
        <v>19710</v>
      </c>
      <c r="P945" s="10">
        <v>7</v>
      </c>
      <c r="Q945" s="10">
        <v>95.53</v>
      </c>
      <c r="R945" s="10" t="s">
        <v>57</v>
      </c>
      <c r="S945" s="10">
        <v>116.86</v>
      </c>
      <c r="T945" s="10">
        <v>28.9</v>
      </c>
      <c r="U945" s="29">
        <v>43788</v>
      </c>
      <c r="V945" s="66">
        <v>47440</v>
      </c>
      <c r="W945" s="10" t="s">
        <v>10</v>
      </c>
      <c r="X945" s="10" t="s">
        <v>17</v>
      </c>
    </row>
    <row r="946" spans="1:24" ht="50.25" customHeight="1" x14ac:dyDescent="0.25">
      <c r="A946" s="11">
        <f t="shared" si="63"/>
        <v>943</v>
      </c>
      <c r="B946" s="27" t="s">
        <v>2512</v>
      </c>
      <c r="C946" s="10" t="s">
        <v>74</v>
      </c>
      <c r="D946" s="10" t="s">
        <v>75</v>
      </c>
      <c r="E946" s="10" t="s">
        <v>2</v>
      </c>
      <c r="F946" s="11" t="s">
        <v>2513</v>
      </c>
      <c r="G946" s="11"/>
      <c r="H946" s="11"/>
      <c r="I946" s="11">
        <v>2007</v>
      </c>
      <c r="J946" s="11" t="s">
        <v>2514</v>
      </c>
      <c r="K946" s="15" t="str">
        <f>HYPERLINK("https://drive.google.com/open?id=1gVjK7Kms_vZzDIaxyBi5Lt_7GawMSOWj","АА000052")</f>
        <v>АА000052</v>
      </c>
      <c r="L946" s="15" t="str">
        <f>HYPERLINK("https://drive.google.com/open?id=11ilY36brQfITfjhjr0TOYS8CidRPLt2r","Сертифікат")</f>
        <v>Сертифікат</v>
      </c>
      <c r="M946" s="11" t="s">
        <v>18</v>
      </c>
      <c r="N946" s="10">
        <v>1557</v>
      </c>
      <c r="O946" s="10">
        <v>5138.1000000000004</v>
      </c>
      <c r="P946" s="10">
        <v>5</v>
      </c>
      <c r="Q946" s="10">
        <v>38.4</v>
      </c>
      <c r="R946" s="10" t="s">
        <v>66</v>
      </c>
      <c r="S946" s="10">
        <v>264.8</v>
      </c>
      <c r="T946" s="10">
        <v>50.2</v>
      </c>
      <c r="U946" s="29">
        <v>43763</v>
      </c>
      <c r="V946" s="66">
        <v>47415</v>
      </c>
      <c r="W946" s="10" t="s">
        <v>10</v>
      </c>
      <c r="X946" s="10" t="s">
        <v>17</v>
      </c>
    </row>
    <row r="947" spans="1:24" ht="50.25" customHeight="1" x14ac:dyDescent="0.25">
      <c r="A947" s="11">
        <f t="shared" si="63"/>
        <v>944</v>
      </c>
      <c r="B947" s="11" t="s">
        <v>2515</v>
      </c>
      <c r="C947" s="10" t="s">
        <v>2516</v>
      </c>
      <c r="D947" s="10" t="s">
        <v>238</v>
      </c>
      <c r="E947" s="10" t="s">
        <v>2</v>
      </c>
      <c r="F947" s="11" t="s">
        <v>2429</v>
      </c>
      <c r="G947" s="11"/>
      <c r="H947" s="11"/>
      <c r="I947" s="11">
        <v>1969</v>
      </c>
      <c r="J947" s="11" t="s">
        <v>908</v>
      </c>
      <c r="K947" s="15" t="str">
        <f>HYPERLINK("https://drive.google.com/open?id=1XyAHqlyKm3cSooUFxa72DZEa7K5u3CT5","ТБ0006")</f>
        <v>ТБ0006</v>
      </c>
      <c r="L947" s="15" t="str">
        <f>HYPERLINK("https://drive.google.com/open?id=1UuapvZPaomXhyAWikM4cy13HS6MDQA4g","Сертифікат")</f>
        <v>Сертифікат</v>
      </c>
      <c r="M947" s="11" t="s">
        <v>26</v>
      </c>
      <c r="N947" s="10">
        <v>904</v>
      </c>
      <c r="O947" s="10">
        <v>4339.2</v>
      </c>
      <c r="P947" s="10">
        <v>2</v>
      </c>
      <c r="Q947" s="10">
        <v>114.88</v>
      </c>
      <c r="R947" s="10" t="s">
        <v>66</v>
      </c>
      <c r="S947" s="10">
        <v>611.27</v>
      </c>
      <c r="T947" s="10">
        <v>193.01</v>
      </c>
      <c r="U947" s="29">
        <v>43789</v>
      </c>
      <c r="V947" s="66">
        <v>47441</v>
      </c>
      <c r="W947" s="10" t="s">
        <v>13</v>
      </c>
      <c r="X947" s="10" t="s">
        <v>17</v>
      </c>
    </row>
    <row r="948" spans="1:24" ht="50.25" customHeight="1" x14ac:dyDescent="0.25">
      <c r="A948" s="11">
        <f t="shared" si="63"/>
        <v>945</v>
      </c>
      <c r="B948" s="11" t="s">
        <v>2517</v>
      </c>
      <c r="C948" s="10" t="s">
        <v>52</v>
      </c>
      <c r="D948" s="10" t="s">
        <v>52</v>
      </c>
      <c r="E948" s="10" t="s">
        <v>5</v>
      </c>
      <c r="F948" s="11" t="s">
        <v>2518</v>
      </c>
      <c r="G948" s="11"/>
      <c r="H948" s="11"/>
      <c r="I948" s="11" t="s">
        <v>836</v>
      </c>
      <c r="J948" s="11" t="s">
        <v>240</v>
      </c>
      <c r="K948" s="15" t="str">
        <f>HYPERLINK("https://drive.google.com/open?id=1bdfPcoVY7gGnfSqAUR9FcOU1nrSE71tH","АА000020")</f>
        <v>АА000020</v>
      </c>
      <c r="L948" s="15" t="str">
        <f>HYPERLINK("https://drive.google.com/open?id=1gkPWHSNypaVxaXLNe0vsyBpGiqcYU4Ng","Сертифікат")</f>
        <v>Сертифікат</v>
      </c>
      <c r="M948" s="11" t="s">
        <v>15</v>
      </c>
      <c r="N948" s="10">
        <v>17617.84</v>
      </c>
      <c r="O948" s="10">
        <v>69238.11</v>
      </c>
      <c r="P948" s="10" t="s">
        <v>2519</v>
      </c>
      <c r="Q948" s="10">
        <v>48.58</v>
      </c>
      <c r="R948" s="10" t="s">
        <v>66</v>
      </c>
      <c r="S948" s="10">
        <v>305.63</v>
      </c>
      <c r="T948" s="10">
        <v>103.9</v>
      </c>
      <c r="U948" s="29">
        <v>43788</v>
      </c>
      <c r="V948" s="66">
        <v>47440</v>
      </c>
      <c r="W948" s="10" t="s">
        <v>10</v>
      </c>
      <c r="X948" s="10" t="s">
        <v>17</v>
      </c>
    </row>
    <row r="949" spans="1:24" ht="50.25" customHeight="1" x14ac:dyDescent="0.25">
      <c r="A949" s="11">
        <f t="shared" si="63"/>
        <v>946</v>
      </c>
      <c r="B949" s="11" t="s">
        <v>2520</v>
      </c>
      <c r="C949" s="10" t="s">
        <v>2521</v>
      </c>
      <c r="D949" s="10" t="s">
        <v>69</v>
      </c>
      <c r="E949" s="10" t="s">
        <v>0</v>
      </c>
      <c r="F949" s="11" t="s">
        <v>2522</v>
      </c>
      <c r="G949" s="11"/>
      <c r="H949" s="11"/>
      <c r="I949" s="11">
        <v>2019</v>
      </c>
      <c r="J949" s="11" t="s">
        <v>438</v>
      </c>
      <c r="K949" s="15" t="str">
        <f>HYPERLINK("https://drive.google.com/open?id=1pQzRPvBj_zLUQF1x327A_Ozsrhj7_hqF","ОД 02071010/0994-18")</f>
        <v>ОД 02071010/0994-18</v>
      </c>
      <c r="L949" s="15" t="str">
        <f>HYPERLINK("https://drive.google.com/open?id=1v6Yu68NTKqclQ6n6MsGW8YJeewYZmt9V","Сертифікат")</f>
        <v>Сертифікат</v>
      </c>
      <c r="M949" s="11" t="s">
        <v>18</v>
      </c>
      <c r="N949" s="10">
        <v>5299.5</v>
      </c>
      <c r="O949" s="10">
        <v>14592.5</v>
      </c>
      <c r="P949" s="10">
        <v>5</v>
      </c>
      <c r="Q949" s="10">
        <v>86.4</v>
      </c>
      <c r="R949" s="10" t="s">
        <v>57</v>
      </c>
      <c r="S949" s="10">
        <v>91.2</v>
      </c>
      <c r="T949" s="10">
        <v>17.600000000000001</v>
      </c>
      <c r="U949" s="29">
        <v>43783</v>
      </c>
      <c r="V949" s="66">
        <v>47435</v>
      </c>
      <c r="W949" s="10" t="s">
        <v>10</v>
      </c>
      <c r="X949" s="10" t="s">
        <v>17</v>
      </c>
    </row>
    <row r="950" spans="1:24" ht="50.25" customHeight="1" x14ac:dyDescent="0.25">
      <c r="A950" s="11">
        <f t="shared" si="63"/>
        <v>947</v>
      </c>
      <c r="B950" s="22" t="s">
        <v>2523</v>
      </c>
      <c r="C950" s="47" t="s">
        <v>85</v>
      </c>
      <c r="D950" s="10" t="s">
        <v>86</v>
      </c>
      <c r="E950" s="10" t="s">
        <v>2</v>
      </c>
      <c r="F950" s="27" t="s">
        <v>2524</v>
      </c>
      <c r="G950" s="11"/>
      <c r="H950" s="11"/>
      <c r="I950" s="63">
        <v>1956</v>
      </c>
      <c r="J950" s="11" t="s">
        <v>240</v>
      </c>
      <c r="K950" s="15" t="str">
        <f>HYPERLINK("https://drive.google.com/open?id=1bdfPcoVY7gGnfSqAUR9FcOU1nrSE71tH","№ АА 000020 ")</f>
        <v xml:space="preserve">№ АА 000020 </v>
      </c>
      <c r="L950" s="15" t="str">
        <f>HYPERLINK("https://drive.google.com/open?id=1Vikv9MTfGf8kB0i0GpaU9qbfv0https://drive.google.com/open?id=15XdvDkHtKGySgng7WywGzZuxtRvE080jlQA62p","Сертифікат")</f>
        <v>Сертифікат</v>
      </c>
      <c r="M950" s="11" t="s">
        <v>22</v>
      </c>
      <c r="N950" s="10">
        <v>1039</v>
      </c>
      <c r="O950" s="10">
        <v>4000.15</v>
      </c>
      <c r="P950" s="10">
        <v>2</v>
      </c>
      <c r="Q950" s="10">
        <v>87.9</v>
      </c>
      <c r="R950" s="10" t="s">
        <v>66</v>
      </c>
      <c r="S950" s="10">
        <v>377.6</v>
      </c>
      <c r="T950" s="10">
        <v>85.13</v>
      </c>
      <c r="U950" s="29">
        <v>43788</v>
      </c>
      <c r="V950" s="66">
        <v>47440</v>
      </c>
      <c r="W950" s="10" t="s">
        <v>10</v>
      </c>
      <c r="X950" s="10" t="s">
        <v>17</v>
      </c>
    </row>
    <row r="951" spans="1:24" ht="50.25" customHeight="1" x14ac:dyDescent="0.25">
      <c r="A951" s="11">
        <f t="shared" si="63"/>
        <v>948</v>
      </c>
      <c r="B951" s="11" t="s">
        <v>2525</v>
      </c>
      <c r="C951" s="52" t="s">
        <v>243</v>
      </c>
      <c r="D951" s="10" t="s">
        <v>238</v>
      </c>
      <c r="E951" s="10" t="s">
        <v>0</v>
      </c>
      <c r="F951" s="11" t="s">
        <v>2526</v>
      </c>
      <c r="G951" s="11"/>
      <c r="H951" s="11"/>
      <c r="I951" s="11" t="s">
        <v>1962</v>
      </c>
      <c r="J951" s="11" t="s">
        <v>209</v>
      </c>
      <c r="K951" s="15" t="str">
        <f>HYPERLINK("https://drive.google.com/open?id=1nFSy5k_5dEpHD1r7NrzhyR0bvCdUEIlN","СБ-0033")</f>
        <v>СБ-0033</v>
      </c>
      <c r="L951" s="15" t="str">
        <f>HYPERLINK("https://drive.google.com/open?id=1Fh0H0ERB2YeyUE50gkbsCO2kvhqgLW3m","Сертифікат")</f>
        <v>Сертифікат</v>
      </c>
      <c r="M951" s="11" t="s">
        <v>22</v>
      </c>
      <c r="N951" s="10">
        <v>9527</v>
      </c>
      <c r="O951" s="10">
        <v>28580</v>
      </c>
      <c r="P951" s="10">
        <v>16</v>
      </c>
      <c r="Q951" s="10">
        <v>130</v>
      </c>
      <c r="R951" s="10" t="s">
        <v>57</v>
      </c>
      <c r="S951" s="10">
        <v>201</v>
      </c>
      <c r="T951" s="10">
        <v>40</v>
      </c>
      <c r="U951" s="29">
        <v>43784</v>
      </c>
      <c r="V951" s="66">
        <v>47436</v>
      </c>
      <c r="W951" s="10" t="s">
        <v>13</v>
      </c>
      <c r="X951" s="10" t="s">
        <v>17</v>
      </c>
    </row>
    <row r="952" spans="1:24" ht="50.25" customHeight="1" x14ac:dyDescent="0.25">
      <c r="A952" s="11">
        <f t="shared" si="63"/>
        <v>949</v>
      </c>
      <c r="B952" s="11" t="s">
        <v>2527</v>
      </c>
      <c r="C952" s="10" t="s">
        <v>147</v>
      </c>
      <c r="D952" s="10" t="s">
        <v>148</v>
      </c>
      <c r="E952" s="10" t="s">
        <v>0</v>
      </c>
      <c r="F952" s="11" t="s">
        <v>2528</v>
      </c>
      <c r="G952" s="11"/>
      <c r="H952" s="11"/>
      <c r="I952" s="11" t="s">
        <v>1962</v>
      </c>
      <c r="J952" s="11" t="s">
        <v>732</v>
      </c>
      <c r="K952" s="15" t="str">
        <f t="shared" ref="K952:K953" si="66">HYPERLINK("https://drive.google.com/open?id=1YmIUNUHq4P-kOoyLjfDDMpvQv5hFDMTd","ОРІ-АВ00010")</f>
        <v>ОРІ-АВ00010</v>
      </c>
      <c r="L952" s="15" t="str">
        <f>HYPERLINK("https://drive.google.com/open?id=1wu1YfzYAY6TUx3UoOn_gQqmW7C6C8ALJ","Сертифікат")</f>
        <v>Сертифікат</v>
      </c>
      <c r="M952" s="11" t="s">
        <v>18</v>
      </c>
      <c r="N952" s="10">
        <v>13931.35</v>
      </c>
      <c r="O952" s="10">
        <v>46160</v>
      </c>
      <c r="P952" s="10">
        <v>25</v>
      </c>
      <c r="Q952" s="10">
        <v>82.4</v>
      </c>
      <c r="R952" s="10" t="s">
        <v>57</v>
      </c>
      <c r="S952" s="10">
        <v>151</v>
      </c>
      <c r="T952" s="10">
        <v>29</v>
      </c>
      <c r="U952" s="29">
        <v>43789</v>
      </c>
      <c r="V952" s="66">
        <v>47441</v>
      </c>
      <c r="W952" s="10" t="s">
        <v>10</v>
      </c>
      <c r="X952" s="10" t="s">
        <v>17</v>
      </c>
    </row>
    <row r="953" spans="1:24" ht="50.25" customHeight="1" x14ac:dyDescent="0.25">
      <c r="A953" s="11">
        <f t="shared" si="63"/>
        <v>950</v>
      </c>
      <c r="B953" s="11" t="s">
        <v>2529</v>
      </c>
      <c r="C953" s="10" t="s">
        <v>147</v>
      </c>
      <c r="D953" s="10" t="s">
        <v>148</v>
      </c>
      <c r="E953" s="10" t="s">
        <v>0</v>
      </c>
      <c r="F953" s="11" t="s">
        <v>2528</v>
      </c>
      <c r="G953" s="11"/>
      <c r="H953" s="11"/>
      <c r="I953" s="11" t="s">
        <v>1962</v>
      </c>
      <c r="J953" s="11" t="s">
        <v>732</v>
      </c>
      <c r="K953" s="15" t="str">
        <f t="shared" si="66"/>
        <v>ОРІ-АВ00010</v>
      </c>
      <c r="L953" s="15" t="str">
        <f>HYPERLINK("https://drive.google.com/open?id=1OJfcdZrX29Qyid9Aw5J40KTcvbRyoIJM","Сертифікат")</f>
        <v>Сертифікат</v>
      </c>
      <c r="M953" s="11" t="s">
        <v>18</v>
      </c>
      <c r="N953" s="10">
        <v>13767.93</v>
      </c>
      <c r="O953" s="10">
        <v>45884.62</v>
      </c>
      <c r="P953" s="10">
        <v>25</v>
      </c>
      <c r="Q953" s="10">
        <v>86.8</v>
      </c>
      <c r="R953" s="10" t="s">
        <v>57</v>
      </c>
      <c r="S953" s="10">
        <v>157</v>
      </c>
      <c r="T953" s="10">
        <v>31</v>
      </c>
      <c r="U953" s="29">
        <v>43789</v>
      </c>
      <c r="V953" s="66">
        <v>47441</v>
      </c>
      <c r="W953" s="10" t="s">
        <v>10</v>
      </c>
      <c r="X953" s="10" t="s">
        <v>17</v>
      </c>
    </row>
    <row r="954" spans="1:24" ht="50.25" customHeight="1" x14ac:dyDescent="0.25">
      <c r="A954" s="11">
        <f t="shared" si="63"/>
        <v>951</v>
      </c>
      <c r="B954" s="11" t="s">
        <v>2530</v>
      </c>
      <c r="C954" s="10" t="s">
        <v>85</v>
      </c>
      <c r="D954" s="10" t="s">
        <v>86</v>
      </c>
      <c r="E954" s="10" t="s">
        <v>0</v>
      </c>
      <c r="F954" s="11" t="s">
        <v>1572</v>
      </c>
      <c r="G954" s="11"/>
      <c r="H954" s="11"/>
      <c r="I954" s="11">
        <v>2019</v>
      </c>
      <c r="J954" s="11" t="s">
        <v>1591</v>
      </c>
      <c r="K954" s="15" t="str">
        <f>HYPERLINK("https://drive.google.com/open?id=1Eu3b-SQR6QMzDrWPm53uhmGYQaQSos-l","KPI-CE 000011")</f>
        <v>KPI-CE 000011</v>
      </c>
      <c r="L954" s="15" t="str">
        <f>HYPERLINK("https://drive.google.com/open?id=1STtmolADpE-7B1IANnXSwrJ1ve5F7DbJ","Сертифікат")</f>
        <v>Сертифікат</v>
      </c>
      <c r="M954" s="11" t="s">
        <v>18</v>
      </c>
      <c r="N954" s="10">
        <v>4643</v>
      </c>
      <c r="O954" s="10">
        <v>13232</v>
      </c>
      <c r="P954" s="10">
        <v>9</v>
      </c>
      <c r="Q954" s="10">
        <v>82.59</v>
      </c>
      <c r="R954" s="10" t="s">
        <v>57</v>
      </c>
      <c r="S954" s="10">
        <v>106.52</v>
      </c>
      <c r="T954" s="10">
        <v>27.3</v>
      </c>
      <c r="U954" s="29">
        <v>43788</v>
      </c>
      <c r="V954" s="66">
        <v>47440</v>
      </c>
      <c r="W954" s="10" t="s">
        <v>10</v>
      </c>
      <c r="X954" s="10" t="s">
        <v>17</v>
      </c>
    </row>
    <row r="955" spans="1:24" ht="50.25" customHeight="1" x14ac:dyDescent="0.25">
      <c r="A955" s="11">
        <f t="shared" si="63"/>
        <v>952</v>
      </c>
      <c r="B955" s="11" t="s">
        <v>2531</v>
      </c>
      <c r="C955" s="47" t="s">
        <v>2532</v>
      </c>
      <c r="D955" s="10" t="s">
        <v>75</v>
      </c>
      <c r="E955" s="10" t="s">
        <v>2</v>
      </c>
      <c r="F955" s="11" t="s">
        <v>2533</v>
      </c>
      <c r="G955" s="11"/>
      <c r="H955" s="11"/>
      <c r="I955" s="11">
        <v>1968</v>
      </c>
      <c r="J955" s="11" t="s">
        <v>2054</v>
      </c>
      <c r="K955" s="15" t="str">
        <f>HYPERLINK("https://drive.google.com/open?id=15mzOVo5DzvZRYSFkEsMp5jV14CeCYhNn","АЕ00007")</f>
        <v>АЕ00007</v>
      </c>
      <c r="L955" s="15" t="str">
        <f>HYPERLINK("https://drive.google.com/open?id=1wfEYK22lYc-ZQ5r2aYclcpk01_CcS4ss","Сертифікат")</f>
        <v>Сертифікат</v>
      </c>
      <c r="M955" s="11" t="s">
        <v>26</v>
      </c>
      <c r="N955" s="10">
        <v>260.89999999999998</v>
      </c>
      <c r="O955" s="10">
        <v>946.3</v>
      </c>
      <c r="P955" s="10">
        <v>1</v>
      </c>
      <c r="Q955" s="10">
        <v>200.5</v>
      </c>
      <c r="R955" s="10" t="s">
        <v>66</v>
      </c>
      <c r="S955" s="10">
        <v>165.1</v>
      </c>
      <c r="T955" s="10">
        <v>14.1</v>
      </c>
      <c r="U955" s="29">
        <v>43790</v>
      </c>
      <c r="V955" s="66">
        <v>47442</v>
      </c>
      <c r="W955" s="10" t="s">
        <v>13</v>
      </c>
      <c r="X955" s="10" t="s">
        <v>17</v>
      </c>
    </row>
    <row r="956" spans="1:24" ht="50.25" customHeight="1" x14ac:dyDescent="0.25">
      <c r="A956" s="11">
        <f t="shared" si="63"/>
        <v>953</v>
      </c>
      <c r="B956" s="11" t="s">
        <v>2534</v>
      </c>
      <c r="C956" s="10" t="s">
        <v>243</v>
      </c>
      <c r="D956" s="10" t="s">
        <v>238</v>
      </c>
      <c r="E956" s="10" t="s">
        <v>0</v>
      </c>
      <c r="F956" s="11" t="s">
        <v>2535</v>
      </c>
      <c r="G956" s="11"/>
      <c r="H956" s="11"/>
      <c r="I956" s="11" t="s">
        <v>1962</v>
      </c>
      <c r="J956" s="11" t="s">
        <v>2016</v>
      </c>
      <c r="K956" s="15" t="str">
        <f t="shared" ref="K956:K957" si="67">HYPERLINK("https://drive.google.com/open?id=1NDvr0vu80IIwRY2k-kYSYk4ErtrruV_6","ХПІ.00015")</f>
        <v>ХПІ.00015</v>
      </c>
      <c r="L956" s="15" t="str">
        <f>HYPERLINK("https://drive.google.com/open?id=1U_a_gm2ZyjdEpzWIPQuuYH2b4ZwpGTkR","Сертифікат")</f>
        <v>Сертифікат</v>
      </c>
      <c r="M956" s="11" t="s">
        <v>18</v>
      </c>
      <c r="N956" s="10">
        <v>27907.93</v>
      </c>
      <c r="O956" s="10">
        <v>90817.5</v>
      </c>
      <c r="P956" s="10">
        <v>17</v>
      </c>
      <c r="Q956" s="10">
        <v>86.02</v>
      </c>
      <c r="R956" s="10" t="s">
        <v>57</v>
      </c>
      <c r="S956" s="10">
        <v>131.47</v>
      </c>
      <c r="T956" s="10">
        <v>26.29</v>
      </c>
      <c r="U956" s="29">
        <v>43769</v>
      </c>
      <c r="V956" s="66">
        <v>47421</v>
      </c>
      <c r="W956" s="10" t="s">
        <v>10</v>
      </c>
      <c r="X956" s="10" t="s">
        <v>17</v>
      </c>
    </row>
    <row r="957" spans="1:24" ht="50.25" customHeight="1" x14ac:dyDescent="0.25">
      <c r="A957" s="11">
        <f t="shared" si="63"/>
        <v>954</v>
      </c>
      <c r="B957" s="11" t="s">
        <v>2536</v>
      </c>
      <c r="C957" s="10" t="s">
        <v>243</v>
      </c>
      <c r="D957" s="10" t="s">
        <v>238</v>
      </c>
      <c r="E957" s="10" t="s">
        <v>0</v>
      </c>
      <c r="F957" s="11" t="s">
        <v>2535</v>
      </c>
      <c r="G957" s="11"/>
      <c r="H957" s="11"/>
      <c r="I957" s="11" t="s">
        <v>1962</v>
      </c>
      <c r="J957" s="11" t="s">
        <v>2016</v>
      </c>
      <c r="K957" s="15" t="str">
        <f t="shared" si="67"/>
        <v>ХПІ.00015</v>
      </c>
      <c r="L957" s="15" t="str">
        <f>HYPERLINK("https://drive.google.com/open?id=12SENTldLcTBP58ri3EDiXxGEH3lK2At5","Сертифікат")</f>
        <v>Сертифікат</v>
      </c>
      <c r="M957" s="11" t="s">
        <v>18</v>
      </c>
      <c r="N957" s="10">
        <v>23457.4</v>
      </c>
      <c r="O957" s="10">
        <v>72060</v>
      </c>
      <c r="P957" s="10">
        <v>18</v>
      </c>
      <c r="Q957" s="10">
        <v>79.78</v>
      </c>
      <c r="R957" s="10" t="s">
        <v>57</v>
      </c>
      <c r="S957" s="10">
        <v>121.05</v>
      </c>
      <c r="T957" s="10">
        <v>24.21</v>
      </c>
      <c r="U957" s="29">
        <v>43769</v>
      </c>
      <c r="V957" s="66">
        <v>47421</v>
      </c>
      <c r="W957" s="10" t="s">
        <v>10</v>
      </c>
      <c r="X957" s="10" t="s">
        <v>17</v>
      </c>
    </row>
    <row r="958" spans="1:24" ht="50.25" customHeight="1" x14ac:dyDescent="0.25">
      <c r="A958" s="11">
        <f t="shared" si="63"/>
        <v>955</v>
      </c>
      <c r="B958" s="11" t="s">
        <v>2537</v>
      </c>
      <c r="C958" s="10" t="s">
        <v>243</v>
      </c>
      <c r="D958" s="10" t="s">
        <v>238</v>
      </c>
      <c r="E958" s="10" t="s">
        <v>0</v>
      </c>
      <c r="F958" s="11" t="s">
        <v>1471</v>
      </c>
      <c r="G958" s="11"/>
      <c r="H958" s="11"/>
      <c r="I958" s="11">
        <v>2019</v>
      </c>
      <c r="J958" s="11" t="s">
        <v>2347</v>
      </c>
      <c r="K958" s="15" t="str">
        <f>HYPERLINK("https://drive.google.com/open?id=1tYA6mHoYATC0lpDSlChyx7uxGwMkjZPw","ХПІ.0009")</f>
        <v>ХПІ.0009</v>
      </c>
      <c r="L958" s="15" t="str">
        <f>HYPERLINK("https://drive.google.com/open?id=1_odkGIZ3fXi58aT79s3U8BVpndL1zUdv","Сертифікат")</f>
        <v>Сертифікат</v>
      </c>
      <c r="M958" s="11" t="s">
        <v>18</v>
      </c>
      <c r="N958" s="10">
        <v>5065.45</v>
      </c>
      <c r="O958" s="10">
        <v>17263.099999999999</v>
      </c>
      <c r="P958" s="10">
        <v>8</v>
      </c>
      <c r="Q958" s="10">
        <v>85.2</v>
      </c>
      <c r="R958" s="10" t="s">
        <v>57</v>
      </c>
      <c r="S958" s="10">
        <v>131.71</v>
      </c>
      <c r="T958" s="10">
        <v>18.75</v>
      </c>
      <c r="U958" s="29">
        <v>43789</v>
      </c>
      <c r="V958" s="66">
        <v>43796</v>
      </c>
      <c r="W958" s="10" t="s">
        <v>10</v>
      </c>
      <c r="X958" s="10" t="s">
        <v>17</v>
      </c>
    </row>
    <row r="959" spans="1:24" ht="50.25" customHeight="1" x14ac:dyDescent="0.25">
      <c r="A959" s="11">
        <f t="shared" si="63"/>
        <v>956</v>
      </c>
      <c r="B959" s="11" t="s">
        <v>2538</v>
      </c>
      <c r="C959" s="10" t="s">
        <v>357</v>
      </c>
      <c r="D959" s="10" t="s">
        <v>142</v>
      </c>
      <c r="E959" s="10" t="s">
        <v>7</v>
      </c>
      <c r="F959" s="11" t="s">
        <v>2539</v>
      </c>
      <c r="G959" s="11"/>
      <c r="H959" s="11"/>
      <c r="I959" s="11" t="s">
        <v>2540</v>
      </c>
      <c r="J959" s="11" t="s">
        <v>1160</v>
      </c>
      <c r="K959" s="15" t="str">
        <f>HYPERLINK("https://drive.google.com/open?id=1Xvt1WHN4a3lh1GkA7Hg2sSdXHdM5XEXy","АР000072")</f>
        <v>АР000072</v>
      </c>
      <c r="L959" s="15" t="str">
        <f>HYPERLINK("https://drive.google.com/open?id=16Cfwqma7CWXC6N-ybtWVRw7NCnHKBuaT","Сертифікат")</f>
        <v>Сертифікат</v>
      </c>
      <c r="M959" s="11" t="s">
        <v>20</v>
      </c>
      <c r="N959" s="10">
        <v>734.17</v>
      </c>
      <c r="O959" s="10">
        <v>2415.42</v>
      </c>
      <c r="P959" s="10">
        <v>1</v>
      </c>
      <c r="Q959" s="10">
        <v>66.2</v>
      </c>
      <c r="R959" s="10" t="s">
        <v>66</v>
      </c>
      <c r="S959" s="10">
        <v>358.1</v>
      </c>
      <c r="T959" s="10">
        <v>65.400000000000006</v>
      </c>
      <c r="U959" s="29">
        <v>43790</v>
      </c>
      <c r="V959" s="66">
        <v>47442</v>
      </c>
      <c r="W959" s="10" t="s">
        <v>10</v>
      </c>
      <c r="X959" s="10" t="s">
        <v>17</v>
      </c>
    </row>
    <row r="960" spans="1:24" ht="50.25" customHeight="1" x14ac:dyDescent="0.25">
      <c r="A960" s="11">
        <f t="shared" si="63"/>
        <v>957</v>
      </c>
      <c r="B960" s="11" t="s">
        <v>2541</v>
      </c>
      <c r="C960" s="10" t="s">
        <v>243</v>
      </c>
      <c r="D960" s="10" t="s">
        <v>238</v>
      </c>
      <c r="E960" s="10" t="s">
        <v>5</v>
      </c>
      <c r="F960" s="11" t="s">
        <v>2542</v>
      </c>
      <c r="G960" s="11"/>
      <c r="H960" s="11"/>
      <c r="I960" s="11">
        <v>1982</v>
      </c>
      <c r="J960" s="11" t="s">
        <v>2543</v>
      </c>
      <c r="K960" s="15" t="str">
        <f>HYPERLINK("https://drive.google.com/open?id=1TxCf_mJUVARswY9c8vLbUJ9vknmXproU","№СБ-0093")</f>
        <v>№СБ-0093</v>
      </c>
      <c r="L960" s="15" t="str">
        <f>HYPERLINK("https://drive.google.com/open?id=1K0LJS39b_FvX-hnjPamTLo7FOXZ-mUBQ","Сертифікат")</f>
        <v>Сертифікат</v>
      </c>
      <c r="M960" s="11" t="s">
        <v>24</v>
      </c>
      <c r="N960" s="10">
        <v>4275.5</v>
      </c>
      <c r="O960" s="10">
        <v>13169</v>
      </c>
      <c r="P960" s="10">
        <v>5</v>
      </c>
      <c r="Q960" s="10">
        <v>74.680000000000007</v>
      </c>
      <c r="R960" s="10" t="s">
        <v>66</v>
      </c>
      <c r="S960" s="10">
        <v>78.13</v>
      </c>
      <c r="T960" s="10">
        <v>58.4</v>
      </c>
      <c r="U960" s="29">
        <v>43781</v>
      </c>
      <c r="V960" s="66">
        <v>47442</v>
      </c>
      <c r="W960" s="10" t="s">
        <v>13</v>
      </c>
      <c r="X960" s="10" t="s">
        <v>17</v>
      </c>
    </row>
    <row r="961" spans="1:24" ht="50.25" customHeight="1" x14ac:dyDescent="0.25">
      <c r="A961" s="11">
        <f t="shared" si="63"/>
        <v>958</v>
      </c>
      <c r="B961" s="11" t="s">
        <v>2544</v>
      </c>
      <c r="C961" s="10" t="s">
        <v>1593</v>
      </c>
      <c r="D961" s="10" t="s">
        <v>86</v>
      </c>
      <c r="E961" s="10" t="s">
        <v>7</v>
      </c>
      <c r="F961" s="11" t="s">
        <v>2545</v>
      </c>
      <c r="G961" s="11"/>
      <c r="H961" s="11"/>
      <c r="I961" s="11" t="s">
        <v>689</v>
      </c>
      <c r="J961" s="11" t="s">
        <v>2008</v>
      </c>
      <c r="K961" s="51" t="str">
        <f>HYPERLINK("https://drive.google.com/open?id=1Do6lmdSbyvLLqC0yOLG1tDAG0TFH3W3N","ОД 02071010/0117-19")</f>
        <v>ОД 02071010/0117-19</v>
      </c>
      <c r="L961" s="15" t="str">
        <f>HYPERLINK("https://drive.google.com/open?id=10Dd-bG0lkc17XRk2b4eYQ_FCl_6HWmrM","Сертифікат")</f>
        <v>Сертифікат</v>
      </c>
      <c r="M961" s="11" t="s">
        <v>15</v>
      </c>
      <c r="N961" s="10">
        <v>927.5</v>
      </c>
      <c r="O961" s="10">
        <v>3258.8</v>
      </c>
      <c r="P961" s="10">
        <v>2</v>
      </c>
      <c r="Q961" s="10">
        <v>36.479999999999997</v>
      </c>
      <c r="R961" s="10" t="s">
        <v>66</v>
      </c>
      <c r="S961" s="10">
        <v>562.16</v>
      </c>
      <c r="T961" s="10">
        <v>102.66</v>
      </c>
      <c r="U961" s="29">
        <v>43788</v>
      </c>
      <c r="V961" s="66">
        <v>47440</v>
      </c>
      <c r="W961" s="10" t="s">
        <v>13</v>
      </c>
      <c r="X961" s="10" t="s">
        <v>17</v>
      </c>
    </row>
    <row r="962" spans="1:24" ht="50.25" customHeight="1" x14ac:dyDescent="0.25">
      <c r="A962" s="11">
        <f t="shared" si="63"/>
        <v>959</v>
      </c>
      <c r="B962" s="11" t="s">
        <v>2546</v>
      </c>
      <c r="C962" s="10" t="s">
        <v>74</v>
      </c>
      <c r="D962" s="10" t="s">
        <v>75</v>
      </c>
      <c r="E962" s="10" t="s">
        <v>0</v>
      </c>
      <c r="F962" s="11" t="s">
        <v>0</v>
      </c>
      <c r="G962" s="11"/>
      <c r="H962" s="11"/>
      <c r="I962" s="11">
        <v>1967</v>
      </c>
      <c r="J962" s="11" t="s">
        <v>657</v>
      </c>
      <c r="K962" s="15" t="s">
        <v>658</v>
      </c>
      <c r="L962" s="15" t="str">
        <f>HYPERLINK("https://drive.google.com/open?id=1u0sjKLKrQ6EKhNJncyjCK-03dAbYR8XK","Сертифікат")</f>
        <v>Сертифікат</v>
      </c>
      <c r="M962" s="11" t="s">
        <v>26</v>
      </c>
      <c r="N962" s="10">
        <v>2485.9</v>
      </c>
      <c r="O962" s="10">
        <v>6986</v>
      </c>
      <c r="P962" s="10">
        <v>5</v>
      </c>
      <c r="Q962" s="10">
        <v>207.33</v>
      </c>
      <c r="R962" s="10" t="s">
        <v>66</v>
      </c>
      <c r="S962" s="10">
        <v>396.24400000000003</v>
      </c>
      <c r="T962" s="10">
        <v>76.977999999999994</v>
      </c>
      <c r="U962" s="29">
        <v>43789</v>
      </c>
      <c r="V962" s="66">
        <v>47441</v>
      </c>
      <c r="W962" s="10" t="s">
        <v>13</v>
      </c>
      <c r="X962" s="10" t="s">
        <v>17</v>
      </c>
    </row>
    <row r="963" spans="1:24" ht="50.25" customHeight="1" x14ac:dyDescent="0.25">
      <c r="A963" s="11">
        <f t="shared" si="63"/>
        <v>960</v>
      </c>
      <c r="B963" s="11" t="s">
        <v>2547</v>
      </c>
      <c r="C963" s="10" t="s">
        <v>687</v>
      </c>
      <c r="D963" s="10" t="s">
        <v>142</v>
      </c>
      <c r="E963" s="10" t="s">
        <v>2</v>
      </c>
      <c r="F963" s="11" t="s">
        <v>2548</v>
      </c>
      <c r="G963" s="11"/>
      <c r="H963" s="11"/>
      <c r="I963" s="11" t="s">
        <v>2549</v>
      </c>
      <c r="J963" s="11" t="s">
        <v>158</v>
      </c>
      <c r="K963" s="15" t="str">
        <f>HYPERLINK("https://drive.google.com/open?id=1pEg5agn5jdMhfl4Pa1dRPaxDB2kT59cP","ЕЕ-005-10-18")</f>
        <v>ЕЕ-005-10-18</v>
      </c>
      <c r="L963" s="15" t="str">
        <f>HYPERLINK("https://drive.google.com/open?id=1HCQlQukDZRi3oiM0SPKijFbBcAYtFHOa","Сертифікат")</f>
        <v>Сертифікат</v>
      </c>
      <c r="M963" s="11" t="s">
        <v>15</v>
      </c>
      <c r="N963" s="10">
        <v>851.4</v>
      </c>
      <c r="O963" s="10">
        <v>2040.6</v>
      </c>
      <c r="P963" s="10">
        <v>2</v>
      </c>
      <c r="Q963" s="10">
        <v>34.5</v>
      </c>
      <c r="R963" s="10" t="s">
        <v>66</v>
      </c>
      <c r="S963" s="10">
        <v>300</v>
      </c>
      <c r="T963" s="10">
        <v>55</v>
      </c>
      <c r="U963" s="29">
        <v>43791</v>
      </c>
      <c r="V963" s="66">
        <v>47443</v>
      </c>
      <c r="W963" s="10" t="s">
        <v>13</v>
      </c>
      <c r="X963" s="10" t="s">
        <v>17</v>
      </c>
    </row>
    <row r="964" spans="1:24" ht="50.25" customHeight="1" x14ac:dyDescent="0.25">
      <c r="A964" s="11">
        <f t="shared" si="63"/>
        <v>961</v>
      </c>
      <c r="B964" s="11" t="s">
        <v>2550</v>
      </c>
      <c r="C964" s="10" t="s">
        <v>243</v>
      </c>
      <c r="D964" s="10" t="s">
        <v>238</v>
      </c>
      <c r="E964" s="10" t="s">
        <v>2</v>
      </c>
      <c r="F964" s="11" t="s">
        <v>2429</v>
      </c>
      <c r="G964" s="11"/>
      <c r="H964" s="11"/>
      <c r="I964" s="11">
        <v>1970.1995999999999</v>
      </c>
      <c r="J964" s="11" t="s">
        <v>908</v>
      </c>
      <c r="K964" s="15" t="str">
        <f>HYPERLINK("https://drive.google.com/open?id=1XyAHqlyKm3cSooUFxa72DZEa7K5u3CT5","ТБ0006")</f>
        <v>ТБ0006</v>
      </c>
      <c r="L964" s="15" t="str">
        <f>HYPERLINK("https://drive.google.com/open?id=1whXylki08mriuHVmtfuo0gG9jgX89zjJ","Сертифікат")</f>
        <v>Сертифікат</v>
      </c>
      <c r="M964" s="11" t="s">
        <v>26</v>
      </c>
      <c r="N964" s="10">
        <v>3424.98</v>
      </c>
      <c r="O964" s="10">
        <v>10615.95</v>
      </c>
      <c r="P964" s="31">
        <v>43529</v>
      </c>
      <c r="Q964" s="10">
        <v>85.11</v>
      </c>
      <c r="R964" s="10" t="s">
        <v>66</v>
      </c>
      <c r="S964" s="10">
        <v>348.09</v>
      </c>
      <c r="T964" s="10">
        <v>68.62</v>
      </c>
      <c r="U964" s="29">
        <v>43791</v>
      </c>
      <c r="V964" s="66">
        <v>47443</v>
      </c>
      <c r="W964" s="10" t="s">
        <v>10</v>
      </c>
      <c r="X964" s="10" t="s">
        <v>17</v>
      </c>
    </row>
    <row r="965" spans="1:24" ht="50.25" customHeight="1" x14ac:dyDescent="0.25">
      <c r="A965" s="11">
        <f t="shared" si="63"/>
        <v>962</v>
      </c>
      <c r="B965" s="11" t="s">
        <v>2551</v>
      </c>
      <c r="C965" s="52" t="s">
        <v>2552</v>
      </c>
      <c r="D965" s="10" t="s">
        <v>69</v>
      </c>
      <c r="E965" s="10" t="s">
        <v>2</v>
      </c>
      <c r="F965" s="11" t="s">
        <v>2553</v>
      </c>
      <c r="G965" s="11"/>
      <c r="H965" s="11"/>
      <c r="I965" s="11">
        <v>1958</v>
      </c>
      <c r="J965" s="11" t="s">
        <v>438</v>
      </c>
      <c r="K965" s="15" t="str">
        <f>HYPERLINK("https://drive.google.com/open?id=1pQzRPvBj_zLUQF1x327A_Ozsrhj7_hqF","ОД 02071010/0994-18")</f>
        <v>ОД 02071010/0994-18</v>
      </c>
      <c r="L965" s="15" t="str">
        <f>HYPERLINK("https://drive.google.com/open?id=17ETv2q7OW2_9EMMDOgbuiIbMzfLqb_G7","Сертифікат")</f>
        <v>Сертифікат</v>
      </c>
      <c r="M965" s="11" t="s">
        <v>20</v>
      </c>
      <c r="N965" s="10">
        <v>731</v>
      </c>
      <c r="O965" s="10">
        <v>2558.5</v>
      </c>
      <c r="P965" s="10">
        <v>2</v>
      </c>
      <c r="Q965" s="10">
        <v>73.7</v>
      </c>
      <c r="R965" s="10" t="s">
        <v>66</v>
      </c>
      <c r="S965" s="10">
        <v>161.9</v>
      </c>
      <c r="T965" s="10">
        <v>29.8</v>
      </c>
      <c r="U965" s="66">
        <v>43790</v>
      </c>
      <c r="V965" s="66">
        <v>47442</v>
      </c>
      <c r="W965" s="10" t="s">
        <v>10</v>
      </c>
      <c r="X965" s="10" t="s">
        <v>17</v>
      </c>
    </row>
    <row r="966" spans="1:24" ht="50.25" customHeight="1" x14ac:dyDescent="0.25">
      <c r="A966" s="11">
        <f t="shared" si="63"/>
        <v>963</v>
      </c>
      <c r="B966" s="11" t="s">
        <v>2554</v>
      </c>
      <c r="C966" s="47" t="s">
        <v>1145</v>
      </c>
      <c r="D966" s="10" t="s">
        <v>1295</v>
      </c>
      <c r="E966" s="10" t="s">
        <v>0</v>
      </c>
      <c r="F966" s="11" t="s">
        <v>2555</v>
      </c>
      <c r="G966" s="11"/>
      <c r="H966" s="11"/>
      <c r="I966" s="11" t="s">
        <v>2556</v>
      </c>
      <c r="J966" s="11" t="s">
        <v>2557</v>
      </c>
      <c r="K966" s="15" t="str">
        <f>HYPERLINK("https://drive.google.com/open?id=1P6dTBsYQq29KGkPFvs4ZI_Tz8n2hLrSx","ХМ 02071324 / 007")</f>
        <v>ХМ 02071324 / 007</v>
      </c>
      <c r="L966" s="15" t="str">
        <f>HYPERLINK("https://drive.google.com/open?id=1NCAsxtF9uWTEcdbCaYqckPNwzDy91i9X","Сертифікат")</f>
        <v>Сертифікат</v>
      </c>
      <c r="M966" s="11" t="s">
        <v>18</v>
      </c>
      <c r="N966" s="10">
        <v>2634.09</v>
      </c>
      <c r="O966" s="10">
        <v>8030.8</v>
      </c>
      <c r="P966" s="10">
        <v>7</v>
      </c>
      <c r="Q966" s="10">
        <v>86.69</v>
      </c>
      <c r="R966" s="10" t="s">
        <v>66</v>
      </c>
      <c r="S966" s="10">
        <v>84.99</v>
      </c>
      <c r="T966" s="10">
        <v>17</v>
      </c>
      <c r="U966" s="66">
        <v>43770</v>
      </c>
      <c r="V966" s="66">
        <v>47422</v>
      </c>
      <c r="W966" s="10" t="s">
        <v>10</v>
      </c>
      <c r="X966" s="10" t="s">
        <v>17</v>
      </c>
    </row>
    <row r="967" spans="1:24" ht="50.25" customHeight="1" x14ac:dyDescent="0.25">
      <c r="A967" s="11">
        <f t="shared" si="63"/>
        <v>964</v>
      </c>
      <c r="B967" s="27" t="s">
        <v>2558</v>
      </c>
      <c r="C967" s="52" t="s">
        <v>2559</v>
      </c>
      <c r="D967" s="10" t="s">
        <v>2560</v>
      </c>
      <c r="E967" s="10" t="s">
        <v>2</v>
      </c>
      <c r="F967" s="27" t="s">
        <v>2561</v>
      </c>
      <c r="G967" s="11"/>
      <c r="H967" s="11"/>
      <c r="I967" s="10" t="s">
        <v>2562</v>
      </c>
      <c r="J967" s="11" t="s">
        <v>1677</v>
      </c>
      <c r="K967" s="61" t="str">
        <f>HYPERLINK("https://drive.google.com/open?id=1vhmYWFG6BawczER5DQ2Zg0Q4W3ZOpJqS","EA-05408289/019")</f>
        <v>EA-05408289/019</v>
      </c>
      <c r="L967" s="15" t="str">
        <f>HYPERLINK("https://drive.google.com/open?id=1GjITlruWVjMPK6VFGtbadSCKA31jWaKd","Сертифікат")</f>
        <v>Сертифікат</v>
      </c>
      <c r="M967" s="11" t="s">
        <v>15</v>
      </c>
      <c r="N967" s="57">
        <v>736.06</v>
      </c>
      <c r="O967" s="71">
        <v>2982</v>
      </c>
      <c r="P967" s="72">
        <v>43497</v>
      </c>
      <c r="Q967" s="63">
        <v>39.299999999999997</v>
      </c>
      <c r="R967" s="10" t="s">
        <v>66</v>
      </c>
      <c r="S967" s="63">
        <v>146.43</v>
      </c>
      <c r="T967" s="57">
        <v>54.9</v>
      </c>
      <c r="U967" s="66">
        <v>43790</v>
      </c>
      <c r="V967" s="66">
        <v>47442</v>
      </c>
      <c r="W967" s="10" t="s">
        <v>10</v>
      </c>
      <c r="X967" s="10" t="s">
        <v>17</v>
      </c>
    </row>
    <row r="968" spans="1:24" ht="50.25" customHeight="1" x14ac:dyDescent="0.25">
      <c r="A968" s="11">
        <f t="shared" si="63"/>
        <v>965</v>
      </c>
      <c r="B968" s="11" t="s">
        <v>2563</v>
      </c>
      <c r="C968" s="10" t="s">
        <v>85</v>
      </c>
      <c r="D968" s="10" t="s">
        <v>86</v>
      </c>
      <c r="E968" s="10" t="s">
        <v>2</v>
      </c>
      <c r="F968" s="11" t="s">
        <v>2564</v>
      </c>
      <c r="G968" s="11"/>
      <c r="H968" s="11"/>
      <c r="I968" s="11" t="s">
        <v>2565</v>
      </c>
      <c r="J968" s="11" t="s">
        <v>158</v>
      </c>
      <c r="K968" s="15" t="str">
        <f>HYPERLINK("https://drive.google.com/open?id=1pEg5agn5jdMhfl4Pa1dRPaxDB2kT59cP","ЕЕ-005-10-18")</f>
        <v>ЕЕ-005-10-18</v>
      </c>
      <c r="L968" s="15" t="str">
        <f>HYPERLINK("https://drive.google.com/open?id=1MBhubITuVcFUz76on332jTPy9O2nxOBC","Сертифікат")</f>
        <v>Сертифікат</v>
      </c>
      <c r="M968" s="11" t="s">
        <v>26</v>
      </c>
      <c r="N968" s="10">
        <v>957.2</v>
      </c>
      <c r="O968" s="10">
        <v>3158.8</v>
      </c>
      <c r="P968" s="10">
        <v>2</v>
      </c>
      <c r="Q968" s="10">
        <v>121.5</v>
      </c>
      <c r="R968" s="10" t="s">
        <v>66</v>
      </c>
      <c r="S968" s="10">
        <v>486</v>
      </c>
      <c r="T968" s="10">
        <v>96</v>
      </c>
      <c r="U968" s="29">
        <v>43782</v>
      </c>
      <c r="V968" s="66">
        <v>47434</v>
      </c>
      <c r="W968" s="10" t="s">
        <v>10</v>
      </c>
      <c r="X968" s="10" t="s">
        <v>17</v>
      </c>
    </row>
    <row r="969" spans="1:24" ht="50.25" customHeight="1" x14ac:dyDescent="0.25">
      <c r="A969" s="11">
        <f t="shared" si="63"/>
        <v>966</v>
      </c>
      <c r="B969" s="11" t="s">
        <v>2566</v>
      </c>
      <c r="C969" s="10" t="s">
        <v>2567</v>
      </c>
      <c r="D969" s="10" t="s">
        <v>247</v>
      </c>
      <c r="E969" s="10" t="s">
        <v>2</v>
      </c>
      <c r="F969" s="11" t="s">
        <v>2568</v>
      </c>
      <c r="G969" s="11"/>
      <c r="H969" s="11"/>
      <c r="I969" s="11">
        <v>2020</v>
      </c>
      <c r="J969" s="11" t="s">
        <v>2569</v>
      </c>
      <c r="K969" s="15" t="str">
        <f>HYPERLINK("https://drive.google.com/open?id=1F8SR7qtTvvZUe8y7GKaG7PDZfmBDTrSb","KPI-CE №000048")</f>
        <v>KPI-CE №000048</v>
      </c>
      <c r="L969" s="15" t="str">
        <f>HYPERLINK("https://drive.google.com/open?id=1qsnOnjPbIl21oLNPvNoezuIIi53xy2n7","Сертифікат")</f>
        <v>Сертифікат</v>
      </c>
      <c r="M969" s="11" t="s">
        <v>15</v>
      </c>
      <c r="N969" s="10">
        <v>1109</v>
      </c>
      <c r="O969" s="10">
        <v>3493.35</v>
      </c>
      <c r="P969" s="10">
        <v>2</v>
      </c>
      <c r="Q969" s="10">
        <v>52.36</v>
      </c>
      <c r="R969" s="10" t="s">
        <v>66</v>
      </c>
      <c r="S969" s="10">
        <v>249.6</v>
      </c>
      <c r="T969" s="10">
        <v>45</v>
      </c>
      <c r="U969" s="29">
        <v>43789</v>
      </c>
      <c r="V969" s="66">
        <v>47441</v>
      </c>
      <c r="W969" s="10" t="s">
        <v>10</v>
      </c>
      <c r="X969" s="10" t="s">
        <v>17</v>
      </c>
    </row>
    <row r="970" spans="1:24" ht="50.25" customHeight="1" x14ac:dyDescent="0.25">
      <c r="A970" s="11">
        <f t="shared" si="63"/>
        <v>967</v>
      </c>
      <c r="B970" s="11" t="s">
        <v>2570</v>
      </c>
      <c r="C970" s="10" t="s">
        <v>2571</v>
      </c>
      <c r="D970" s="10" t="s">
        <v>238</v>
      </c>
      <c r="E970" s="10" t="s">
        <v>0</v>
      </c>
      <c r="F970" s="11" t="s">
        <v>2429</v>
      </c>
      <c r="G970" s="11"/>
      <c r="H970" s="11"/>
      <c r="I970" s="11">
        <v>1973</v>
      </c>
      <c r="J970" s="11" t="s">
        <v>908</v>
      </c>
      <c r="K970" s="15" t="str">
        <f>HYPERLINK("https://drive.google.com/open?id=1XyAHqlyKm3cSooUFxa72DZEa7K5u3CT5","ТБ0006")</f>
        <v>ТБ0006</v>
      </c>
      <c r="L970" s="15" t="str">
        <f>HYPERLINK("https://drive.google.com/open?id=1-hcyVPDI4Ktien_Y1ffDIfHb6jKAsQzU","Сертифікат")</f>
        <v>Сертифікат</v>
      </c>
      <c r="M970" s="11" t="s">
        <v>26</v>
      </c>
      <c r="N970" s="10">
        <v>2393.5</v>
      </c>
      <c r="O970" s="10">
        <v>6965.16</v>
      </c>
      <c r="P970" s="10">
        <v>3</v>
      </c>
      <c r="Q970" s="10">
        <v>339.59</v>
      </c>
      <c r="R970" s="10" t="s">
        <v>57</v>
      </c>
      <c r="S970" s="10">
        <v>462.98</v>
      </c>
      <c r="T970" s="10">
        <v>88.3</v>
      </c>
      <c r="U970" s="29">
        <v>43791</v>
      </c>
      <c r="V970" s="66">
        <v>47443</v>
      </c>
      <c r="W970" s="10" t="s">
        <v>13</v>
      </c>
      <c r="X970" s="10" t="s">
        <v>17</v>
      </c>
    </row>
    <row r="971" spans="1:24" ht="50.25" customHeight="1" x14ac:dyDescent="0.25">
      <c r="A971" s="11">
        <f t="shared" si="63"/>
        <v>968</v>
      </c>
      <c r="B971" s="11" t="s">
        <v>2572</v>
      </c>
      <c r="C971" s="10" t="s">
        <v>2573</v>
      </c>
      <c r="D971" s="10" t="s">
        <v>442</v>
      </c>
      <c r="E971" s="10" t="s">
        <v>3</v>
      </c>
      <c r="F971" s="11" t="s">
        <v>2574</v>
      </c>
      <c r="G971" s="11"/>
      <c r="H971" s="11"/>
      <c r="I971" s="11">
        <v>1914</v>
      </c>
      <c r="J971" s="11" t="s">
        <v>1740</v>
      </c>
      <c r="K971" s="15" t="str">
        <f>HYPERLINK("https://drive.google.com/open?id=1olNXwN6O7EqQ47IkA2pAkSyR84Ia7OFR","ОД 000012")</f>
        <v>ОД 000012</v>
      </c>
      <c r="L971" s="15" t="str">
        <f>HYPERLINK("https://drive.google.com/open?id=1c0HqOKXx1I2CbfW-oXB9rsfue6ZVngUJ","Сертифікат")</f>
        <v>Сертифікат</v>
      </c>
      <c r="M971" s="11" t="s">
        <v>26</v>
      </c>
      <c r="N971" s="10">
        <v>533.20000000000005</v>
      </c>
      <c r="O971" s="10">
        <v>2346</v>
      </c>
      <c r="P971" s="10">
        <v>1</v>
      </c>
      <c r="Q971" s="10">
        <v>69.69</v>
      </c>
      <c r="R971" s="10" t="s">
        <v>66</v>
      </c>
      <c r="S971" s="10">
        <v>363.9</v>
      </c>
      <c r="T971" s="10">
        <v>70.400000000000006</v>
      </c>
      <c r="U971" s="29">
        <v>43791</v>
      </c>
      <c r="V971" s="66">
        <v>47443</v>
      </c>
      <c r="W971" s="10" t="s">
        <v>10</v>
      </c>
      <c r="X971" s="10" t="s">
        <v>17</v>
      </c>
    </row>
    <row r="972" spans="1:24" ht="50.25" customHeight="1" x14ac:dyDescent="0.25">
      <c r="A972" s="11">
        <f t="shared" si="63"/>
        <v>969</v>
      </c>
      <c r="B972" s="11" t="s">
        <v>2575</v>
      </c>
      <c r="C972" s="10" t="s">
        <v>52</v>
      </c>
      <c r="D972" s="10" t="s">
        <v>52</v>
      </c>
      <c r="E972" s="10" t="s">
        <v>2</v>
      </c>
      <c r="F972" s="11" t="s">
        <v>2576</v>
      </c>
      <c r="G972" s="11"/>
      <c r="H972" s="11"/>
      <c r="I972" s="11">
        <v>2019</v>
      </c>
      <c r="J972" s="11" t="s">
        <v>981</v>
      </c>
      <c r="K972" s="15" t="str">
        <f>HYPERLINK("https://drive.google.com/open?id=1IDQuQux79NT0xtRrkfgG6JOgxOamY1Vd","АА000036")</f>
        <v>АА000036</v>
      </c>
      <c r="L972" s="15" t="str">
        <f>HYPERLINK("https://drive.google.com/open?id=1KRZKurCjAMF79YGPcYwEIEL-CyOC8MOe","Сертифікат")</f>
        <v>Сертифікат</v>
      </c>
      <c r="M972" s="11" t="s">
        <v>18</v>
      </c>
      <c r="N972" s="10">
        <v>1852</v>
      </c>
      <c r="O972" s="10">
        <v>5965</v>
      </c>
      <c r="P972" s="10">
        <v>7</v>
      </c>
      <c r="Q972" s="10">
        <v>41.1</v>
      </c>
      <c r="R972" s="10" t="s">
        <v>66</v>
      </c>
      <c r="S972" s="10">
        <v>243</v>
      </c>
      <c r="T972" s="10">
        <v>47</v>
      </c>
      <c r="U972" s="29">
        <v>43790</v>
      </c>
      <c r="V972" s="66">
        <v>47442</v>
      </c>
      <c r="W972" s="10" t="s">
        <v>10</v>
      </c>
      <c r="X972" s="10" t="s">
        <v>17</v>
      </c>
    </row>
    <row r="973" spans="1:24" ht="50.25" customHeight="1" x14ac:dyDescent="0.25">
      <c r="A973" s="11">
        <f t="shared" si="63"/>
        <v>970</v>
      </c>
      <c r="B973" s="11" t="s">
        <v>2577</v>
      </c>
      <c r="C973" s="10" t="s">
        <v>74</v>
      </c>
      <c r="D973" s="10" t="s">
        <v>75</v>
      </c>
      <c r="E973" s="10" t="s">
        <v>3</v>
      </c>
      <c r="F973" s="11" t="s">
        <v>2578</v>
      </c>
      <c r="G973" s="11"/>
      <c r="H973" s="11"/>
      <c r="I973" s="11">
        <v>1975</v>
      </c>
      <c r="J973" s="11" t="s">
        <v>657</v>
      </c>
      <c r="K973" s="15" t="s">
        <v>658</v>
      </c>
      <c r="L973" s="15" t="str">
        <f>HYPERLINK("https://drive.google.com/open?id=1FNxmxIbARTJ-2x8HRprY565972xixjPu","Сертифікат")</f>
        <v>Сертифікат</v>
      </c>
      <c r="M973" s="11" t="s">
        <v>24</v>
      </c>
      <c r="N973" s="10">
        <v>5999</v>
      </c>
      <c r="O973" s="10">
        <v>21600.66</v>
      </c>
      <c r="P973" s="10">
        <v>4</v>
      </c>
      <c r="Q973" s="10">
        <v>53.87</v>
      </c>
      <c r="R973" s="10" t="s">
        <v>66</v>
      </c>
      <c r="S973" s="10">
        <v>294.52199999999999</v>
      </c>
      <c r="T973" s="10">
        <v>57.838000000000001</v>
      </c>
      <c r="U973" s="29">
        <v>43784</v>
      </c>
      <c r="V973" s="66">
        <v>47436</v>
      </c>
      <c r="W973" s="10" t="s">
        <v>10</v>
      </c>
      <c r="X973" s="10" t="s">
        <v>17</v>
      </c>
    </row>
    <row r="974" spans="1:24" ht="50.25" customHeight="1" x14ac:dyDescent="0.25">
      <c r="A974" s="11">
        <f t="shared" si="63"/>
        <v>971</v>
      </c>
      <c r="B974" s="11" t="s">
        <v>2579</v>
      </c>
      <c r="C974" s="10" t="s">
        <v>2580</v>
      </c>
      <c r="D974" s="10" t="s">
        <v>86</v>
      </c>
      <c r="E974" s="10" t="s">
        <v>2</v>
      </c>
      <c r="F974" s="11" t="s">
        <v>2581</v>
      </c>
      <c r="G974" s="11"/>
      <c r="H974" s="11"/>
      <c r="I974" s="11">
        <v>2001</v>
      </c>
      <c r="J974" s="11" t="s">
        <v>158</v>
      </c>
      <c r="K974" s="15" t="str">
        <f t="shared" ref="K974:K975" si="68">HYPERLINK("https://drive.google.com/open?id=1pEg5agn5jdMhfl4Pa1dRPaxDB2kT59cP","ЕЕ-005-10-18")</f>
        <v>ЕЕ-005-10-18</v>
      </c>
      <c r="L974" s="15" t="str">
        <f>HYPERLINK("https://drive.google.com/open?id=1YPrqGv1pPj3Fkiqlz5uV_e9FXZOp7CRx","Сертифікат")</f>
        <v>Сертифікат</v>
      </c>
      <c r="M974" s="11" t="s">
        <v>26</v>
      </c>
      <c r="N974" s="10">
        <v>401</v>
      </c>
      <c r="O974" s="10">
        <v>1182.9000000000001</v>
      </c>
      <c r="P974" s="10">
        <v>2</v>
      </c>
      <c r="Q974" s="10">
        <v>167.7</v>
      </c>
      <c r="R974" s="10" t="s">
        <v>66</v>
      </c>
      <c r="S974" s="10">
        <v>596</v>
      </c>
      <c r="T974" s="10">
        <v>118</v>
      </c>
      <c r="U974" s="29">
        <v>43782</v>
      </c>
      <c r="V974" s="66">
        <v>47434</v>
      </c>
      <c r="W974" s="10" t="s">
        <v>10</v>
      </c>
      <c r="X974" s="10" t="s">
        <v>17</v>
      </c>
    </row>
    <row r="975" spans="1:24" ht="50.25" customHeight="1" x14ac:dyDescent="0.25">
      <c r="A975" s="11">
        <f t="shared" si="63"/>
        <v>972</v>
      </c>
      <c r="B975" s="11" t="s">
        <v>2582</v>
      </c>
      <c r="C975" s="10" t="s">
        <v>2580</v>
      </c>
      <c r="D975" s="10" t="s">
        <v>86</v>
      </c>
      <c r="E975" s="10" t="s">
        <v>2</v>
      </c>
      <c r="F975" s="11" t="s">
        <v>2581</v>
      </c>
      <c r="G975" s="11"/>
      <c r="H975" s="11"/>
      <c r="I975" s="11">
        <v>2001</v>
      </c>
      <c r="J975" s="11" t="s">
        <v>158</v>
      </c>
      <c r="K975" s="15" t="str">
        <f t="shared" si="68"/>
        <v>ЕЕ-005-10-18</v>
      </c>
      <c r="L975" s="15" t="str">
        <f>HYPERLINK("https://drive.google.com/open?id=1sE_2Vevw9EFXvZflXejbKb4unWMZ_pLU","Сертифікат")</f>
        <v>Сертифікат</v>
      </c>
      <c r="M975" s="11" t="s">
        <v>26</v>
      </c>
      <c r="N975" s="10">
        <v>352.8</v>
      </c>
      <c r="O975" s="10">
        <v>1111.3</v>
      </c>
      <c r="P975" s="10">
        <v>2</v>
      </c>
      <c r="Q975" s="10">
        <v>128.1</v>
      </c>
      <c r="R975" s="10" t="s">
        <v>66</v>
      </c>
      <c r="S975" s="10">
        <v>494</v>
      </c>
      <c r="T975" s="10">
        <v>98</v>
      </c>
      <c r="U975" s="29">
        <v>43782</v>
      </c>
      <c r="V975" s="66">
        <v>47434</v>
      </c>
      <c r="W975" s="10" t="s">
        <v>10</v>
      </c>
      <c r="X975" s="10" t="s">
        <v>17</v>
      </c>
    </row>
    <row r="976" spans="1:24" ht="50.25" customHeight="1" x14ac:dyDescent="0.25">
      <c r="A976" s="11">
        <f t="shared" si="63"/>
        <v>973</v>
      </c>
      <c r="B976" s="11" t="s">
        <v>2583</v>
      </c>
      <c r="C976" s="10" t="s">
        <v>52</v>
      </c>
      <c r="D976" s="10" t="s">
        <v>52</v>
      </c>
      <c r="E976" s="10" t="s">
        <v>2</v>
      </c>
      <c r="F976" s="11" t="s">
        <v>2584</v>
      </c>
      <c r="G976" s="11"/>
      <c r="H976" s="11"/>
      <c r="I976" s="11" t="s">
        <v>2585</v>
      </c>
      <c r="J976" s="11" t="s">
        <v>2586</v>
      </c>
      <c r="K976" s="15" t="str">
        <f>HYPERLINK("https://drive.google.com/open?id=1pAnkOlaXeGLqNim7hj26SFVSnppzMGLd","ЕЕ00034")</f>
        <v>ЕЕ00034</v>
      </c>
      <c r="L976" s="15" t="str">
        <f>HYPERLINK("https://drive.google.com/open?id=1bXhlJyiNFa5TPqcPBt5vCZTntQ947izO","Сертифікат")</f>
        <v>Сертифікат</v>
      </c>
      <c r="M976" s="11" t="s">
        <v>15</v>
      </c>
      <c r="N976" s="10">
        <v>2064</v>
      </c>
      <c r="O976" s="10">
        <v>8362</v>
      </c>
      <c r="P976" s="10">
        <v>4</v>
      </c>
      <c r="Q976" s="10">
        <v>34.64</v>
      </c>
      <c r="R976" s="10" t="s">
        <v>66</v>
      </c>
      <c r="S976" s="10">
        <v>282.52</v>
      </c>
      <c r="T976" s="10">
        <v>53.32</v>
      </c>
      <c r="U976" s="29">
        <v>43787</v>
      </c>
      <c r="V976" s="66">
        <v>47439</v>
      </c>
      <c r="W976" s="10" t="s">
        <v>13</v>
      </c>
      <c r="X976" s="10" t="s">
        <v>17</v>
      </c>
    </row>
    <row r="977" spans="1:24" ht="50.25" customHeight="1" x14ac:dyDescent="0.25">
      <c r="A977" s="11">
        <f t="shared" si="63"/>
        <v>974</v>
      </c>
      <c r="B977" s="11" t="s">
        <v>2587</v>
      </c>
      <c r="C977" s="10" t="s">
        <v>85</v>
      </c>
      <c r="D977" s="10" t="s">
        <v>86</v>
      </c>
      <c r="E977" s="10" t="s">
        <v>2</v>
      </c>
      <c r="F977" s="11" t="s">
        <v>2588</v>
      </c>
      <c r="G977" s="11"/>
      <c r="H977" s="11"/>
      <c r="I977" s="11">
        <v>1913</v>
      </c>
      <c r="J977" s="11" t="s">
        <v>240</v>
      </c>
      <c r="K977" s="15" t="str">
        <f t="shared" ref="K977:K978" si="69">HYPERLINK("https://drive.google.com/open?id=1bdfPcoVY7gGnfSqAUR9FcOU1nrSE71tH","АА000020")</f>
        <v>АА000020</v>
      </c>
      <c r="L977" s="15" t="str">
        <f>HYPERLINK("https://drive.google.com/open?id=1DubUfqLuMSen_ZgCBnS7A5cw34ViMlDR","Сертифікат")</f>
        <v>Сертифікат</v>
      </c>
      <c r="M977" s="11" t="s">
        <v>22</v>
      </c>
      <c r="N977" s="10">
        <v>1914</v>
      </c>
      <c r="O977" s="10">
        <v>6316.2</v>
      </c>
      <c r="P977" s="10">
        <v>5</v>
      </c>
      <c r="Q977" s="10">
        <v>54.69</v>
      </c>
      <c r="R977" s="10" t="s">
        <v>66</v>
      </c>
      <c r="S977" s="10">
        <v>237.21</v>
      </c>
      <c r="T977" s="10">
        <v>62.78</v>
      </c>
      <c r="U977" s="29">
        <v>43787</v>
      </c>
      <c r="V977" s="66">
        <v>47439</v>
      </c>
      <c r="W977" s="10" t="s">
        <v>10</v>
      </c>
      <c r="X977" s="10" t="s">
        <v>17</v>
      </c>
    </row>
    <row r="978" spans="1:24" ht="50.25" customHeight="1" x14ac:dyDescent="0.25">
      <c r="A978" s="11">
        <f t="shared" si="63"/>
        <v>975</v>
      </c>
      <c r="B978" s="11" t="s">
        <v>2589</v>
      </c>
      <c r="C978" s="10" t="s">
        <v>85</v>
      </c>
      <c r="D978" s="10" t="s">
        <v>86</v>
      </c>
      <c r="E978" s="10" t="s">
        <v>2</v>
      </c>
      <c r="F978" s="11" t="s">
        <v>2588</v>
      </c>
      <c r="G978" s="11"/>
      <c r="H978" s="11"/>
      <c r="I978" s="11">
        <v>1913</v>
      </c>
      <c r="J978" s="11" t="s">
        <v>240</v>
      </c>
      <c r="K978" s="15" t="str">
        <f t="shared" si="69"/>
        <v>АА000020</v>
      </c>
      <c r="L978" s="15" t="str">
        <f>HYPERLINK("https://drive.google.com/open?id=1_Ijz8uIsmKZVlxkxo-Dpawb6lkVx2n3s","Сертифікат")</f>
        <v>Сертифікат</v>
      </c>
      <c r="M978" s="11" t="s">
        <v>22</v>
      </c>
      <c r="N978" s="10">
        <v>1452</v>
      </c>
      <c r="O978" s="10">
        <v>4791.6000000000004</v>
      </c>
      <c r="P978" s="10" t="s">
        <v>2590</v>
      </c>
      <c r="Q978" s="10">
        <v>61.61</v>
      </c>
      <c r="R978" s="10" t="s">
        <v>66</v>
      </c>
      <c r="S978" s="10">
        <v>268.05</v>
      </c>
      <c r="T978" s="10">
        <v>71.06</v>
      </c>
      <c r="U978" s="29">
        <v>43787</v>
      </c>
      <c r="V978" s="66">
        <v>47439</v>
      </c>
      <c r="W978" s="10" t="s">
        <v>10</v>
      </c>
      <c r="X978" s="10" t="s">
        <v>17</v>
      </c>
    </row>
    <row r="979" spans="1:24" ht="50.25" customHeight="1" x14ac:dyDescent="0.25">
      <c r="A979" s="11">
        <f t="shared" si="63"/>
        <v>976</v>
      </c>
      <c r="B979" s="11" t="s">
        <v>2591</v>
      </c>
      <c r="C979" s="10" t="s">
        <v>357</v>
      </c>
      <c r="D979" s="10" t="s">
        <v>142</v>
      </c>
      <c r="E979" s="10" t="s">
        <v>0</v>
      </c>
      <c r="F979" s="11" t="s">
        <v>2592</v>
      </c>
      <c r="G979" s="11"/>
      <c r="H979" s="11"/>
      <c r="I979" s="11" t="s">
        <v>836</v>
      </c>
      <c r="J979" s="11" t="s">
        <v>1504</v>
      </c>
      <c r="K979" s="15" t="str">
        <f>HYPERLINK("https://drive.google.com/open?id=1cNdHo19T35eklBUZY_qj1BVJ98P3D_u8","АА000071")</f>
        <v>АА000071</v>
      </c>
      <c r="L979" s="15" t="str">
        <f>HYPERLINK("https://drive.google.com/open?id=1vPB0F6DfsXJsI1ioABPK3xBsvXpOMy-O","Сертифікат")</f>
        <v>Сертифікат</v>
      </c>
      <c r="M979" s="11" t="s">
        <v>18</v>
      </c>
      <c r="N979" s="10">
        <v>7030.1</v>
      </c>
      <c r="O979" s="10">
        <v>21090</v>
      </c>
      <c r="P979" s="10">
        <v>14</v>
      </c>
      <c r="Q979" s="10">
        <v>84.6</v>
      </c>
      <c r="R979" s="10" t="s">
        <v>57</v>
      </c>
      <c r="S979" s="10">
        <v>182.2</v>
      </c>
      <c r="T979" s="10">
        <v>60.4</v>
      </c>
      <c r="U979" s="29">
        <v>43794</v>
      </c>
      <c r="V979" s="66">
        <v>47446</v>
      </c>
      <c r="W979" s="10" t="s">
        <v>10</v>
      </c>
      <c r="X979" s="10" t="s">
        <v>17</v>
      </c>
    </row>
    <row r="980" spans="1:24" ht="50.25" customHeight="1" x14ac:dyDescent="0.25">
      <c r="A980" s="11">
        <f t="shared" si="63"/>
        <v>977</v>
      </c>
      <c r="B980" s="11" t="s">
        <v>2593</v>
      </c>
      <c r="C980" s="10" t="s">
        <v>85</v>
      </c>
      <c r="D980" s="10" t="s">
        <v>86</v>
      </c>
      <c r="E980" s="10" t="s">
        <v>2</v>
      </c>
      <c r="F980" s="11" t="s">
        <v>2588</v>
      </c>
      <c r="G980" s="11"/>
      <c r="H980" s="11"/>
      <c r="I980" s="11">
        <v>1913</v>
      </c>
      <c r="J980" s="11" t="s">
        <v>240</v>
      </c>
      <c r="K980" s="15" t="str">
        <f>HYPERLINK("https://drive.google.com/open?id=1bdfPcoVY7gGnfSqAUR9FcOU1nrSE71tH","АА000020")</f>
        <v>АА000020</v>
      </c>
      <c r="L980" s="15" t="str">
        <f>HYPERLINK("https://drive.google.com/open?id=1o59BdOXgcE6S0eY4o7W9pbuopeRuPPtK","Сертифікат")</f>
        <v>Сертифікат</v>
      </c>
      <c r="M980" s="11" t="s">
        <v>24</v>
      </c>
      <c r="N980" s="10">
        <v>14080</v>
      </c>
      <c r="O980" s="10">
        <v>4646.3999999999996</v>
      </c>
      <c r="P980" s="10">
        <v>4</v>
      </c>
      <c r="Q980" s="10">
        <v>69.150000000000006</v>
      </c>
      <c r="R980" s="10" t="s">
        <v>66</v>
      </c>
      <c r="S980" s="10">
        <v>300.83</v>
      </c>
      <c r="T980" s="10">
        <v>79.75</v>
      </c>
      <c r="U980" s="29">
        <v>43787</v>
      </c>
      <c r="V980" s="66">
        <v>47439</v>
      </c>
      <c r="W980" s="10" t="s">
        <v>10</v>
      </c>
      <c r="X980" s="10" t="s">
        <v>17</v>
      </c>
    </row>
    <row r="981" spans="1:24" ht="50.25" customHeight="1" x14ac:dyDescent="0.25">
      <c r="A981" s="11">
        <f t="shared" si="63"/>
        <v>978</v>
      </c>
      <c r="B981" s="11" t="s">
        <v>2594</v>
      </c>
      <c r="C981" s="10" t="s">
        <v>1142</v>
      </c>
      <c r="D981" s="10" t="s">
        <v>815</v>
      </c>
      <c r="E981" s="10" t="s">
        <v>2</v>
      </c>
      <c r="F981" s="27" t="s">
        <v>572</v>
      </c>
      <c r="G981" s="11"/>
      <c r="H981" s="11"/>
      <c r="I981" s="11" t="s">
        <v>2595</v>
      </c>
      <c r="J981" s="11" t="s">
        <v>1094</v>
      </c>
      <c r="K981" s="15" t="str">
        <f>HYPERLINK("https://drive.google.com/open?id=1Qlik4TIJLPoTQ6woAYUYpDbbA-PfyWE1","АА000059")</f>
        <v>АА000059</v>
      </c>
      <c r="L981" s="15" t="str">
        <f>HYPERLINK("https://drive.google.com/open?id=1KYFXt7uLAgEB9FJa1cFT1PFhb9s1UyI6","Сертифікат")</f>
        <v>Сертифікат</v>
      </c>
      <c r="M981" s="11" t="s">
        <v>18</v>
      </c>
      <c r="N981" s="10">
        <v>169.3</v>
      </c>
      <c r="O981" s="10">
        <v>541.79999999999995</v>
      </c>
      <c r="P981" s="10">
        <v>1</v>
      </c>
      <c r="Q981" s="10">
        <v>58.7</v>
      </c>
      <c r="R981" s="10" t="s">
        <v>66</v>
      </c>
      <c r="S981" s="10">
        <v>169.3</v>
      </c>
      <c r="T981" s="10">
        <v>541.79999999999995</v>
      </c>
      <c r="U981" s="29">
        <v>43781</v>
      </c>
      <c r="V981" s="66">
        <v>47433</v>
      </c>
      <c r="W981" s="10" t="s">
        <v>10</v>
      </c>
      <c r="X981" s="10" t="s">
        <v>17</v>
      </c>
    </row>
    <row r="982" spans="1:24" ht="50.25" customHeight="1" x14ac:dyDescent="0.25">
      <c r="A982" s="11">
        <f t="shared" si="63"/>
        <v>979</v>
      </c>
      <c r="B982" s="11" t="s">
        <v>2596</v>
      </c>
      <c r="C982" s="10" t="s">
        <v>243</v>
      </c>
      <c r="D982" s="10" t="s">
        <v>238</v>
      </c>
      <c r="E982" s="10" t="s">
        <v>2</v>
      </c>
      <c r="F982" s="11" t="s">
        <v>2429</v>
      </c>
      <c r="G982" s="11"/>
      <c r="H982" s="11"/>
      <c r="I982" s="11" t="s">
        <v>2597</v>
      </c>
      <c r="J982" s="11" t="s">
        <v>908</v>
      </c>
      <c r="K982" s="15" t="str">
        <f>HYPERLINK("https://drive.google.com/open?id=1XyAHqlyKm3cSooUFxa72DZEa7K5u3CT5","ТБ0006")</f>
        <v>ТБ0006</v>
      </c>
      <c r="L982" s="15" t="str">
        <f>HYPERLINK("https://drive.google.com/open?id=1_dvSZepCGvTGaW-aUi7mhb9nwYkbjxz6","Сертифікат")</f>
        <v>Сертифікат</v>
      </c>
      <c r="M982" s="11" t="s">
        <v>26</v>
      </c>
      <c r="N982" s="10">
        <v>340.6</v>
      </c>
      <c r="O982" s="10">
        <v>1028.5999999999999</v>
      </c>
      <c r="P982" s="10">
        <v>1</v>
      </c>
      <c r="Q982" s="10">
        <v>138.43</v>
      </c>
      <c r="R982" s="10" t="s">
        <v>66</v>
      </c>
      <c r="S982" s="10">
        <v>545.52</v>
      </c>
      <c r="T982" s="10">
        <v>108.71</v>
      </c>
      <c r="U982" s="29">
        <v>43794</v>
      </c>
      <c r="V982" s="66">
        <v>47446</v>
      </c>
      <c r="W982" s="10" t="s">
        <v>13</v>
      </c>
      <c r="X982" s="10" t="s">
        <v>17</v>
      </c>
    </row>
    <row r="983" spans="1:24" ht="50.25" customHeight="1" x14ac:dyDescent="0.25">
      <c r="A983" s="11">
        <f t="shared" si="63"/>
        <v>980</v>
      </c>
      <c r="B983" s="11" t="s">
        <v>2598</v>
      </c>
      <c r="C983" s="47" t="s">
        <v>2599</v>
      </c>
      <c r="D983" s="52" t="s">
        <v>148</v>
      </c>
      <c r="E983" s="10" t="s">
        <v>0</v>
      </c>
      <c r="F983" s="11" t="s">
        <v>2328</v>
      </c>
      <c r="G983" s="11"/>
      <c r="H983" s="11"/>
      <c r="I983" s="11" t="s">
        <v>2600</v>
      </c>
      <c r="J983" s="11" t="s">
        <v>110</v>
      </c>
      <c r="K983" s="15" t="str">
        <f>HYPERLINK("https://drive.google.com/open?id=1hysLLNyTDspucV_3Tt8ScCWEgMedd8bv","1/010")</f>
        <v>1/010</v>
      </c>
      <c r="L983" s="15" t="str">
        <f>HYPERLINK("https://drive.google.com/open?id=1lpD7SnaDb_eX-dX51LsDyzkQPj1Veewo","Сертифікат")</f>
        <v>Сертифікат</v>
      </c>
      <c r="M983" s="11" t="s">
        <v>18</v>
      </c>
      <c r="N983" s="10">
        <v>7166</v>
      </c>
      <c r="O983" s="10">
        <v>22572.9</v>
      </c>
      <c r="P983" s="10">
        <v>7</v>
      </c>
      <c r="Q983" s="10">
        <v>84.1</v>
      </c>
      <c r="R983" s="10" t="s">
        <v>57</v>
      </c>
      <c r="S983" s="10">
        <v>111.15</v>
      </c>
      <c r="T983" s="10">
        <v>21.81</v>
      </c>
      <c r="U983" s="29">
        <v>43792</v>
      </c>
      <c r="V983" s="66">
        <v>47444</v>
      </c>
      <c r="W983" s="10" t="s">
        <v>13</v>
      </c>
      <c r="X983" s="10" t="s">
        <v>17</v>
      </c>
    </row>
    <row r="984" spans="1:24" ht="50.25" customHeight="1" x14ac:dyDescent="0.25">
      <c r="A984" s="11">
        <f t="shared" si="63"/>
        <v>981</v>
      </c>
      <c r="B984" s="11" t="s">
        <v>2601</v>
      </c>
      <c r="C984" s="10" t="s">
        <v>2602</v>
      </c>
      <c r="D984" s="10" t="s">
        <v>86</v>
      </c>
      <c r="E984" s="10" t="s">
        <v>2</v>
      </c>
      <c r="F984" s="11" t="s">
        <v>2603</v>
      </c>
      <c r="G984" s="11"/>
      <c r="H984" s="11"/>
      <c r="I984" s="11">
        <v>1910</v>
      </c>
      <c r="J984" s="11" t="s">
        <v>93</v>
      </c>
      <c r="K984" s="15" t="str">
        <f>HYPERLINK("https://drive.google.com/open?id=16knL7rF64EXtCB0-Ch1v5DtfiE2GYjkB","ЕЕ-002-10-18")</f>
        <v>ЕЕ-002-10-18</v>
      </c>
      <c r="L984" s="15" t="str">
        <f>HYPERLINK("https://drive.google.com/open?id=1N-ITsYu30EvqesueH96jMZCHUMuYUOK6","Сертифікат")</f>
        <v>Сертифікат</v>
      </c>
      <c r="M984" s="11" t="s">
        <v>24</v>
      </c>
      <c r="N984" s="10">
        <v>1285</v>
      </c>
      <c r="O984" s="10">
        <v>4497.5</v>
      </c>
      <c r="P984" s="10">
        <v>2</v>
      </c>
      <c r="Q984" s="10">
        <v>91.5</v>
      </c>
      <c r="R984" s="10" t="s">
        <v>66</v>
      </c>
      <c r="S984" s="10">
        <v>407</v>
      </c>
      <c r="T984" s="10">
        <v>80</v>
      </c>
      <c r="U984" s="29">
        <v>43788</v>
      </c>
      <c r="V984" s="66">
        <v>47440</v>
      </c>
      <c r="W984" s="10" t="s">
        <v>10</v>
      </c>
      <c r="X984" s="10" t="s">
        <v>17</v>
      </c>
    </row>
    <row r="985" spans="1:24" ht="50.25" customHeight="1" x14ac:dyDescent="0.25">
      <c r="A985" s="11">
        <f t="shared" si="63"/>
        <v>982</v>
      </c>
      <c r="B985" s="11" t="s">
        <v>2604</v>
      </c>
      <c r="C985" s="10" t="s">
        <v>1581</v>
      </c>
      <c r="D985" s="10" t="s">
        <v>86</v>
      </c>
      <c r="E985" s="10" t="s">
        <v>0</v>
      </c>
      <c r="F985" s="11" t="s">
        <v>2605</v>
      </c>
      <c r="G985" s="11"/>
      <c r="H985" s="11"/>
      <c r="I985" s="11" t="s">
        <v>2606</v>
      </c>
      <c r="J985" s="11" t="s">
        <v>992</v>
      </c>
      <c r="K985" s="15" t="str">
        <f>HYPERLINK("https://drive.google.com/open?id=1YahV5U6nzJHToaX4SQsiE71O2xlIaiiy","ОД 02071010/0301-19")</f>
        <v>ОД 02071010/0301-19</v>
      </c>
      <c r="L985" s="15" t="str">
        <f>HYPERLINK("https://drive.google.com/open?id=1-z_DLUczIoFgnbf_jQruS3yZrnNHxQjh","Сертифікат")</f>
        <v>Сертифікат</v>
      </c>
      <c r="M985" s="11" t="s">
        <v>24</v>
      </c>
      <c r="N985" s="10">
        <v>6006.4</v>
      </c>
      <c r="O985" s="10">
        <v>18010.3</v>
      </c>
      <c r="P985" s="10">
        <v>8</v>
      </c>
      <c r="Q985" s="10">
        <v>141</v>
      </c>
      <c r="R985" s="10" t="s">
        <v>57</v>
      </c>
      <c r="S985" s="10">
        <v>207.4</v>
      </c>
      <c r="T985" s="10">
        <v>40.5</v>
      </c>
      <c r="U985" s="29">
        <v>43780</v>
      </c>
      <c r="V985" s="66">
        <v>47432</v>
      </c>
      <c r="W985" s="10" t="s">
        <v>13</v>
      </c>
      <c r="X985" s="10" t="s">
        <v>17</v>
      </c>
    </row>
    <row r="986" spans="1:24" ht="50.25" customHeight="1" x14ac:dyDescent="0.25">
      <c r="A986" s="11">
        <f t="shared" si="63"/>
        <v>983</v>
      </c>
      <c r="B986" s="11" t="s">
        <v>2607</v>
      </c>
      <c r="C986" s="10" t="s">
        <v>2608</v>
      </c>
      <c r="D986" s="10" t="s">
        <v>124</v>
      </c>
      <c r="E986" s="10" t="s">
        <v>3</v>
      </c>
      <c r="F986" s="11" t="s">
        <v>2609</v>
      </c>
      <c r="G986" s="11"/>
      <c r="H986" s="11"/>
      <c r="I986" s="11" t="s">
        <v>1297</v>
      </c>
      <c r="J986" s="11" t="s">
        <v>1504</v>
      </c>
      <c r="K986" s="15" t="str">
        <f>HYPERLINK("https://drive.google.com/open?id=1cNdHo19T35eklBUZY_qj1BVJ98P3D_u8","АА000071")</f>
        <v>АА000071</v>
      </c>
      <c r="L986" s="15" t="str">
        <f>HYPERLINK("https://drive.google.com/open?id=1jXjLj9PyO42AOKbHPct77eShiwRbxT4T","Сертифікат")</f>
        <v>Сертифікат</v>
      </c>
      <c r="M986" s="11" t="s">
        <v>26</v>
      </c>
      <c r="N986" s="10">
        <v>1681.1</v>
      </c>
      <c r="O986" s="10">
        <v>5548</v>
      </c>
      <c r="P986" s="10">
        <v>3</v>
      </c>
      <c r="Q986" s="10">
        <v>108.8</v>
      </c>
      <c r="R986" s="10" t="s">
        <v>66</v>
      </c>
      <c r="S986" s="10">
        <v>549.70000000000005</v>
      </c>
      <c r="T986" s="10">
        <v>161.19999999999999</v>
      </c>
      <c r="U986" s="29">
        <v>43794</v>
      </c>
      <c r="V986" s="66">
        <v>47446</v>
      </c>
      <c r="W986" s="10" t="s">
        <v>10</v>
      </c>
      <c r="X986" s="10" t="s">
        <v>17</v>
      </c>
    </row>
    <row r="987" spans="1:24" ht="50.25" customHeight="1" x14ac:dyDescent="0.25">
      <c r="A987" s="11">
        <f t="shared" si="63"/>
        <v>984</v>
      </c>
      <c r="B987" s="11" t="s">
        <v>2610</v>
      </c>
      <c r="C987" s="10" t="s">
        <v>2611</v>
      </c>
      <c r="D987" s="10" t="s">
        <v>69</v>
      </c>
      <c r="E987" s="10" t="s">
        <v>3</v>
      </c>
      <c r="F987" s="11" t="s">
        <v>2612</v>
      </c>
      <c r="G987" s="11"/>
      <c r="H987" s="11"/>
      <c r="I987" s="11">
        <v>1967</v>
      </c>
      <c r="J987" s="11" t="s">
        <v>668</v>
      </c>
      <c r="K987" s="15" t="str">
        <f>HYPERLINK("https://drive.google.com/open?id=1NSlpy3KnsggBDFhLrg81QLR2deMl7d6Q","АА000077")</f>
        <v>АА000077</v>
      </c>
      <c r="L987" s="15" t="str">
        <f>HYPERLINK("https://drive.google.com/open?id=1xls6KUvVzaHMlUcy_KLLup_2vcuellHg","Сертифікат")</f>
        <v>Сертифікат</v>
      </c>
      <c r="M987" s="11" t="s">
        <v>26</v>
      </c>
      <c r="N987" s="10">
        <v>4965.3999999999996</v>
      </c>
      <c r="O987" s="10">
        <v>16743</v>
      </c>
      <c r="P987" s="73">
        <v>37653</v>
      </c>
      <c r="Q987" s="10">
        <v>111.1</v>
      </c>
      <c r="R987" s="10" t="s">
        <v>66</v>
      </c>
      <c r="S987" s="10">
        <v>470</v>
      </c>
      <c r="T987" s="10">
        <v>168.9</v>
      </c>
      <c r="U987" s="29">
        <v>43791</v>
      </c>
      <c r="V987" s="66">
        <v>47443</v>
      </c>
      <c r="W987" s="10" t="s">
        <v>10</v>
      </c>
      <c r="X987" s="10" t="s">
        <v>17</v>
      </c>
    </row>
    <row r="988" spans="1:24" ht="50.25" customHeight="1" x14ac:dyDescent="0.25">
      <c r="A988" s="11">
        <f t="shared" si="63"/>
        <v>985</v>
      </c>
      <c r="B988" s="11" t="s">
        <v>2613</v>
      </c>
      <c r="C988" s="11" t="s">
        <v>2614</v>
      </c>
      <c r="D988" s="10" t="s">
        <v>124</v>
      </c>
      <c r="E988" s="10" t="s">
        <v>0</v>
      </c>
      <c r="F988" s="11" t="s">
        <v>2615</v>
      </c>
      <c r="G988" s="11"/>
      <c r="H988" s="11"/>
      <c r="I988" s="11">
        <v>1976</v>
      </c>
      <c r="J988" s="20" t="s">
        <v>1504</v>
      </c>
      <c r="K988" s="15" t="str">
        <f>HYPERLINK("https://drive.google.com/open?id=1cNdHo19T35eklBUZY_qj1BVJ98P3D_u8","АА000071")</f>
        <v>АА000071</v>
      </c>
      <c r="L988" s="15" t="str">
        <f>HYPERLINK("https://drive.google.com/open?id=16P9rdmG256hNmqX4aOJxd8SF00Ta5caG","Сертифікат")</f>
        <v>Сертифікат</v>
      </c>
      <c r="M988" s="11" t="s">
        <v>26</v>
      </c>
      <c r="N988" s="10">
        <v>1059.2</v>
      </c>
      <c r="O988" s="10">
        <v>3496</v>
      </c>
      <c r="P988" s="10">
        <v>2</v>
      </c>
      <c r="Q988" s="10">
        <v>426.1</v>
      </c>
      <c r="R988" s="10" t="s">
        <v>57</v>
      </c>
      <c r="S988" s="10">
        <v>542.20000000000005</v>
      </c>
      <c r="T988" s="10">
        <v>139.80000000000001</v>
      </c>
      <c r="U988" s="29">
        <v>43780</v>
      </c>
      <c r="V988" s="66">
        <v>47432</v>
      </c>
      <c r="W988" s="10" t="s">
        <v>13</v>
      </c>
      <c r="X988" s="10" t="s">
        <v>17</v>
      </c>
    </row>
    <row r="989" spans="1:24" ht="50.25" customHeight="1" x14ac:dyDescent="0.25">
      <c r="A989" s="11">
        <f t="shared" si="63"/>
        <v>986</v>
      </c>
      <c r="B989" s="11" t="s">
        <v>2616</v>
      </c>
      <c r="C989" s="10" t="s">
        <v>2617</v>
      </c>
      <c r="D989" s="10" t="s">
        <v>2618</v>
      </c>
      <c r="E989" s="10" t="s">
        <v>0</v>
      </c>
      <c r="F989" s="11" t="s">
        <v>2619</v>
      </c>
      <c r="G989" s="11"/>
      <c r="H989" s="11"/>
      <c r="I989" s="11">
        <v>1990</v>
      </c>
      <c r="J989" s="11" t="s">
        <v>1266</v>
      </c>
      <c r="K989" s="15" t="str">
        <f>HYPERLINK("https://drive.google.com/open?id=1BxtrpyOYofaRpkMYXPCevRPSgDfyEBvw","СБ-0064")</f>
        <v>СБ-0064</v>
      </c>
      <c r="L989" s="15" t="str">
        <f>HYPERLINK("https://drive.google.com/open?id=12jYwVdY-Tdm6fXJcL7UhQrcrjXKum1QT","Сертифікат")</f>
        <v>Сертифікат</v>
      </c>
      <c r="M989" s="11" t="s">
        <v>26</v>
      </c>
      <c r="N989" s="10">
        <v>4570.7</v>
      </c>
      <c r="O989" s="10">
        <v>13014</v>
      </c>
      <c r="P989" s="10">
        <v>5</v>
      </c>
      <c r="Q989" s="10">
        <v>200.84</v>
      </c>
      <c r="R989" s="10" t="s">
        <v>57</v>
      </c>
      <c r="S989" s="10">
        <v>246.96</v>
      </c>
      <c r="T989" s="10">
        <v>48.89</v>
      </c>
      <c r="U989" s="29">
        <v>43782</v>
      </c>
      <c r="V989" s="66">
        <v>47434</v>
      </c>
      <c r="W989" s="10" t="s">
        <v>13</v>
      </c>
      <c r="X989" s="10" t="s">
        <v>17</v>
      </c>
    </row>
    <row r="990" spans="1:24" ht="50.25" customHeight="1" x14ac:dyDescent="0.25">
      <c r="A990" s="11">
        <f t="shared" si="63"/>
        <v>987</v>
      </c>
      <c r="B990" s="11" t="s">
        <v>2620</v>
      </c>
      <c r="C990" s="10" t="s">
        <v>2621</v>
      </c>
      <c r="D990" s="10" t="s">
        <v>815</v>
      </c>
      <c r="E990" s="10" t="s">
        <v>2</v>
      </c>
      <c r="F990" s="11" t="s">
        <v>2622</v>
      </c>
      <c r="G990" s="11"/>
      <c r="H990" s="11"/>
      <c r="I990" s="11" t="s">
        <v>836</v>
      </c>
      <c r="J990" s="11" t="s">
        <v>817</v>
      </c>
      <c r="K990" s="15" t="str">
        <f>HYPERLINK("https://drive.google.com/open?id=195Nt2QyFm2vF_nQatQf2cvvhnudkfcTY","ЕЕ 00020")</f>
        <v>ЕЕ 00020</v>
      </c>
      <c r="L990" s="15" t="str">
        <f>HYPERLINK("https://drive.google.com/open?id=1P6WhCAZ9BdFs0w0v9n9WQL-ouBPRHS_b","Сертифікат")</f>
        <v>Сертифікат</v>
      </c>
      <c r="M990" s="11" t="s">
        <v>12</v>
      </c>
      <c r="N990" s="10">
        <v>3538.18</v>
      </c>
      <c r="O990" s="10">
        <v>13977.1</v>
      </c>
      <c r="P990" s="10">
        <v>3</v>
      </c>
      <c r="Q990" s="10">
        <v>14.03</v>
      </c>
      <c r="R990" s="10" t="s">
        <v>66</v>
      </c>
      <c r="S990" s="10">
        <v>435.59</v>
      </c>
      <c r="T990" s="10">
        <v>79.650000000000006</v>
      </c>
      <c r="U990" s="29">
        <v>43795</v>
      </c>
      <c r="V990" s="66">
        <v>47447</v>
      </c>
      <c r="W990" s="10" t="s">
        <v>13</v>
      </c>
      <c r="X990" s="10" t="s">
        <v>17</v>
      </c>
    </row>
    <row r="991" spans="1:24" ht="50.25" customHeight="1" x14ac:dyDescent="0.25">
      <c r="A991" s="11">
        <f t="shared" si="63"/>
        <v>988</v>
      </c>
      <c r="B991" s="11" t="s">
        <v>2623</v>
      </c>
      <c r="C991" s="10" t="s">
        <v>85</v>
      </c>
      <c r="D991" s="10" t="s">
        <v>2618</v>
      </c>
      <c r="E991" s="10" t="s">
        <v>2</v>
      </c>
      <c r="F991" s="11" t="s">
        <v>2624</v>
      </c>
      <c r="G991" s="11"/>
      <c r="H991" s="11"/>
      <c r="I991" s="11" t="s">
        <v>2625</v>
      </c>
      <c r="J991" s="11" t="s">
        <v>992</v>
      </c>
      <c r="K991" s="15" t="str">
        <f>HYPERLINK("https://drive.google.com/open?id=1YahV5U6nzJHToaX4SQsiE71O2xlIaiiy","ОД 02071010/0301-19")</f>
        <v>ОД 02071010/0301-19</v>
      </c>
      <c r="L991" s="15" t="str">
        <f>HYPERLINK("https://drive.google.com/open?id=1c6P-g41naT3AopAnHPXfW1z3gq_BJugS","Сертифікат")</f>
        <v>Сертифікат</v>
      </c>
      <c r="M991" s="11" t="s">
        <v>15</v>
      </c>
      <c r="N991" s="10">
        <v>7179.3</v>
      </c>
      <c r="O991" s="10">
        <v>24011.8</v>
      </c>
      <c r="P991" s="10" t="s">
        <v>2626</v>
      </c>
      <c r="Q991" s="10">
        <v>25.1</v>
      </c>
      <c r="R991" s="10" t="s">
        <v>66</v>
      </c>
      <c r="S991" s="10">
        <v>214.1</v>
      </c>
      <c r="T991" s="10">
        <v>40.299999999999997</v>
      </c>
      <c r="U991" s="29">
        <v>43773</v>
      </c>
      <c r="V991" s="66">
        <v>47425</v>
      </c>
      <c r="W991" s="10" t="s">
        <v>13</v>
      </c>
      <c r="X991" s="10" t="s">
        <v>17</v>
      </c>
    </row>
    <row r="992" spans="1:24" ht="50.25" customHeight="1" x14ac:dyDescent="0.25">
      <c r="A992" s="11">
        <f t="shared" si="63"/>
        <v>989</v>
      </c>
      <c r="B992" s="11" t="s">
        <v>2627</v>
      </c>
      <c r="C992" s="47" t="s">
        <v>2628</v>
      </c>
      <c r="D992" s="10" t="s">
        <v>541</v>
      </c>
      <c r="E992" s="10" t="s">
        <v>3</v>
      </c>
      <c r="F992" s="11" t="s">
        <v>2629</v>
      </c>
      <c r="G992" s="11"/>
      <c r="H992" s="11"/>
      <c r="I992" s="11">
        <v>1950</v>
      </c>
      <c r="J992" s="11" t="s">
        <v>209</v>
      </c>
      <c r="K992" s="15" t="str">
        <f>HYPERLINK("https://drive.google.com/open?id=1nFSy5k_5dEpHD1r7NrzhyR0bvCdUEIlN","СБ-0033")</f>
        <v>СБ-0033</v>
      </c>
      <c r="L992" s="15" t="str">
        <f>HYPERLINK("https://drive.google.com/open?id=1fmVvAHAJ5jOO8eAU9eWQNBEGsZFTweGX","Сертифікат")</f>
        <v>Сертифікат</v>
      </c>
      <c r="M992" s="11" t="s">
        <v>26</v>
      </c>
      <c r="N992" s="10">
        <v>772</v>
      </c>
      <c r="O992" s="10">
        <v>3704</v>
      </c>
      <c r="P992" s="10">
        <v>2</v>
      </c>
      <c r="Q992" s="10">
        <v>60</v>
      </c>
      <c r="R992" s="10" t="s">
        <v>66</v>
      </c>
      <c r="S992" s="10">
        <v>386</v>
      </c>
      <c r="T992" s="10">
        <v>76</v>
      </c>
      <c r="U992" s="29">
        <v>43791</v>
      </c>
      <c r="V992" s="66">
        <v>47443</v>
      </c>
      <c r="W992" s="10" t="s">
        <v>10</v>
      </c>
      <c r="X992" s="10" t="s">
        <v>17</v>
      </c>
    </row>
    <row r="993" spans="1:24" ht="50.25" customHeight="1" x14ac:dyDescent="0.25">
      <c r="A993" s="11">
        <f t="shared" si="63"/>
        <v>990</v>
      </c>
      <c r="B993" s="11" t="s">
        <v>2630</v>
      </c>
      <c r="C993" s="10" t="s">
        <v>153</v>
      </c>
      <c r="D993" s="10" t="s">
        <v>86</v>
      </c>
      <c r="E993" s="10" t="s">
        <v>0</v>
      </c>
      <c r="F993" s="11" t="s">
        <v>2631</v>
      </c>
      <c r="G993" s="11"/>
      <c r="H993" s="11"/>
      <c r="I993" s="11" t="s">
        <v>2632</v>
      </c>
      <c r="J993" s="11" t="s">
        <v>64</v>
      </c>
      <c r="K993" s="15" t="str">
        <f>HYPERLINK("https://drive.google.com/open?id=1-fr_zsf-7fSXhRxegEztRfDKVGALmS4z","АА000004")</f>
        <v>АА000004</v>
      </c>
      <c r="L993" s="15" t="str">
        <f>HYPERLINK("https://drive.google.com/open?id=1Kl4yjrD_4prMjC-fFxGj-6kiifgNrUmi","Сертифікат")</f>
        <v>Сертифікат</v>
      </c>
      <c r="M993" s="11" t="s">
        <v>24</v>
      </c>
      <c r="N993" s="10">
        <v>4110</v>
      </c>
      <c r="O993" s="10">
        <v>10933</v>
      </c>
      <c r="P993" s="10">
        <v>5</v>
      </c>
      <c r="Q993" s="10">
        <v>121</v>
      </c>
      <c r="R993" s="10" t="s">
        <v>57</v>
      </c>
      <c r="S993" s="10">
        <v>242.5</v>
      </c>
      <c r="T993" s="10">
        <v>47</v>
      </c>
      <c r="U993" s="29">
        <v>43794</v>
      </c>
      <c r="V993" s="66">
        <v>47446</v>
      </c>
      <c r="W993" s="10" t="s">
        <v>13</v>
      </c>
      <c r="X993" s="10" t="s">
        <v>17</v>
      </c>
    </row>
    <row r="994" spans="1:24" ht="50.25" customHeight="1" x14ac:dyDescent="0.25">
      <c r="A994" s="11">
        <f t="shared" si="63"/>
        <v>991</v>
      </c>
      <c r="B994" s="11" t="s">
        <v>2633</v>
      </c>
      <c r="C994" s="10" t="s">
        <v>52</v>
      </c>
      <c r="D994" s="10" t="s">
        <v>52</v>
      </c>
      <c r="E994" s="10" t="s">
        <v>0</v>
      </c>
      <c r="F994" s="11" t="s">
        <v>2634</v>
      </c>
      <c r="G994" s="11"/>
      <c r="H994" s="11"/>
      <c r="I994" s="11" t="s">
        <v>836</v>
      </c>
      <c r="J994" s="11" t="s">
        <v>2635</v>
      </c>
      <c r="K994" s="15" t="str">
        <f>HYPERLINK("https://drive.google.com/open?id=1uOV-FJDxvB8STlGwppnVzhdQjWMjxj5o","KPI-CE № 000004")</f>
        <v>KPI-CE № 000004</v>
      </c>
      <c r="L994" s="15" t="str">
        <f>HYPERLINK("https://drive.google.com/open?id=1zq3PhuGeTcvtNKxP7zcFmRo2mCTI7PuB","Сертифікат")</f>
        <v>Сертифікат</v>
      </c>
      <c r="M994" s="11" t="s">
        <v>18</v>
      </c>
      <c r="N994" s="10">
        <v>36915</v>
      </c>
      <c r="O994" s="10">
        <v>127771</v>
      </c>
      <c r="P994" s="10" t="s">
        <v>2636</v>
      </c>
      <c r="Q994" s="10">
        <v>84.2</v>
      </c>
      <c r="R994" s="10" t="s">
        <v>57</v>
      </c>
      <c r="S994" s="10">
        <v>193.6</v>
      </c>
      <c r="T994" s="10">
        <v>37.1</v>
      </c>
      <c r="U994" s="29">
        <v>43794</v>
      </c>
      <c r="V994" s="66">
        <v>47446</v>
      </c>
      <c r="W994" s="10" t="s">
        <v>10</v>
      </c>
      <c r="X994" s="10" t="s">
        <v>17</v>
      </c>
    </row>
    <row r="995" spans="1:24" ht="50.25" customHeight="1" x14ac:dyDescent="0.25">
      <c r="A995" s="11">
        <f t="shared" si="63"/>
        <v>992</v>
      </c>
      <c r="B995" s="11" t="s">
        <v>2451</v>
      </c>
      <c r="C995" s="10" t="s">
        <v>517</v>
      </c>
      <c r="D995" s="10" t="s">
        <v>518</v>
      </c>
      <c r="E995" s="10" t="s">
        <v>0</v>
      </c>
      <c r="F995" s="11" t="s">
        <v>2637</v>
      </c>
      <c r="G995" s="11"/>
      <c r="H995" s="11"/>
      <c r="I995" s="11" t="s">
        <v>836</v>
      </c>
      <c r="J995" s="11" t="s">
        <v>2217</v>
      </c>
      <c r="K995" s="15" t="str">
        <f>HYPERLINK("https://drive.google.com/open?id=1OzYN2u1j9VdmpTJ38VYqUYLqHZqnxRmI","АА000118")</f>
        <v>АА000118</v>
      </c>
      <c r="L995" s="15" t="str">
        <f>HYPERLINK("https://drive.google.com/open?id=1sbom3YEnC2I5UKmYIME5abV_dRSucIPd","Сертифікат")</f>
        <v>Сертифікат</v>
      </c>
      <c r="M995" s="11" t="s">
        <v>18</v>
      </c>
      <c r="N995" s="10">
        <v>5905.1</v>
      </c>
      <c r="O995" s="10">
        <v>17715</v>
      </c>
      <c r="P995" s="10" t="s">
        <v>2638</v>
      </c>
      <c r="Q995" s="10">
        <v>86.9</v>
      </c>
      <c r="R995" s="10" t="s">
        <v>57</v>
      </c>
      <c r="S995" s="10">
        <v>124.2</v>
      </c>
      <c r="T995" s="10">
        <v>345</v>
      </c>
      <c r="U995" s="29">
        <v>43794</v>
      </c>
      <c r="V995" s="66">
        <v>47446</v>
      </c>
      <c r="W995" s="10" t="s">
        <v>10</v>
      </c>
      <c r="X995" s="10" t="s">
        <v>17</v>
      </c>
    </row>
    <row r="996" spans="1:24" ht="50.25" customHeight="1" x14ac:dyDescent="0.25">
      <c r="A996" s="11">
        <f t="shared" si="63"/>
        <v>993</v>
      </c>
      <c r="B996" s="11" t="s">
        <v>2639</v>
      </c>
      <c r="C996" s="10" t="s">
        <v>2640</v>
      </c>
      <c r="D996" s="10" t="s">
        <v>485</v>
      </c>
      <c r="E996" s="10" t="s">
        <v>7</v>
      </c>
      <c r="F996" s="11" t="s">
        <v>2539</v>
      </c>
      <c r="G996" s="11"/>
      <c r="H996" s="11"/>
      <c r="I996" s="11" t="s">
        <v>836</v>
      </c>
      <c r="J996" s="11" t="s">
        <v>2078</v>
      </c>
      <c r="K996" s="15" t="str">
        <f>HYPERLINK("https://drive.google.com/open?id=1Dy7TR5-TW7HHFgoURAEWFg2CT6g-sR4I","ЕА 02070766/15-19 ")</f>
        <v xml:space="preserve">ЕА 02070766/15-19 </v>
      </c>
      <c r="L996" s="15" t="str">
        <f>HYPERLINK("https://drive.google.com/open?id=1Sr7Rc1zQq5Sm1oInR1FKzF0_7AVAJHrR","Сертифікат")</f>
        <v>Сертифікат</v>
      </c>
      <c r="M996" s="11" t="s">
        <v>15</v>
      </c>
      <c r="N996" s="10">
        <v>1221.6099999999999</v>
      </c>
      <c r="O996" s="10">
        <v>6920.42</v>
      </c>
      <c r="P996" s="10">
        <v>1</v>
      </c>
      <c r="Q996" s="10">
        <v>37.299999999999997</v>
      </c>
      <c r="R996" s="10" t="s">
        <v>66</v>
      </c>
      <c r="S996" s="10">
        <v>596.9</v>
      </c>
      <c r="T996" s="10">
        <v>66.8</v>
      </c>
      <c r="U996" s="29">
        <v>43793</v>
      </c>
      <c r="V996" s="66">
        <v>47445</v>
      </c>
      <c r="W996" s="10" t="s">
        <v>10</v>
      </c>
      <c r="X996" s="10" t="s">
        <v>17</v>
      </c>
    </row>
    <row r="997" spans="1:24" ht="50.25" customHeight="1" x14ac:dyDescent="0.25">
      <c r="A997" s="11">
        <f t="shared" si="63"/>
        <v>994</v>
      </c>
      <c r="B997" s="11" t="s">
        <v>2641</v>
      </c>
      <c r="C997" s="10" t="s">
        <v>68</v>
      </c>
      <c r="D997" s="10" t="s">
        <v>69</v>
      </c>
      <c r="E997" s="10" t="s">
        <v>7</v>
      </c>
      <c r="F997" s="11" t="s">
        <v>2642</v>
      </c>
      <c r="G997" s="11"/>
      <c r="H997" s="11"/>
      <c r="I997" s="11" t="s">
        <v>836</v>
      </c>
      <c r="J997" s="11" t="s">
        <v>432</v>
      </c>
      <c r="K997" s="15" t="str">
        <f>HYPERLINK("https://drive.google.com/open?id=1euBM6QoP56NhYkl2g8T2IRU9qquzh3C9","АА000006")</f>
        <v>АА000006</v>
      </c>
      <c r="L997" s="15" t="str">
        <f>HYPERLINK("https://drive.google.com/open?id=1J9XaEU8wyjX4SUE7hFz68_d1bCy3QWtW","Сертифікат")</f>
        <v>Сертифікат</v>
      </c>
      <c r="M997" s="11" t="s">
        <v>15</v>
      </c>
      <c r="N997" s="10">
        <v>3076.5</v>
      </c>
      <c r="O997" s="10">
        <v>11564.2</v>
      </c>
      <c r="P997" s="10">
        <v>2</v>
      </c>
      <c r="Q997" s="10">
        <v>51.21</v>
      </c>
      <c r="R997" s="10" t="s">
        <v>66</v>
      </c>
      <c r="S997" s="10">
        <v>117.79</v>
      </c>
      <c r="T997" s="10">
        <v>21.51</v>
      </c>
      <c r="U997" s="29">
        <v>43794</v>
      </c>
      <c r="V997" s="66">
        <v>47446</v>
      </c>
      <c r="W997" s="10" t="s">
        <v>10</v>
      </c>
      <c r="X997" s="10" t="s">
        <v>17</v>
      </c>
    </row>
    <row r="998" spans="1:24" ht="50.25" customHeight="1" x14ac:dyDescent="0.25">
      <c r="A998" s="11">
        <f t="shared" si="63"/>
        <v>995</v>
      </c>
      <c r="B998" s="11" t="s">
        <v>2643</v>
      </c>
      <c r="C998" s="10" t="s">
        <v>243</v>
      </c>
      <c r="D998" s="10" t="s">
        <v>238</v>
      </c>
      <c r="E998" s="10" t="s">
        <v>2</v>
      </c>
      <c r="F998" s="11" t="s">
        <v>2429</v>
      </c>
      <c r="G998" s="11"/>
      <c r="H998" s="11"/>
      <c r="I998" s="11">
        <v>1987</v>
      </c>
      <c r="J998" s="11" t="s">
        <v>908</v>
      </c>
      <c r="K998" s="15" t="str">
        <f>HYPERLINK("https://drive.google.com/open?id=1XyAHqlyKm3cSooUFxa72DZEa7K5u3CT5","ТБ0006")</f>
        <v>ТБ0006</v>
      </c>
      <c r="L998" s="15" t="str">
        <f>HYPERLINK("https://drive.google.com/open?id=1U2byaJ9rZCbHInH581S16Us2P74feh1E","Сертифікат")</f>
        <v>Сертифікат</v>
      </c>
      <c r="M998" s="11" t="s">
        <v>26</v>
      </c>
      <c r="N998" s="10">
        <v>835.61</v>
      </c>
      <c r="O998" s="10">
        <v>2511.5500000000002</v>
      </c>
      <c r="P998" s="10">
        <v>3</v>
      </c>
      <c r="Q998" s="10">
        <v>148.46</v>
      </c>
      <c r="R998" s="10" t="s">
        <v>66</v>
      </c>
      <c r="S998" s="10">
        <v>591.6</v>
      </c>
      <c r="T998" s="10">
        <v>116.03</v>
      </c>
      <c r="U998" s="66">
        <v>43795</v>
      </c>
      <c r="V998" s="66">
        <v>47447</v>
      </c>
      <c r="W998" s="10" t="s">
        <v>10</v>
      </c>
      <c r="X998" s="10" t="s">
        <v>17</v>
      </c>
    </row>
    <row r="999" spans="1:24" ht="50.25" customHeight="1" x14ac:dyDescent="0.25">
      <c r="A999" s="11">
        <f t="shared" si="63"/>
        <v>996</v>
      </c>
      <c r="B999" s="11" t="s">
        <v>2644</v>
      </c>
      <c r="C999" s="10" t="s">
        <v>85</v>
      </c>
      <c r="D999" s="10" t="s">
        <v>86</v>
      </c>
      <c r="E999" s="10" t="s">
        <v>0</v>
      </c>
      <c r="F999" s="11" t="s">
        <v>2645</v>
      </c>
      <c r="G999" s="11"/>
      <c r="H999" s="11"/>
      <c r="I999" s="11" t="s">
        <v>2646</v>
      </c>
      <c r="J999" s="11" t="s">
        <v>992</v>
      </c>
      <c r="K999" s="15" t="str">
        <f>HYPERLINK("https://drive.google.com/open?id=1YahV5U6nzJHToaX4SQsiE71O2xlIaiiy","ОД 02071010/0301-19")</f>
        <v>ОД 02071010/0301-19</v>
      </c>
      <c r="L999" s="15" t="str">
        <f>HYPERLINK("https://drive.google.com/open?id=1CQD01-MyCVa1mj1ZArbjOMJUd6MpyMx_","Сертифікат")</f>
        <v>Сертифікат</v>
      </c>
      <c r="M999" s="11" t="s">
        <v>15</v>
      </c>
      <c r="N999" s="10">
        <v>2381.8000000000002</v>
      </c>
      <c r="O999" s="10">
        <v>7993.3</v>
      </c>
      <c r="P999" s="10">
        <v>4</v>
      </c>
      <c r="Q999" s="10">
        <v>70.900000000000006</v>
      </c>
      <c r="R999" s="10" t="s">
        <v>57</v>
      </c>
      <c r="S999" s="10">
        <v>154.80000000000001</v>
      </c>
      <c r="T999" s="10">
        <v>29.3</v>
      </c>
      <c r="U999" s="29">
        <v>43787</v>
      </c>
      <c r="V999" s="66">
        <v>47439</v>
      </c>
      <c r="W999" s="10" t="s">
        <v>10</v>
      </c>
      <c r="X999" s="10" t="s">
        <v>17</v>
      </c>
    </row>
    <row r="1000" spans="1:24" ht="50.25" customHeight="1" x14ac:dyDescent="0.25">
      <c r="A1000" s="11">
        <f t="shared" si="63"/>
        <v>997</v>
      </c>
      <c r="B1000" s="11" t="s">
        <v>2647</v>
      </c>
      <c r="C1000" s="10" t="s">
        <v>552</v>
      </c>
      <c r="D1000" s="10" t="s">
        <v>541</v>
      </c>
      <c r="E1000" s="10" t="s">
        <v>0</v>
      </c>
      <c r="F1000" s="11" t="s">
        <v>2648</v>
      </c>
      <c r="G1000" s="11"/>
      <c r="H1000" s="11"/>
      <c r="I1000" s="11" t="s">
        <v>2649</v>
      </c>
      <c r="J1000" s="11" t="s">
        <v>1212</v>
      </c>
      <c r="K1000" s="15" t="str">
        <f>HYPERLINK("https://drive.google.com/open?id=1XTelnBAirwIPoizCv9Tf_sX2tN4P-YTR","AA 000015")</f>
        <v>AA 000015</v>
      </c>
      <c r="L1000" s="15" t="str">
        <f>HYPERLINK("https://drive.google.com/open?id=1CAW9tyRI1DB-mD1DEC1Uwsh0ljTkFm5E","Сертифікат")</f>
        <v>Сертифікат</v>
      </c>
      <c r="M1000" s="11" t="s">
        <v>18</v>
      </c>
      <c r="N1000" s="10">
        <v>5463</v>
      </c>
      <c r="O1000" s="10">
        <v>15296.4</v>
      </c>
      <c r="P1000" s="10">
        <v>10</v>
      </c>
      <c r="Q1000" s="10">
        <v>83.31</v>
      </c>
      <c r="R1000" s="10" t="s">
        <v>57</v>
      </c>
      <c r="S1000" s="10">
        <v>98.57</v>
      </c>
      <c r="T1000" s="10">
        <v>24.34</v>
      </c>
      <c r="U1000" s="29">
        <v>43794</v>
      </c>
      <c r="V1000" s="66">
        <v>47446</v>
      </c>
      <c r="W1000" s="10" t="s">
        <v>10</v>
      </c>
      <c r="X1000" s="10" t="s">
        <v>17</v>
      </c>
    </row>
    <row r="1001" spans="1:24" ht="50.25" customHeight="1" x14ac:dyDescent="0.25">
      <c r="A1001" s="11">
        <v>998</v>
      </c>
      <c r="B1001" s="11" t="s">
        <v>2650</v>
      </c>
      <c r="C1001" s="47" t="s">
        <v>814</v>
      </c>
      <c r="D1001" s="10" t="s">
        <v>815</v>
      </c>
      <c r="E1001" s="10" t="s">
        <v>2</v>
      </c>
      <c r="F1001" s="10" t="s">
        <v>2651</v>
      </c>
      <c r="G1001" s="11"/>
      <c r="H1001" s="11"/>
      <c r="I1001" s="11" t="s">
        <v>2652</v>
      </c>
      <c r="J1001" s="11" t="s">
        <v>817</v>
      </c>
      <c r="K1001" s="15" t="str">
        <f>HYPERLINK("https://drive.google.com/open?id=195Nt2QyFm2vF_nQatQf2cvvhnudkfcTY","ЕЕ00020")</f>
        <v>ЕЕ00020</v>
      </c>
      <c r="L1001" s="48" t="str">
        <f>HYPERLINK("https://drive.google.com/open?id=1VjCa065jkQ1uj8fUlAw25cRS2rWpbudd","Сертифікат")</f>
        <v>Сертифікат</v>
      </c>
      <c r="M1001" s="11" t="s">
        <v>18</v>
      </c>
      <c r="N1001" s="10">
        <v>928.99</v>
      </c>
      <c r="O1001" s="10">
        <v>3149.57</v>
      </c>
      <c r="P1001" s="10">
        <v>2</v>
      </c>
      <c r="Q1001" s="10">
        <v>54.3</v>
      </c>
      <c r="R1001" s="10" t="s">
        <v>66</v>
      </c>
      <c r="S1001" s="10">
        <v>599.09</v>
      </c>
      <c r="T1001" s="10">
        <v>109.4</v>
      </c>
      <c r="U1001" s="29">
        <v>43790</v>
      </c>
      <c r="V1001" s="66">
        <v>47442</v>
      </c>
      <c r="W1001" s="10" t="s">
        <v>10</v>
      </c>
      <c r="X1001" s="10" t="s">
        <v>17</v>
      </c>
    </row>
    <row r="1002" spans="1:24" ht="50.25" customHeight="1" x14ac:dyDescent="0.25">
      <c r="A1002" s="11">
        <f t="shared" si="70"/>
        <v>999</v>
      </c>
      <c r="B1002" s="11" t="s">
        <v>2653</v>
      </c>
      <c r="C1002" s="10" t="s">
        <v>243</v>
      </c>
      <c r="D1002" s="10" t="s">
        <v>238</v>
      </c>
      <c r="E1002" s="10" t="s">
        <v>0</v>
      </c>
      <c r="F1002" s="11" t="s">
        <v>1471</v>
      </c>
      <c r="G1002" s="11"/>
      <c r="H1002" s="11"/>
      <c r="I1002" s="11">
        <v>2019</v>
      </c>
      <c r="J1002" s="11" t="s">
        <v>2347</v>
      </c>
      <c r="K1002" s="74" t="str">
        <f>HYPERLINK("https://drive.google.com/open?id=1tYA6mHoYATC0lpDSlChyx7uxGwMkjZPw","ХПІ.0009")</f>
        <v>ХПІ.0009</v>
      </c>
      <c r="L1002" s="15" t="str">
        <f>HYPERLINK("https://drive.google.com/open?id=1qHXXH1ptLPGIBW-jLg0TZjZCvYOHg2T0","Сертифікат")</f>
        <v>Сертифікат</v>
      </c>
      <c r="M1002" s="11" t="s">
        <v>18</v>
      </c>
      <c r="N1002" s="10">
        <v>5065.45</v>
      </c>
      <c r="O1002" s="10">
        <v>17263.099999999999</v>
      </c>
      <c r="P1002" s="10">
        <v>8</v>
      </c>
      <c r="Q1002" s="10">
        <v>85.2</v>
      </c>
      <c r="R1002" s="10" t="s">
        <v>57</v>
      </c>
      <c r="S1002" s="10">
        <v>131.71</v>
      </c>
      <c r="T1002" s="10">
        <v>18.75</v>
      </c>
      <c r="U1002" s="29">
        <v>43796</v>
      </c>
      <c r="V1002" s="66">
        <v>47448</v>
      </c>
      <c r="W1002" s="10" t="s">
        <v>10</v>
      </c>
      <c r="X1002" s="10" t="s">
        <v>17</v>
      </c>
    </row>
    <row r="1003" spans="1:24" ht="50.25" customHeight="1" x14ac:dyDescent="0.25">
      <c r="A1003" s="11">
        <f t="shared" si="70"/>
        <v>1000</v>
      </c>
      <c r="B1003" s="11" t="s">
        <v>2654</v>
      </c>
      <c r="C1003" s="10" t="s">
        <v>2655</v>
      </c>
      <c r="D1003" s="10" t="s">
        <v>86</v>
      </c>
      <c r="E1003" s="10" t="s">
        <v>5</v>
      </c>
      <c r="F1003" s="11" t="s">
        <v>2656</v>
      </c>
      <c r="G1003" s="11"/>
      <c r="H1003" s="11"/>
      <c r="I1003" s="11" t="s">
        <v>2657</v>
      </c>
      <c r="J1003" s="11" t="s">
        <v>2658</v>
      </c>
      <c r="K1003" s="15" t="str">
        <f>HYPERLINK("https://drive.google.com/open?id=1rYQuekmUEC8G2LEU9_suqGMsEvQ4wslr","ОД 02071010/0709-19")</f>
        <v>ОД 02071010/0709-19</v>
      </c>
      <c r="L1003" s="15" t="str">
        <f>HYPERLINK("https://drive.google.com/open?id=1-1tBOwhzRXV8bD2-4VxcRh-7PLBmS_lQ","Сертифікат")</f>
        <v>Сертифікат</v>
      </c>
      <c r="M1003" s="11" t="s">
        <v>20</v>
      </c>
      <c r="N1003" s="10">
        <v>1434.2</v>
      </c>
      <c r="O1003" s="10">
        <v>4646.8</v>
      </c>
      <c r="P1003" s="10">
        <v>3</v>
      </c>
      <c r="Q1003" s="10">
        <v>56.69</v>
      </c>
      <c r="R1003" s="10" t="s">
        <v>66</v>
      </c>
      <c r="S1003" s="10">
        <v>227</v>
      </c>
      <c r="T1003" s="10">
        <v>45.4</v>
      </c>
      <c r="U1003" s="29">
        <v>43796</v>
      </c>
      <c r="V1003" s="66">
        <v>47448</v>
      </c>
      <c r="W1003" s="10" t="s">
        <v>13</v>
      </c>
      <c r="X1003" s="10" t="s">
        <v>17</v>
      </c>
    </row>
    <row r="1004" spans="1:24" ht="50.25" customHeight="1" x14ac:dyDescent="0.25">
      <c r="A1004" s="11">
        <f t="shared" si="70"/>
        <v>1001</v>
      </c>
      <c r="B1004" s="11" t="s">
        <v>2659</v>
      </c>
      <c r="C1004" s="47" t="s">
        <v>2571</v>
      </c>
      <c r="D1004" s="10" t="s">
        <v>238</v>
      </c>
      <c r="E1004" s="10" t="s">
        <v>7</v>
      </c>
      <c r="F1004" s="11" t="s">
        <v>2660</v>
      </c>
      <c r="G1004" s="11"/>
      <c r="H1004" s="11"/>
      <c r="I1004" s="11" t="s">
        <v>1962</v>
      </c>
      <c r="J1004" s="11" t="s">
        <v>2661</v>
      </c>
      <c r="K1004" s="15" t="str">
        <f>HYPERLINK("https://drive.google.com/open?id=10N0spT4AM9JJS1zczo4AFR0rZ1QnO922","ТБ0007 ")</f>
        <v xml:space="preserve">ТБ0007 </v>
      </c>
      <c r="L1004" s="15" t="str">
        <f>HYPERLINK("https://drive.google.com/open?id=129cKzQm8IMfe2ybzuS1flJsz4ah2_8_b","Сертифікат")</f>
        <v>Сертифікат</v>
      </c>
      <c r="M1004" s="11" t="s">
        <v>15</v>
      </c>
      <c r="N1004" s="10">
        <v>883.26</v>
      </c>
      <c r="O1004" s="10">
        <v>3493.75</v>
      </c>
      <c r="P1004" s="10" t="s">
        <v>2662</v>
      </c>
      <c r="Q1004" s="10">
        <v>27.39</v>
      </c>
      <c r="R1004" s="10" t="s">
        <v>66</v>
      </c>
      <c r="S1004" s="10">
        <v>249.28</v>
      </c>
      <c r="T1004" s="10">
        <v>45.52</v>
      </c>
      <c r="U1004" s="29">
        <v>43794</v>
      </c>
      <c r="V1004" s="66">
        <v>47446</v>
      </c>
      <c r="W1004" s="10" t="s">
        <v>13</v>
      </c>
      <c r="X1004" s="10" t="s">
        <v>17</v>
      </c>
    </row>
    <row r="1005" spans="1:24" ht="50.25" customHeight="1" x14ac:dyDescent="0.25">
      <c r="A1005" s="11">
        <f t="shared" si="70"/>
        <v>1002</v>
      </c>
      <c r="B1005" s="11" t="s">
        <v>2663</v>
      </c>
      <c r="C1005" s="10" t="s">
        <v>441</v>
      </c>
      <c r="D1005" s="10" t="s">
        <v>442</v>
      </c>
      <c r="E1005" s="10" t="s">
        <v>0</v>
      </c>
      <c r="F1005" s="11" t="s">
        <v>2664</v>
      </c>
      <c r="G1005" s="11"/>
      <c r="H1005" s="11"/>
      <c r="I1005" s="11">
        <v>2019</v>
      </c>
      <c r="J1005" s="20" t="s">
        <v>1468</v>
      </c>
      <c r="K1005" s="51" t="str">
        <f>HYPERLINK("https://drive.google.com/open?id=1BHIEAI9Lbv2xyJ2x60s6Wqa2wkTLn_kc","№ОРІ-АВ00017")</f>
        <v>№ОРІ-АВ00017</v>
      </c>
      <c r="L1005" s="15" t="str">
        <f>HYPERLINK("https://drive.google.com/open?id=1G2azDBJty58lqy0u4_oTRyLSScVM0jVv","Сертифікат")</f>
        <v>Сертифікат</v>
      </c>
      <c r="M1005" s="11" t="s">
        <v>18</v>
      </c>
      <c r="N1005" s="10">
        <v>3204.83</v>
      </c>
      <c r="O1005" s="10">
        <v>9983.99</v>
      </c>
      <c r="P1005" s="10">
        <v>9</v>
      </c>
      <c r="Q1005" s="10">
        <v>86.7</v>
      </c>
      <c r="R1005" s="10" t="s">
        <v>57</v>
      </c>
      <c r="S1005" s="10">
        <v>132.19999999999999</v>
      </c>
      <c r="T1005" s="10">
        <v>25.8</v>
      </c>
      <c r="U1005" s="29">
        <v>43792</v>
      </c>
      <c r="V1005" s="66">
        <v>47444</v>
      </c>
      <c r="W1005" s="10" t="s">
        <v>10</v>
      </c>
      <c r="X1005" s="10" t="s">
        <v>17</v>
      </c>
    </row>
    <row r="1006" spans="1:24" ht="50.25" customHeight="1" x14ac:dyDescent="0.25">
      <c r="A1006" s="11">
        <f t="shared" si="70"/>
        <v>1003</v>
      </c>
      <c r="B1006" s="11" t="s">
        <v>2665</v>
      </c>
      <c r="C1006" s="10" t="s">
        <v>85</v>
      </c>
      <c r="D1006" s="10" t="s">
        <v>86</v>
      </c>
      <c r="E1006" s="10" t="s">
        <v>0</v>
      </c>
      <c r="F1006" s="11" t="s">
        <v>2666</v>
      </c>
      <c r="G1006" s="11"/>
      <c r="H1006" s="11"/>
      <c r="I1006" s="11">
        <v>1984</v>
      </c>
      <c r="J1006" s="11" t="s">
        <v>1591</v>
      </c>
      <c r="K1006" s="15" t="str">
        <f>HYPERLINK("https://drive.google.com/open?id=1Eu3b-SQR6QMzDrWPm53uhmGYQaQSos-l","KPI-CE 000011")</f>
        <v>KPI-CE 000011</v>
      </c>
      <c r="L1006" s="15" t="str">
        <f>HYPERLINK("https://drive.google.com/open?id=1-Otb3Cc3u696mOfuhwcz3lxn3VAPPExs","Сертифікат")</f>
        <v>Сертифікат</v>
      </c>
      <c r="M1006" s="11" t="s">
        <v>24</v>
      </c>
      <c r="N1006" s="10">
        <v>5143</v>
      </c>
      <c r="O1006" s="10">
        <v>14858</v>
      </c>
      <c r="P1006" s="10">
        <v>9</v>
      </c>
      <c r="Q1006" s="10">
        <v>152.27000000000001</v>
      </c>
      <c r="R1006" s="10" t="s">
        <v>57</v>
      </c>
      <c r="S1006" s="10">
        <v>228.32</v>
      </c>
      <c r="T1006" s="10">
        <v>71.5</v>
      </c>
      <c r="U1006" s="29">
        <v>43795</v>
      </c>
      <c r="V1006" s="66">
        <v>47447</v>
      </c>
      <c r="W1006" s="10" t="s">
        <v>10</v>
      </c>
      <c r="X1006" s="10" t="s">
        <v>17</v>
      </c>
    </row>
    <row r="1007" spans="1:24" ht="50.25" customHeight="1" x14ac:dyDescent="0.25">
      <c r="A1007" s="11">
        <f t="shared" si="70"/>
        <v>1004</v>
      </c>
      <c r="B1007" s="11" t="s">
        <v>2667</v>
      </c>
      <c r="C1007" s="10" t="s">
        <v>2668</v>
      </c>
      <c r="D1007" s="10" t="s">
        <v>442</v>
      </c>
      <c r="E1007" s="10" t="s">
        <v>3</v>
      </c>
      <c r="F1007" s="11" t="s">
        <v>2669</v>
      </c>
      <c r="G1007" s="11"/>
      <c r="H1007" s="11"/>
      <c r="I1007" s="11">
        <v>1914</v>
      </c>
      <c r="J1007" s="11" t="s">
        <v>1740</v>
      </c>
      <c r="K1007" s="15" t="str">
        <f>HYPERLINK("https://drive.google.com/open?id=1olNXwN6O7EqQ47IkA2pAkSyR84Ia7OFR","ОД 000012")</f>
        <v>ОД 000012</v>
      </c>
      <c r="L1007" s="15" t="str">
        <f>HYPERLINK("https://drive.google.com/open?id=1bI4dT7j84ZOy_GFXBfxQtdih0VsUhpQi","Сертифікат")</f>
        <v>Сертифікат</v>
      </c>
      <c r="M1007" s="11" t="s">
        <v>24</v>
      </c>
      <c r="N1007" s="10">
        <v>838.3</v>
      </c>
      <c r="O1007" s="10">
        <v>3664</v>
      </c>
      <c r="P1007" s="10">
        <v>1</v>
      </c>
      <c r="Q1007" s="10">
        <v>54.74</v>
      </c>
      <c r="R1007" s="10" t="s">
        <v>66</v>
      </c>
      <c r="S1007" s="10">
        <v>329.9</v>
      </c>
      <c r="T1007" s="10">
        <v>63.6</v>
      </c>
      <c r="U1007" s="66">
        <v>43796</v>
      </c>
      <c r="V1007" s="66">
        <v>47448</v>
      </c>
      <c r="W1007" s="10" t="s">
        <v>13</v>
      </c>
      <c r="X1007" s="10" t="s">
        <v>17</v>
      </c>
    </row>
    <row r="1008" spans="1:24" ht="50.25" customHeight="1" x14ac:dyDescent="0.25">
      <c r="A1008" s="11">
        <f t="shared" si="70"/>
        <v>1005</v>
      </c>
      <c r="B1008" s="11" t="s">
        <v>2670</v>
      </c>
      <c r="C1008" s="10" t="s">
        <v>1507</v>
      </c>
      <c r="D1008" s="10" t="s">
        <v>317</v>
      </c>
      <c r="E1008" s="10" t="s">
        <v>2</v>
      </c>
      <c r="F1008" s="11" t="s">
        <v>1163</v>
      </c>
      <c r="G1008" s="11"/>
      <c r="H1008" s="11"/>
      <c r="I1008" s="11">
        <v>1969</v>
      </c>
      <c r="J1008" s="11" t="s">
        <v>1520</v>
      </c>
      <c r="K1008" s="15" t="str">
        <f>HYPERLINK("https://drive.google.com/open?id=1h7SxjX8kLI3GcDpujJYP0DlexJilmQJ7","АР 000071")</f>
        <v>АР 000071</v>
      </c>
      <c r="L1008" s="15" t="str">
        <f>HYPERLINK("https://drive.google.com/open?id=1D3I_LCOr-v2FlIsF2uUSXARhYRYyU15j","Сертифікат")</f>
        <v>Сертифікат</v>
      </c>
      <c r="M1008" s="11" t="s">
        <v>26</v>
      </c>
      <c r="N1008" s="10">
        <v>1333.05</v>
      </c>
      <c r="O1008" s="10">
        <v>4713</v>
      </c>
      <c r="P1008" s="10">
        <v>3</v>
      </c>
      <c r="Q1008" s="10">
        <v>322</v>
      </c>
      <c r="R1008" s="10" t="s">
        <v>66</v>
      </c>
      <c r="S1008" s="10">
        <v>1734.5</v>
      </c>
      <c r="T1008" s="10">
        <v>341.7</v>
      </c>
      <c r="U1008" s="29">
        <v>43796</v>
      </c>
      <c r="V1008" s="66">
        <v>47448</v>
      </c>
      <c r="W1008" s="10" t="s">
        <v>13</v>
      </c>
      <c r="X1008" s="10" t="s">
        <v>17</v>
      </c>
    </row>
    <row r="1009" spans="1:24" ht="50.25" customHeight="1" x14ac:dyDescent="0.25">
      <c r="A1009" s="11">
        <f t="shared" si="70"/>
        <v>1006</v>
      </c>
      <c r="B1009" s="11" t="s">
        <v>2671</v>
      </c>
      <c r="C1009" s="10" t="s">
        <v>68</v>
      </c>
      <c r="D1009" s="10" t="s">
        <v>2672</v>
      </c>
      <c r="E1009" s="10" t="s">
        <v>0</v>
      </c>
      <c r="F1009" s="11" t="s">
        <v>2673</v>
      </c>
      <c r="G1009" s="11"/>
      <c r="H1009" s="11"/>
      <c r="I1009" s="11" t="s">
        <v>2674</v>
      </c>
      <c r="J1009" s="11" t="s">
        <v>609</v>
      </c>
      <c r="K1009" s="15" t="str">
        <f>HYPERLINK("https://drive.google.com/open?id=1MmGP6rtYcZwVyIqDA-ykUrezieQsOMPg","ОД 000024")</f>
        <v>ОД 000024</v>
      </c>
      <c r="L1009" s="15" t="str">
        <f>HYPERLINK("https://drive.google.com/open?id=12RKNZChqOY3XyGW4b5Tlyjl-lVzGc9mA","Сертифікат")</f>
        <v>Сертифікат</v>
      </c>
      <c r="M1009" s="11" t="s">
        <v>22</v>
      </c>
      <c r="N1009" s="10">
        <v>4087.7</v>
      </c>
      <c r="O1009" s="10">
        <v>12426</v>
      </c>
      <c r="P1009" s="10">
        <v>5</v>
      </c>
      <c r="Q1009" s="10">
        <v>109.5</v>
      </c>
      <c r="R1009" s="10" t="s">
        <v>57</v>
      </c>
      <c r="S1009" s="10">
        <v>172.6</v>
      </c>
      <c r="T1009" s="10">
        <v>33.9</v>
      </c>
      <c r="U1009" s="29">
        <v>43784</v>
      </c>
      <c r="V1009" s="66">
        <v>47436</v>
      </c>
      <c r="W1009" s="10" t="s">
        <v>13</v>
      </c>
      <c r="X1009" s="10" t="s">
        <v>17</v>
      </c>
    </row>
    <row r="1010" spans="1:24" ht="50.25" customHeight="1" x14ac:dyDescent="0.25">
      <c r="A1010" s="11">
        <f t="shared" si="70"/>
        <v>1007</v>
      </c>
      <c r="B1010" s="11" t="s">
        <v>2675</v>
      </c>
      <c r="C1010" s="10" t="s">
        <v>814</v>
      </c>
      <c r="D1010" s="10" t="s">
        <v>815</v>
      </c>
      <c r="E1010" s="10" t="s">
        <v>4</v>
      </c>
      <c r="F1010" s="11" t="s">
        <v>2676</v>
      </c>
      <c r="G1010" s="11"/>
      <c r="H1010" s="11"/>
      <c r="I1010" s="11">
        <v>1974</v>
      </c>
      <c r="J1010" s="11" t="s">
        <v>276</v>
      </c>
      <c r="K1010" s="15" t="str">
        <f>HYPERLINK("https://drive.google.com/open?id=1xKDm5adVHh4bLbZX5D9_DIs--dpuGyBZ","СБ-0022")</f>
        <v>СБ-0022</v>
      </c>
      <c r="L1010" s="15" t="str">
        <f>HYPERLINK("https://drive.google.com/open?id=17iM2fXUEGNcS_F4JUdEJ_mEYh2ue2JLh","Сертифікат")</f>
        <v>Сертифікат</v>
      </c>
      <c r="M1010" s="11" t="s">
        <v>22</v>
      </c>
      <c r="N1010" s="10">
        <v>2094</v>
      </c>
      <c r="O1010" s="10">
        <v>7423</v>
      </c>
      <c r="P1010" s="10">
        <v>2</v>
      </c>
      <c r="Q1010" s="10">
        <v>83</v>
      </c>
      <c r="R1010" s="10" t="s">
        <v>66</v>
      </c>
      <c r="S1010" s="10">
        <v>453</v>
      </c>
      <c r="T1010" s="10">
        <v>89</v>
      </c>
      <c r="U1010" s="29">
        <v>43795</v>
      </c>
      <c r="V1010" s="66">
        <v>47447</v>
      </c>
      <c r="W1010" s="10" t="s">
        <v>10</v>
      </c>
      <c r="X1010" s="10" t="s">
        <v>17</v>
      </c>
    </row>
    <row r="1011" spans="1:24" ht="50.25" customHeight="1" x14ac:dyDescent="0.25">
      <c r="A1011" s="11">
        <f t="shared" si="70"/>
        <v>1008</v>
      </c>
      <c r="B1011" s="11" t="s">
        <v>2677</v>
      </c>
      <c r="C1011" s="10" t="s">
        <v>2678</v>
      </c>
      <c r="D1011" s="10" t="s">
        <v>75</v>
      </c>
      <c r="E1011" s="10" t="s">
        <v>5</v>
      </c>
      <c r="F1011" s="11" t="s">
        <v>2679</v>
      </c>
      <c r="G1011" s="11"/>
      <c r="H1011" s="11"/>
      <c r="I1011" s="11">
        <v>1975</v>
      </c>
      <c r="J1011" s="11" t="s">
        <v>261</v>
      </c>
      <c r="K1011" s="15" t="str">
        <f t="shared" ref="K1011:K1012" si="70">HYPERLINK("https://drive.google.com/open?id=1v-yro4vA3IMknMh88BfdmdNuHsGAtMU9","КРІ-СЕ №000016")</f>
        <v>КРІ-СЕ №000016</v>
      </c>
      <c r="L1011" s="15" t="str">
        <f>HYPERLINK("https://drive.google.com/open?id=1NJ7Si0U08djvcDoHx5h2B9BOA2ojYwVG","Сертифікат")</f>
        <v>Сертифікат</v>
      </c>
      <c r="M1011" s="11" t="s">
        <v>26</v>
      </c>
      <c r="N1011" s="10">
        <v>831.4</v>
      </c>
      <c r="O1011" s="10">
        <v>2328</v>
      </c>
      <c r="P1011" s="10">
        <v>1</v>
      </c>
      <c r="Q1011" s="10">
        <v>102</v>
      </c>
      <c r="R1011" s="10" t="s">
        <v>66</v>
      </c>
      <c r="S1011" s="10">
        <v>430</v>
      </c>
      <c r="T1011" s="10">
        <v>84</v>
      </c>
      <c r="U1011" s="29">
        <v>43795</v>
      </c>
      <c r="V1011" s="66">
        <v>47447</v>
      </c>
      <c r="W1011" s="10" t="s">
        <v>10</v>
      </c>
      <c r="X1011" s="10" t="s">
        <v>17</v>
      </c>
    </row>
    <row r="1012" spans="1:24" ht="50.25" customHeight="1" x14ac:dyDescent="0.25">
      <c r="A1012" s="11">
        <f t="shared" si="70"/>
        <v>1009</v>
      </c>
      <c r="B1012" s="11" t="s">
        <v>2680</v>
      </c>
      <c r="C1012" s="10" t="s">
        <v>2678</v>
      </c>
      <c r="D1012" s="10" t="s">
        <v>75</v>
      </c>
      <c r="E1012" s="10" t="s">
        <v>5</v>
      </c>
      <c r="F1012" s="11" t="s">
        <v>2681</v>
      </c>
      <c r="G1012" s="11"/>
      <c r="H1012" s="11"/>
      <c r="I1012" s="11">
        <v>1991</v>
      </c>
      <c r="J1012" s="11" t="s">
        <v>261</v>
      </c>
      <c r="K1012" s="15" t="str">
        <f t="shared" si="70"/>
        <v>КРІ-СЕ №000016</v>
      </c>
      <c r="L1012" s="15" t="str">
        <f>HYPERLINK("https://drive.google.com/open?id=1qtDYnkd5PAhJMT_xOjX9aP6PueKUhf3Y","Сертифікат")</f>
        <v>Сертифікат</v>
      </c>
      <c r="M1012" s="11" t="s">
        <v>26</v>
      </c>
      <c r="N1012" s="10">
        <v>170</v>
      </c>
      <c r="O1012" s="10">
        <v>442</v>
      </c>
      <c r="P1012" s="10">
        <v>1</v>
      </c>
      <c r="Q1012" s="10">
        <v>130</v>
      </c>
      <c r="R1012" s="10" t="s">
        <v>66</v>
      </c>
      <c r="S1012" s="10">
        <v>487</v>
      </c>
      <c r="T1012" s="10">
        <v>96</v>
      </c>
      <c r="U1012" s="29">
        <v>43795</v>
      </c>
      <c r="V1012" s="66">
        <v>47447</v>
      </c>
      <c r="W1012" s="10" t="s">
        <v>10</v>
      </c>
      <c r="X1012" s="10" t="s">
        <v>17</v>
      </c>
    </row>
    <row r="1013" spans="1:24" ht="50.25" customHeight="1" x14ac:dyDescent="0.25">
      <c r="A1013" s="11">
        <f t="shared" si="70"/>
        <v>1010</v>
      </c>
      <c r="B1013" s="11" t="s">
        <v>2682</v>
      </c>
      <c r="C1013" s="10" t="s">
        <v>1507</v>
      </c>
      <c r="D1013" s="10" t="s">
        <v>317</v>
      </c>
      <c r="E1013" s="10" t="s">
        <v>3</v>
      </c>
      <c r="F1013" s="11" t="s">
        <v>2683</v>
      </c>
      <c r="G1013" s="11"/>
      <c r="H1013" s="11"/>
      <c r="I1013" s="11">
        <v>1974</v>
      </c>
      <c r="J1013" s="10" t="s">
        <v>1509</v>
      </c>
      <c r="K1013" s="51" t="s">
        <v>1510</v>
      </c>
      <c r="L1013" s="15" t="str">
        <f>HYPERLINK("https://drive.google.com/open?id=1fjkiikHMIWMA4YkRm2sibgAC47OvDSnF","Сертифікат")</f>
        <v>Сертифікат</v>
      </c>
      <c r="M1013" s="11" t="s">
        <v>26</v>
      </c>
      <c r="N1013" s="10">
        <v>525.29999999999995</v>
      </c>
      <c r="O1013" s="10">
        <v>3355</v>
      </c>
      <c r="P1013" s="10">
        <v>2</v>
      </c>
      <c r="Q1013" s="10">
        <v>116.6</v>
      </c>
      <c r="R1013" s="10" t="s">
        <v>66</v>
      </c>
      <c r="S1013" s="10">
        <v>124.36</v>
      </c>
      <c r="T1013" s="10">
        <v>34.28</v>
      </c>
      <c r="U1013" s="29">
        <v>43784</v>
      </c>
      <c r="V1013" s="66">
        <v>47436</v>
      </c>
      <c r="W1013" s="10" t="s">
        <v>13</v>
      </c>
      <c r="X1013" s="10" t="s">
        <v>17</v>
      </c>
    </row>
    <row r="1014" spans="1:24" ht="50.25" customHeight="1" x14ac:dyDescent="0.25">
      <c r="A1014" s="11">
        <f t="shared" si="70"/>
        <v>1011</v>
      </c>
      <c r="B1014" s="11" t="s">
        <v>2684</v>
      </c>
      <c r="C1014" s="24" t="s">
        <v>2685</v>
      </c>
      <c r="D1014" s="10" t="s">
        <v>148</v>
      </c>
      <c r="E1014" s="10" t="s">
        <v>7</v>
      </c>
      <c r="F1014" s="11" t="s">
        <v>2686</v>
      </c>
      <c r="G1014" s="11"/>
      <c r="H1014" s="11"/>
      <c r="I1014" s="11">
        <v>2020</v>
      </c>
      <c r="J1014" s="10" t="s">
        <v>817</v>
      </c>
      <c r="K1014" s="15" t="s">
        <v>818</v>
      </c>
      <c r="L1014" s="15" t="str">
        <f>HYPERLINK("https://drive.google.com/open?id=1TwiwOBU0zA5Ity8Xi4V45c8d5PL67JIu","Сертифікат")</f>
        <v>Сертифікат</v>
      </c>
      <c r="M1014" s="11" t="s">
        <v>18</v>
      </c>
      <c r="N1014" s="10">
        <v>1146.99</v>
      </c>
      <c r="O1014" s="10">
        <v>5026.08</v>
      </c>
      <c r="P1014" s="10">
        <v>2</v>
      </c>
      <c r="Q1014" s="10">
        <v>59.16</v>
      </c>
      <c r="R1014" s="10" t="s">
        <v>66</v>
      </c>
      <c r="S1014" s="10">
        <v>1156</v>
      </c>
      <c r="T1014" s="10">
        <v>211</v>
      </c>
      <c r="U1014" s="29">
        <v>43797</v>
      </c>
      <c r="V1014" s="66">
        <v>47449</v>
      </c>
      <c r="W1014" s="10" t="s">
        <v>10</v>
      </c>
      <c r="X1014" s="10" t="s">
        <v>17</v>
      </c>
    </row>
    <row r="1015" spans="1:24" ht="50.25" customHeight="1" x14ac:dyDescent="0.25">
      <c r="A1015" s="11">
        <f t="shared" si="70"/>
        <v>1012</v>
      </c>
      <c r="B1015" s="11" t="s">
        <v>2687</v>
      </c>
      <c r="C1015" s="10" t="s">
        <v>1279</v>
      </c>
      <c r="D1015" s="10" t="s">
        <v>442</v>
      </c>
      <c r="E1015" s="10" t="s">
        <v>0</v>
      </c>
      <c r="F1015" s="11" t="s">
        <v>2688</v>
      </c>
      <c r="G1015" s="11"/>
      <c r="H1015" s="11"/>
      <c r="I1015" s="11">
        <v>1990</v>
      </c>
      <c r="J1015" s="11" t="s">
        <v>458</v>
      </c>
      <c r="K1015" s="15" t="str">
        <f>HYPERLINK("https://drive.google.com/open?id=1jNB0dX7vprpk3tel6i4HIfX0MLvbF6X5","СБ-0045")</f>
        <v>СБ-0045</v>
      </c>
      <c r="L1015" s="15" t="str">
        <f>HYPERLINK("https://drive.google.com/open?id=1O7nyDekb9lc7xoaUu664wunnifXt_B-9","Сертифікат")</f>
        <v>Сертифікат</v>
      </c>
      <c r="M1015" s="11" t="s">
        <v>24</v>
      </c>
      <c r="N1015" s="10">
        <v>12150</v>
      </c>
      <c r="O1015" s="10">
        <v>34020</v>
      </c>
      <c r="P1015" s="10">
        <v>9</v>
      </c>
      <c r="Q1015" s="10">
        <v>140</v>
      </c>
      <c r="R1015" s="10" t="s">
        <v>57</v>
      </c>
      <c r="S1015" s="10">
        <v>250</v>
      </c>
      <c r="T1015" s="10">
        <v>48</v>
      </c>
      <c r="U1015" s="29">
        <v>43796</v>
      </c>
      <c r="V1015" s="66">
        <v>47448</v>
      </c>
      <c r="W1015" s="10" t="s">
        <v>10</v>
      </c>
      <c r="X1015" s="10" t="s">
        <v>17</v>
      </c>
    </row>
    <row r="1016" spans="1:24" ht="50.25" customHeight="1" x14ac:dyDescent="0.25">
      <c r="A1016" s="11">
        <f t="shared" si="70"/>
        <v>1013</v>
      </c>
      <c r="B1016" s="11" t="s">
        <v>2689</v>
      </c>
      <c r="C1016" s="10" t="s">
        <v>2628</v>
      </c>
      <c r="D1016" s="10" t="s">
        <v>541</v>
      </c>
      <c r="E1016" s="10" t="s">
        <v>3</v>
      </c>
      <c r="F1016" s="10" t="s">
        <v>2690</v>
      </c>
      <c r="G1016" s="10"/>
      <c r="H1016" s="11"/>
      <c r="I1016" s="11">
        <v>1910</v>
      </c>
      <c r="J1016" s="11" t="s">
        <v>209</v>
      </c>
      <c r="K1016" s="15" t="str">
        <f>HYPERLINK("https://drive.google.com/open?id=1nFSy5k_5dEpHD1r7NrzhyR0bvCdUEIlN","СБ-0033")</f>
        <v>СБ-0033</v>
      </c>
      <c r="L1016" s="15" t="str">
        <f>HYPERLINK("https://drive.google.com/open?id=1VJY0ZalOYuaiv5Z8blZatYKbafO_rAC8","Сертифікат")</f>
        <v>Сертифікат</v>
      </c>
      <c r="M1016" s="11" t="s">
        <v>26</v>
      </c>
      <c r="N1016" s="10">
        <v>491</v>
      </c>
      <c r="O1016" s="10">
        <v>1738</v>
      </c>
      <c r="P1016" s="10">
        <v>1</v>
      </c>
      <c r="Q1016" s="10">
        <v>99</v>
      </c>
      <c r="R1016" s="10" t="s">
        <v>66</v>
      </c>
      <c r="S1016" s="10">
        <v>518</v>
      </c>
      <c r="T1016" s="10">
        <v>102</v>
      </c>
      <c r="U1016" s="29">
        <v>43794</v>
      </c>
      <c r="V1016" s="66">
        <v>47446</v>
      </c>
      <c r="W1016" s="10" t="s">
        <v>10</v>
      </c>
      <c r="X1016" s="10" t="s">
        <v>17</v>
      </c>
    </row>
    <row r="1017" spans="1:24" ht="50.25" customHeight="1" x14ac:dyDescent="0.25">
      <c r="A1017" s="11">
        <f t="shared" si="70"/>
        <v>1014</v>
      </c>
      <c r="B1017" s="11" t="s">
        <v>2691</v>
      </c>
      <c r="C1017" s="10" t="s">
        <v>85</v>
      </c>
      <c r="D1017" s="10" t="s">
        <v>86</v>
      </c>
      <c r="E1017" s="10" t="s">
        <v>0</v>
      </c>
      <c r="F1017" s="10" t="s">
        <v>2692</v>
      </c>
      <c r="G1017" s="10"/>
      <c r="H1017" s="11"/>
      <c r="I1017" s="11" t="s">
        <v>836</v>
      </c>
      <c r="J1017" s="11" t="s">
        <v>992</v>
      </c>
      <c r="K1017" s="15" t="str">
        <f>HYPERLINK("https://drive.google.com/open?id=1YahV5U6nzJHToaX4SQsiE71O2xlIaiiy","ОД 02071010/0301-19")</f>
        <v>ОД 02071010/0301-19</v>
      </c>
      <c r="L1017" s="15" t="str">
        <f>HYPERLINK("https://drive.google.com/open?id=1bpNMiBiL59u6mMXGywu87FMpFm1J7m_8","Сертифікат")</f>
        <v>Сертифікат</v>
      </c>
      <c r="M1017" s="11" t="s">
        <v>24</v>
      </c>
      <c r="N1017" s="10">
        <v>2443.3000000000002</v>
      </c>
      <c r="O1017" s="10">
        <v>7427</v>
      </c>
      <c r="P1017" s="10">
        <v>7</v>
      </c>
      <c r="Q1017" s="10">
        <v>146.19999999999999</v>
      </c>
      <c r="R1017" s="10" t="s">
        <v>57</v>
      </c>
      <c r="S1017" s="10">
        <v>204.2</v>
      </c>
      <c r="T1017" s="10">
        <v>40.1</v>
      </c>
      <c r="U1017" s="29">
        <v>43796</v>
      </c>
      <c r="V1017" s="66">
        <v>47448</v>
      </c>
      <c r="W1017" s="10" t="s">
        <v>13</v>
      </c>
      <c r="X1017" s="10" t="s">
        <v>17</v>
      </c>
    </row>
    <row r="1018" spans="1:24" ht="50.25" customHeight="1" x14ac:dyDescent="0.25">
      <c r="A1018" s="11">
        <f t="shared" si="70"/>
        <v>1015</v>
      </c>
      <c r="B1018" s="11" t="s">
        <v>2693</v>
      </c>
      <c r="C1018" s="10" t="s">
        <v>1960</v>
      </c>
      <c r="D1018" s="10" t="s">
        <v>75</v>
      </c>
      <c r="E1018" s="10" t="s">
        <v>0</v>
      </c>
      <c r="F1018" s="10" t="s">
        <v>2694</v>
      </c>
      <c r="G1018" s="10"/>
      <c r="H1018" s="11"/>
      <c r="I1018" s="11" t="s">
        <v>836</v>
      </c>
      <c r="J1018" s="11" t="s">
        <v>510</v>
      </c>
      <c r="K1018" s="15" t="str">
        <f>HYPERLINK("https://drive.google.com/open?id=1U0lWTM6-gmyHV24UcwQCpoOpNU_yozsB","СБ-0063")</f>
        <v>СБ-0063</v>
      </c>
      <c r="L1018" s="15" t="str">
        <f>HYPERLINK("https://drive.google.com/open?id=1_n_a7AagNJj1dX7_OpTkhhKuZT3cc5cR","Сертифікат")</f>
        <v>Сертифікат</v>
      </c>
      <c r="M1018" s="11" t="s">
        <v>26</v>
      </c>
      <c r="N1018" s="10">
        <v>1377.06</v>
      </c>
      <c r="O1018" s="10">
        <v>3924.62</v>
      </c>
      <c r="P1018" s="10">
        <v>2</v>
      </c>
      <c r="Q1018" s="10">
        <v>365</v>
      </c>
      <c r="R1018" s="10" t="s">
        <v>57</v>
      </c>
      <c r="S1018" s="10">
        <v>518.54</v>
      </c>
      <c r="T1018" s="10">
        <v>102.2</v>
      </c>
      <c r="U1018" s="29">
        <v>43795</v>
      </c>
      <c r="V1018" s="66">
        <v>47447</v>
      </c>
      <c r="W1018" s="10" t="s">
        <v>13</v>
      </c>
      <c r="X1018" s="10" t="s">
        <v>17</v>
      </c>
    </row>
    <row r="1019" spans="1:24" ht="50.25" customHeight="1" x14ac:dyDescent="0.25">
      <c r="A1019" s="11">
        <f t="shared" si="70"/>
        <v>1016</v>
      </c>
      <c r="B1019" s="11" t="s">
        <v>2695</v>
      </c>
      <c r="C1019" s="10" t="s">
        <v>166</v>
      </c>
      <c r="D1019" s="10" t="s">
        <v>79</v>
      </c>
      <c r="E1019" s="10" t="s">
        <v>0</v>
      </c>
      <c r="F1019" s="10" t="s">
        <v>2696</v>
      </c>
      <c r="G1019" s="10"/>
      <c r="H1019" s="11"/>
      <c r="I1019" s="11">
        <v>1993</v>
      </c>
      <c r="J1019" s="11" t="s">
        <v>2697</v>
      </c>
      <c r="K1019" s="15" t="str">
        <f>HYPERLINK("https://drive.google.com/open?id=1zMAYdQ7TCHxDnUDdnXmDwsFOwciLRPpi","№ПНТУ-ЕА00004")</f>
        <v>№ПНТУ-ЕА00004</v>
      </c>
      <c r="L1019" s="15" t="str">
        <f>HYPERLINK("https://drive.google.com/open?id=1XBlKnup0SzASHIMkDaU67aJ4s-GkYOq1","Сертифікат")</f>
        <v>Сертифікат</v>
      </c>
      <c r="M1019" s="11" t="s">
        <v>26</v>
      </c>
      <c r="N1019" s="10">
        <v>8543</v>
      </c>
      <c r="O1019" s="10">
        <v>21357.5</v>
      </c>
      <c r="P1019" s="10">
        <v>10</v>
      </c>
      <c r="Q1019" s="10">
        <v>206.5</v>
      </c>
      <c r="R1019" s="10" t="s">
        <v>57</v>
      </c>
      <c r="S1019" s="10">
        <v>244.98</v>
      </c>
      <c r="T1019" s="10">
        <v>48.695</v>
      </c>
      <c r="U1019" s="66">
        <v>43797</v>
      </c>
      <c r="V1019" s="66">
        <v>47449</v>
      </c>
      <c r="W1019" s="10" t="s">
        <v>10</v>
      </c>
      <c r="X1019" s="10" t="s">
        <v>17</v>
      </c>
    </row>
    <row r="1020" spans="1:24" ht="50.25" customHeight="1" x14ac:dyDescent="0.25">
      <c r="A1020" s="11">
        <f t="shared" si="70"/>
        <v>1017</v>
      </c>
      <c r="B1020" s="11" t="s">
        <v>2698</v>
      </c>
      <c r="C1020" s="47" t="s">
        <v>85</v>
      </c>
      <c r="D1020" s="10" t="s">
        <v>86</v>
      </c>
      <c r="E1020" s="10" t="s">
        <v>0</v>
      </c>
      <c r="F1020" s="10" t="s">
        <v>2699</v>
      </c>
      <c r="G1020" s="10"/>
      <c r="H1020" s="11"/>
      <c r="I1020" s="11" t="s">
        <v>2700</v>
      </c>
      <c r="J1020" s="27" t="s">
        <v>992</v>
      </c>
      <c r="K1020" s="15" t="str">
        <f>HYPERLINK("https://drive.google.com/open?id=1YahV5U6nzJHToaX4SQsiE71O2xlIaiiy","ОД 02071010/0301-19 ")</f>
        <v xml:space="preserve">ОД 02071010/0301-19 </v>
      </c>
      <c r="L1020" s="15" t="str">
        <f>HYPERLINK("https://drive.google.com/open?id=1KiMRP03ayBeG47Cec9n6WPPmfmW4EbTf","Сертифікат")</f>
        <v>Сертифікат</v>
      </c>
      <c r="M1020" s="11" t="s">
        <v>24</v>
      </c>
      <c r="N1020" s="10">
        <v>6360.7</v>
      </c>
      <c r="O1020" s="10">
        <v>19506.599999999999</v>
      </c>
      <c r="P1020" s="10">
        <v>10</v>
      </c>
      <c r="Q1020" s="10">
        <v>138.19999999999999</v>
      </c>
      <c r="R1020" s="10" t="s">
        <v>57</v>
      </c>
      <c r="S1020" s="10">
        <v>196.6</v>
      </c>
      <c r="T1020" s="10">
        <v>38.5</v>
      </c>
      <c r="U1020" s="66">
        <v>43738</v>
      </c>
      <c r="V1020" s="66">
        <v>47390</v>
      </c>
      <c r="W1020" s="10" t="s">
        <v>13</v>
      </c>
      <c r="X1020" s="10" t="s">
        <v>17</v>
      </c>
    </row>
    <row r="1021" spans="1:24" ht="50.25" customHeight="1" x14ac:dyDescent="0.25">
      <c r="A1021" s="11">
        <f t="shared" si="70"/>
        <v>1018</v>
      </c>
      <c r="B1021" s="11" t="s">
        <v>2701</v>
      </c>
      <c r="C1021" s="10" t="s">
        <v>2702</v>
      </c>
      <c r="D1021" s="10" t="s">
        <v>255</v>
      </c>
      <c r="E1021" s="10" t="s">
        <v>7</v>
      </c>
      <c r="F1021" s="10" t="s">
        <v>2703</v>
      </c>
      <c r="G1021" s="10"/>
      <c r="H1021" s="11"/>
      <c r="I1021" s="11" t="s">
        <v>1970</v>
      </c>
      <c r="J1021" s="11" t="s">
        <v>2008</v>
      </c>
      <c r="K1021" s="51" t="str">
        <f>HYPERLINK("https://drive.google.com/open?id=1Do6lmdSbyvLLqC0yOLG1tDAG0TFH3W3N","ОД 02071010/0117-19")</f>
        <v>ОД 02071010/0117-19</v>
      </c>
      <c r="L1021" s="15" t="str">
        <f>HYPERLINK("https://drive.google.com/open?id=1H0s9qQqTU91fLGgkCk2Th3LtOWbvfS0s","Сертифікат")</f>
        <v>Сертифікат</v>
      </c>
      <c r="M1021" s="11" t="s">
        <v>15</v>
      </c>
      <c r="N1021" s="10">
        <v>1240</v>
      </c>
      <c r="O1021" s="10">
        <v>4766.6000000000004</v>
      </c>
      <c r="P1021" s="10">
        <v>2</v>
      </c>
      <c r="Q1021" s="10">
        <v>53.07</v>
      </c>
      <c r="R1021" s="10" t="s">
        <v>66</v>
      </c>
      <c r="S1021" s="10">
        <v>718.47</v>
      </c>
      <c r="T1021" s="10">
        <v>131.19999999999999</v>
      </c>
      <c r="U1021" s="29">
        <v>43795</v>
      </c>
      <c r="V1021" s="66">
        <v>47447</v>
      </c>
      <c r="W1021" s="10" t="s">
        <v>10</v>
      </c>
      <c r="X1021" s="10" t="s">
        <v>17</v>
      </c>
    </row>
    <row r="1022" spans="1:24" ht="50.25" customHeight="1" x14ac:dyDescent="0.25">
      <c r="A1022" s="11">
        <f t="shared" si="70"/>
        <v>1019</v>
      </c>
      <c r="B1022" s="11" t="s">
        <v>2704</v>
      </c>
      <c r="C1022" s="10" t="s">
        <v>2705</v>
      </c>
      <c r="D1022" s="10" t="s">
        <v>124</v>
      </c>
      <c r="E1022" s="10" t="s">
        <v>5</v>
      </c>
      <c r="F1022" s="10" t="s">
        <v>2706</v>
      </c>
      <c r="G1022" s="10"/>
      <c r="H1022" s="11"/>
      <c r="I1022" s="11">
        <v>1913</v>
      </c>
      <c r="J1022" s="11" t="s">
        <v>739</v>
      </c>
      <c r="K1022" s="15" t="str">
        <f>HYPERLINK("https://drive.google.com/open?id=1zVrpIuY14Z4qtH7jTtKij9w-zFpVz9Q_","ЕЕ00004")</f>
        <v>ЕЕ00004</v>
      </c>
      <c r="L1022" s="15" t="str">
        <f>HYPERLINK("https://drive.google.com/open?id=137T9r1Ymj4NmrMER0pkLj1xKO233pcHd","Сертифікат")</f>
        <v>Сертифікат</v>
      </c>
      <c r="M1022" s="11" t="s">
        <v>22</v>
      </c>
      <c r="N1022" s="10">
        <v>1081.7</v>
      </c>
      <c r="O1022" s="10">
        <v>3894.12</v>
      </c>
      <c r="P1022" s="10">
        <v>3</v>
      </c>
      <c r="Q1022" s="10">
        <v>74.680000000000007</v>
      </c>
      <c r="R1022" s="10" t="s">
        <v>66</v>
      </c>
      <c r="S1022" s="10">
        <v>378.88</v>
      </c>
      <c r="T1022" s="10">
        <v>73.989999999999995</v>
      </c>
      <c r="U1022" s="29">
        <v>43794</v>
      </c>
      <c r="V1022" s="66">
        <v>47446</v>
      </c>
      <c r="W1022" s="10" t="s">
        <v>10</v>
      </c>
      <c r="X1022" s="10" t="s">
        <v>17</v>
      </c>
    </row>
    <row r="1023" spans="1:24" ht="50.25" customHeight="1" x14ac:dyDescent="0.25">
      <c r="A1023" s="11">
        <f t="shared" si="70"/>
        <v>1020</v>
      </c>
      <c r="B1023" s="11" t="s">
        <v>2707</v>
      </c>
      <c r="C1023" s="10" t="s">
        <v>85</v>
      </c>
      <c r="D1023" s="10" t="s">
        <v>86</v>
      </c>
      <c r="E1023" s="10" t="s">
        <v>0</v>
      </c>
      <c r="F1023" s="10" t="s">
        <v>2708</v>
      </c>
      <c r="G1023" s="10"/>
      <c r="H1023" s="11"/>
      <c r="I1023" s="11" t="s">
        <v>2646</v>
      </c>
      <c r="J1023" s="11" t="s">
        <v>992</v>
      </c>
      <c r="K1023" s="15" t="str">
        <f>HYPERLINK("https://drive.google.com/open?id=1YahV5U6nzJHToaX4SQsiE71O2xlIaiiy","ОД 02071010/0301-19 ")</f>
        <v xml:space="preserve">ОД 02071010/0301-19 </v>
      </c>
      <c r="L1023" s="15" t="str">
        <f>HYPERLINK("https://drive.google.com/open?id=1OBckYhaid6ax5rqNftRx7V5i50fDqUWo","Сертифікат")</f>
        <v>Сертифікат</v>
      </c>
      <c r="M1023" s="11" t="s">
        <v>24</v>
      </c>
      <c r="N1023" s="10">
        <v>5717.9</v>
      </c>
      <c r="O1023" s="10">
        <v>16939.099999999999</v>
      </c>
      <c r="P1023" s="10">
        <v>8</v>
      </c>
      <c r="Q1023" s="10">
        <v>136.30000000000001</v>
      </c>
      <c r="R1023" s="10" t="s">
        <v>57</v>
      </c>
      <c r="S1023" s="10">
        <v>198.9</v>
      </c>
      <c r="T1023" s="10">
        <v>38.9</v>
      </c>
      <c r="U1023" s="29">
        <v>43732</v>
      </c>
      <c r="V1023" s="66">
        <v>47384</v>
      </c>
      <c r="W1023" s="10" t="s">
        <v>13</v>
      </c>
      <c r="X1023" s="10" t="s">
        <v>17</v>
      </c>
    </row>
    <row r="1024" spans="1:24" ht="50.25" customHeight="1" x14ac:dyDescent="0.25">
      <c r="A1024" s="11">
        <f t="shared" si="70"/>
        <v>1021</v>
      </c>
      <c r="B1024" s="11" t="s">
        <v>2709</v>
      </c>
      <c r="C1024" s="10" t="s">
        <v>552</v>
      </c>
      <c r="D1024" s="10" t="s">
        <v>541</v>
      </c>
      <c r="E1024" s="10" t="s">
        <v>5</v>
      </c>
      <c r="F1024" s="10" t="s">
        <v>2710</v>
      </c>
      <c r="G1024" s="62"/>
      <c r="H1024" s="11"/>
      <c r="I1024" s="11">
        <v>1977</v>
      </c>
      <c r="J1024" s="11" t="s">
        <v>1285</v>
      </c>
      <c r="K1024" s="15" t="str">
        <f>HYPERLINK("https://drive.google.com/open?id=1VvGfORJ6L6VwYRUDV8aJ3Nq6jB6_9anA","CБ-0065")</f>
        <v>CБ-0065</v>
      </c>
      <c r="L1024" s="15" t="str">
        <f>HYPERLINK("https://drive.google.com/open?id=1apTuHJ1oEcb58SxsUrpcizCm32HBexmt","Сертифікат")</f>
        <v>Сертифікат</v>
      </c>
      <c r="M1024" s="11" t="s">
        <v>26</v>
      </c>
      <c r="N1024" s="10">
        <v>5146</v>
      </c>
      <c r="O1024" s="10">
        <v>17872</v>
      </c>
      <c r="P1024" s="10">
        <v>6</v>
      </c>
      <c r="Q1024" s="10">
        <v>102.9</v>
      </c>
      <c r="R1024" s="10" t="s">
        <v>66</v>
      </c>
      <c r="S1024" s="10">
        <v>564</v>
      </c>
      <c r="T1024" s="10">
        <v>111</v>
      </c>
      <c r="U1024" s="29">
        <v>43796</v>
      </c>
      <c r="V1024" s="66">
        <v>47448</v>
      </c>
      <c r="W1024" s="10" t="s">
        <v>10</v>
      </c>
      <c r="X1024" s="10" t="s">
        <v>17</v>
      </c>
    </row>
    <row r="1025" spans="1:24" ht="50.25" customHeight="1" x14ac:dyDescent="0.25">
      <c r="A1025" s="11">
        <f t="shared" si="70"/>
        <v>1022</v>
      </c>
      <c r="B1025" s="11" t="s">
        <v>2711</v>
      </c>
      <c r="C1025" s="10" t="s">
        <v>2712</v>
      </c>
      <c r="D1025" s="10" t="s">
        <v>317</v>
      </c>
      <c r="E1025" s="10" t="s">
        <v>5</v>
      </c>
      <c r="F1025" s="10" t="s">
        <v>2713</v>
      </c>
      <c r="G1025" s="11"/>
      <c r="H1025" s="11"/>
      <c r="I1025" s="11" t="s">
        <v>2714</v>
      </c>
      <c r="J1025" s="11" t="s">
        <v>642</v>
      </c>
      <c r="K1025" s="15" t="str">
        <f>HYPERLINK("https://drive.google.com/open?id=1cxGxrVWMvCNlS6TwjKIt2Jn85z6h57TB","ЕЕ-036-05-19")</f>
        <v>ЕЕ-036-05-19</v>
      </c>
      <c r="L1025" s="15" t="str">
        <f>HYPERLINK("https://drive.google.com/open?id=1IObZqXIgyWmME3jYA9vafDnTwAbgza9j","Сертифікат")</f>
        <v>Сертифікат</v>
      </c>
      <c r="M1025" s="11" t="s">
        <v>24</v>
      </c>
      <c r="N1025" s="10">
        <v>2786</v>
      </c>
      <c r="O1025" s="10">
        <v>8776</v>
      </c>
      <c r="P1025" s="10">
        <v>2</v>
      </c>
      <c r="Q1025" s="10">
        <v>97.7</v>
      </c>
      <c r="R1025" s="10" t="s">
        <v>66</v>
      </c>
      <c r="S1025" s="10">
        <v>515</v>
      </c>
      <c r="T1025" s="10">
        <v>100</v>
      </c>
      <c r="U1025" s="29">
        <v>43797</v>
      </c>
      <c r="V1025" s="66">
        <v>47449</v>
      </c>
      <c r="W1025" s="10" t="s">
        <v>10</v>
      </c>
      <c r="X1025" s="10" t="s">
        <v>17</v>
      </c>
    </row>
    <row r="1026" spans="1:24" ht="50.25" customHeight="1" x14ac:dyDescent="0.25">
      <c r="A1026" s="11">
        <f t="shared" si="70"/>
        <v>1023</v>
      </c>
      <c r="B1026" s="11" t="s">
        <v>2715</v>
      </c>
      <c r="C1026" s="10" t="s">
        <v>243</v>
      </c>
      <c r="D1026" s="10" t="s">
        <v>238</v>
      </c>
      <c r="E1026" s="10" t="s">
        <v>0</v>
      </c>
      <c r="F1026" s="10" t="s">
        <v>1009</v>
      </c>
      <c r="G1026" s="11"/>
      <c r="H1026" s="11"/>
      <c r="I1026" s="11" t="s">
        <v>836</v>
      </c>
      <c r="J1026" s="11" t="s">
        <v>2016</v>
      </c>
      <c r="K1026" s="15" t="str">
        <f t="shared" ref="K1026:K1027" si="71">HYPERLINK("https://drive.google.com/open?id=1NDvr0vu80IIwRY2k-kYSYk4ErtrruV_6","ХПІ.00015")</f>
        <v>ХПІ.00015</v>
      </c>
      <c r="L1026" s="15" t="str">
        <f>HYPERLINK("https://drive.google.com/open?id=1SJNvdu9GprH36fmNcDL8IMnUn51uaixE","Сертифікат")</f>
        <v>Сертифікат</v>
      </c>
      <c r="M1026" s="11" t="s">
        <v>18</v>
      </c>
      <c r="N1026" s="10">
        <v>4856.58</v>
      </c>
      <c r="O1026" s="10">
        <v>14569.73</v>
      </c>
      <c r="P1026" s="10">
        <v>9</v>
      </c>
      <c r="Q1026" s="10">
        <v>86.86</v>
      </c>
      <c r="R1026" s="10" t="s">
        <v>57</v>
      </c>
      <c r="S1026" s="10">
        <v>128.84</v>
      </c>
      <c r="T1026" s="10">
        <v>25.77</v>
      </c>
      <c r="U1026" s="29">
        <v>43769</v>
      </c>
      <c r="V1026" s="66">
        <v>47421</v>
      </c>
      <c r="W1026" s="10" t="s">
        <v>10</v>
      </c>
      <c r="X1026" s="10" t="s">
        <v>17</v>
      </c>
    </row>
    <row r="1027" spans="1:24" ht="50.25" customHeight="1" x14ac:dyDescent="0.25">
      <c r="A1027" s="11">
        <f t="shared" si="70"/>
        <v>1024</v>
      </c>
      <c r="B1027" s="11" t="s">
        <v>2716</v>
      </c>
      <c r="C1027" s="10" t="s">
        <v>243</v>
      </c>
      <c r="D1027" s="10" t="s">
        <v>238</v>
      </c>
      <c r="E1027" s="10" t="s">
        <v>0</v>
      </c>
      <c r="F1027" s="10" t="s">
        <v>1009</v>
      </c>
      <c r="G1027" s="11"/>
      <c r="H1027" s="11"/>
      <c r="I1027" s="11" t="s">
        <v>836</v>
      </c>
      <c r="J1027" s="11" t="s">
        <v>2016</v>
      </c>
      <c r="K1027" s="15" t="str">
        <f t="shared" si="71"/>
        <v>ХПІ.00015</v>
      </c>
      <c r="L1027" s="15" t="str">
        <f>HYPERLINK("https://drive.google.com/open?id=167Twz7f6Ibi-gxxjS7K5OqUlPbYE-gJ4","Сертифікат")</f>
        <v>Сертифікат</v>
      </c>
      <c r="M1027" s="11" t="s">
        <v>18</v>
      </c>
      <c r="N1027" s="10">
        <v>12456.58</v>
      </c>
      <c r="O1027" s="10">
        <v>35165.75</v>
      </c>
      <c r="P1027" s="10">
        <v>9</v>
      </c>
      <c r="Q1027" s="10">
        <v>86.4</v>
      </c>
      <c r="R1027" s="10" t="s">
        <v>57</v>
      </c>
      <c r="S1027" s="10">
        <v>128.24</v>
      </c>
      <c r="T1027" s="10">
        <v>25.65</v>
      </c>
      <c r="U1027" s="29">
        <v>43769</v>
      </c>
      <c r="V1027" s="66">
        <v>47421</v>
      </c>
      <c r="W1027" s="10" t="s">
        <v>10</v>
      </c>
      <c r="X1027" s="10" t="s">
        <v>17</v>
      </c>
    </row>
    <row r="1028" spans="1:24" ht="50.25" customHeight="1" x14ac:dyDescent="0.25">
      <c r="A1028" s="11">
        <f t="shared" si="70"/>
        <v>1025</v>
      </c>
      <c r="B1028" s="11" t="s">
        <v>2717</v>
      </c>
      <c r="C1028" s="10" t="s">
        <v>773</v>
      </c>
      <c r="D1028" s="10" t="s">
        <v>247</v>
      </c>
      <c r="E1028" s="10" t="s">
        <v>0</v>
      </c>
      <c r="F1028" s="10" t="s">
        <v>2718</v>
      </c>
      <c r="G1028" s="11"/>
      <c r="H1028" s="11"/>
      <c r="I1028" s="11" t="s">
        <v>836</v>
      </c>
      <c r="J1028" s="11" t="s">
        <v>1591</v>
      </c>
      <c r="K1028" s="15" t="str">
        <f>HYPERLINK("https://drive.google.com/open?id=1Eu3b-SQR6QMzDrWPm53uhmGYQaQSos-l","КРІ-СЕ 000011")</f>
        <v>КРІ-СЕ 000011</v>
      </c>
      <c r="L1028" s="15" t="str">
        <f>HYPERLINK("https://drive.google.com/open?id=11QhgqLtMepVpqzLKuITQPVIxLyXSPuYD","Сертифікат")</f>
        <v>Сертифікат</v>
      </c>
      <c r="M1028" s="11" t="s">
        <v>20</v>
      </c>
      <c r="N1028" s="10">
        <v>6143</v>
      </c>
      <c r="O1028" s="10">
        <v>16585</v>
      </c>
      <c r="P1028" s="10">
        <v>10</v>
      </c>
      <c r="Q1028" s="10">
        <v>95.76</v>
      </c>
      <c r="R1028" s="10" t="s">
        <v>57</v>
      </c>
      <c r="S1028" s="10">
        <v>177.15</v>
      </c>
      <c r="T1028" s="10">
        <v>60.2</v>
      </c>
      <c r="U1028" s="29">
        <v>43797</v>
      </c>
      <c r="V1028" s="66">
        <v>47449</v>
      </c>
      <c r="W1028" s="10" t="s">
        <v>10</v>
      </c>
      <c r="X1028" s="10" t="s">
        <v>17</v>
      </c>
    </row>
    <row r="1029" spans="1:24" ht="50.25" customHeight="1" x14ac:dyDescent="0.25">
      <c r="A1029" s="11">
        <f t="shared" si="70"/>
        <v>1026</v>
      </c>
      <c r="B1029" s="11" t="s">
        <v>2719</v>
      </c>
      <c r="C1029" s="52" t="s">
        <v>1507</v>
      </c>
      <c r="D1029" s="10" t="s">
        <v>317</v>
      </c>
      <c r="E1029" s="10" t="s">
        <v>2</v>
      </c>
      <c r="F1029" s="10" t="s">
        <v>2720</v>
      </c>
      <c r="G1029" s="11"/>
      <c r="H1029" s="11"/>
      <c r="I1029" s="11" t="s">
        <v>2721</v>
      </c>
      <c r="J1029" s="11" t="s">
        <v>2722</v>
      </c>
      <c r="K1029" s="15" t="str">
        <f>HYPERLINK("https://drive.google.com/open?id=106TiCB86RjqUlX9sxp1smcQ9D-FCH_4I","ЕЕ 00046 ")</f>
        <v xml:space="preserve">ЕЕ 00046 </v>
      </c>
      <c r="L1029" s="15" t="str">
        <f>HYPERLINK("https://drive.google.com/open?id=1hf3GqUPFlTM58vAyrjmpq5mt5-COzWcV","Сертифікат")</f>
        <v>Сертифікат</v>
      </c>
      <c r="M1029" s="11" t="s">
        <v>18</v>
      </c>
      <c r="N1029" s="10">
        <v>810.3</v>
      </c>
      <c r="O1029" s="10">
        <v>2108</v>
      </c>
      <c r="P1029" s="10">
        <v>5</v>
      </c>
      <c r="Q1029" s="10">
        <v>42.1</v>
      </c>
      <c r="R1029" s="10" t="s">
        <v>66</v>
      </c>
      <c r="S1029" s="10">
        <v>117.7</v>
      </c>
      <c r="T1029" s="10">
        <v>21.5</v>
      </c>
      <c r="U1029" s="29">
        <v>43797</v>
      </c>
      <c r="V1029" s="66">
        <v>47449</v>
      </c>
      <c r="W1029" s="10" t="s">
        <v>10</v>
      </c>
      <c r="X1029" s="10" t="s">
        <v>17</v>
      </c>
    </row>
    <row r="1030" spans="1:24" ht="50.25" customHeight="1" x14ac:dyDescent="0.25">
      <c r="A1030" s="11">
        <f t="shared" si="70"/>
        <v>1027</v>
      </c>
      <c r="B1030" s="11" t="s">
        <v>2723</v>
      </c>
      <c r="C1030" s="47" t="s">
        <v>68</v>
      </c>
      <c r="D1030" s="10" t="s">
        <v>75</v>
      </c>
      <c r="E1030" s="10" t="s">
        <v>7</v>
      </c>
      <c r="F1030" s="10" t="s">
        <v>1663</v>
      </c>
      <c r="G1030" s="11"/>
      <c r="H1030" s="11"/>
      <c r="I1030" s="11" t="s">
        <v>2724</v>
      </c>
      <c r="J1030" s="11" t="s">
        <v>2078</v>
      </c>
      <c r="K1030" s="15" t="str">
        <f>HYPERLINK("https://drive.google.com/open?id=1Dy7TR5-TW7HHFgoURAEWFg2CT6g-sR4I","ЕА 02070766/15-19 ")</f>
        <v xml:space="preserve">ЕА 02070766/15-19 </v>
      </c>
      <c r="L1030" s="15" t="str">
        <f>HYPERLINK("https://drive.google.com/open?id=1-Gjt0K8BlKkK_by5-xnn8Ow7mqPVHI2Y","Сертифікат")</f>
        <v>Сертифікат</v>
      </c>
      <c r="M1030" s="11" t="s">
        <v>15</v>
      </c>
      <c r="N1030" s="10">
        <v>945.71</v>
      </c>
      <c r="O1030" s="10">
        <v>4889.3</v>
      </c>
      <c r="P1030" s="10">
        <v>1</v>
      </c>
      <c r="Q1030" s="10">
        <v>35.5</v>
      </c>
      <c r="R1030" s="10" t="s">
        <v>66</v>
      </c>
      <c r="S1030" s="10">
        <v>600.6</v>
      </c>
      <c r="T1030" s="10">
        <v>109.7</v>
      </c>
      <c r="U1030" s="66">
        <v>43798</v>
      </c>
      <c r="V1030" s="66">
        <v>47450</v>
      </c>
      <c r="W1030" s="10" t="s">
        <v>10</v>
      </c>
      <c r="X1030" s="10" t="s">
        <v>17</v>
      </c>
    </row>
    <row r="1031" spans="1:24" ht="50.25" customHeight="1" x14ac:dyDescent="0.25">
      <c r="A1031" s="11">
        <f t="shared" si="70"/>
        <v>1028</v>
      </c>
      <c r="B1031" s="11" t="s">
        <v>2725</v>
      </c>
      <c r="C1031" s="10" t="s">
        <v>85</v>
      </c>
      <c r="D1031" s="10" t="s">
        <v>86</v>
      </c>
      <c r="E1031" s="10" t="s">
        <v>0</v>
      </c>
      <c r="F1031" s="11" t="s">
        <v>2726</v>
      </c>
      <c r="G1031" s="11"/>
      <c r="H1031" s="11"/>
      <c r="I1031" s="11">
        <v>2019</v>
      </c>
      <c r="J1031" s="11" t="s">
        <v>2727</v>
      </c>
      <c r="K1031" s="15" t="str">
        <f>HYPERLINK("https://drive.google.com/open?id=1kcSobogn-MfTmwbIlnCLOKwOxGp89q3N","ЕЕ00031")</f>
        <v>ЕЕ00031</v>
      </c>
      <c r="L1031" s="15" t="str">
        <f>HYPERLINK("https://drive.google.com/open?id=1Vf8M1KQ8UCsk55_VdQdVEyWEnL4zdmCY","Сертифікат")</f>
        <v>Сертифікат</v>
      </c>
      <c r="M1031" s="11" t="s">
        <v>24</v>
      </c>
      <c r="N1031" s="10">
        <v>4505</v>
      </c>
      <c r="O1031" s="10">
        <v>13743</v>
      </c>
      <c r="P1031" s="10">
        <v>9</v>
      </c>
      <c r="Q1031" s="10">
        <v>132.19999999999999</v>
      </c>
      <c r="R1031" s="10" t="s">
        <v>57</v>
      </c>
      <c r="S1031" s="10">
        <v>205.8</v>
      </c>
      <c r="T1031" s="10">
        <v>40</v>
      </c>
      <c r="U1031" s="29">
        <v>43794</v>
      </c>
      <c r="V1031" s="66">
        <v>47446</v>
      </c>
      <c r="W1031" s="10" t="s">
        <v>13</v>
      </c>
      <c r="X1031" s="10" t="s">
        <v>17</v>
      </c>
    </row>
    <row r="1032" spans="1:24" ht="50.25" customHeight="1" x14ac:dyDescent="0.25">
      <c r="A1032" s="11">
        <f t="shared" si="70"/>
        <v>1029</v>
      </c>
      <c r="B1032" s="11" t="s">
        <v>2728</v>
      </c>
      <c r="C1032" s="10" t="s">
        <v>85</v>
      </c>
      <c r="D1032" s="10" t="s">
        <v>86</v>
      </c>
      <c r="E1032" s="10" t="s">
        <v>0</v>
      </c>
      <c r="F1032" s="11" t="s">
        <v>2125</v>
      </c>
      <c r="G1032" s="11"/>
      <c r="H1032" s="11"/>
      <c r="I1032" s="11">
        <v>1990</v>
      </c>
      <c r="J1032" s="11" t="s">
        <v>64</v>
      </c>
      <c r="K1032" s="15" t="str">
        <f>HYPERLINK("https://drive.google.com/open?id=1-fr_zsf-7fSXhRxegEztRfDKVGALmS4z","АА000004")</f>
        <v>АА000004</v>
      </c>
      <c r="L1032" s="15" t="str">
        <f>HYPERLINK("https://drive.google.com/open?id=1SxA3eefoisefYres9uQxt6d1q1QtbXwM","Сертифікат")</f>
        <v>Сертифікат</v>
      </c>
      <c r="M1032" s="11" t="s">
        <v>26</v>
      </c>
      <c r="N1032" s="10">
        <v>8279</v>
      </c>
      <c r="O1032" s="10">
        <v>24423</v>
      </c>
      <c r="P1032" s="10">
        <v>9</v>
      </c>
      <c r="Q1032" s="10">
        <v>164</v>
      </c>
      <c r="R1032" s="10" t="s">
        <v>57</v>
      </c>
      <c r="S1032" s="10">
        <v>298</v>
      </c>
      <c r="T1032" s="10">
        <v>58</v>
      </c>
      <c r="U1032" s="66">
        <v>43798</v>
      </c>
      <c r="V1032" s="66">
        <v>47450</v>
      </c>
      <c r="W1032" s="10" t="s">
        <v>10</v>
      </c>
      <c r="X1032" s="10" t="s">
        <v>17</v>
      </c>
    </row>
    <row r="1033" spans="1:24" ht="50.25" customHeight="1" x14ac:dyDescent="0.25">
      <c r="A1033" s="11">
        <f t="shared" si="70"/>
        <v>1030</v>
      </c>
      <c r="B1033" s="10" t="s">
        <v>2729</v>
      </c>
      <c r="C1033" s="10" t="s">
        <v>102</v>
      </c>
      <c r="D1033" s="10" t="s">
        <v>2730</v>
      </c>
      <c r="E1033" s="10" t="s">
        <v>0</v>
      </c>
      <c r="F1033" s="27" t="s">
        <v>2731</v>
      </c>
      <c r="G1033" s="11"/>
      <c r="H1033" s="11"/>
      <c r="I1033" s="11" t="s">
        <v>2732</v>
      </c>
      <c r="J1033" s="11" t="s">
        <v>702</v>
      </c>
      <c r="K1033" s="15" t="str">
        <f>HYPERLINK("https://drive.google.com/open?id=1uypUyNN8M3JMCP3_qczz6IFqK99XPsPW","АР 000030")</f>
        <v>АР 000030</v>
      </c>
      <c r="L1033" s="15" t="str">
        <f>HYPERLINK("https://drive.google.com/open?id=1V7BltLnM4hRngsCZrsHHisDd17lXc9CU","Сертифікат")</f>
        <v>Сертифікат</v>
      </c>
      <c r="M1033" s="11" t="s">
        <v>26</v>
      </c>
      <c r="N1033" s="10">
        <v>27672</v>
      </c>
      <c r="O1033" s="10">
        <v>70564</v>
      </c>
      <c r="P1033" s="10">
        <v>9</v>
      </c>
      <c r="Q1033" s="10">
        <v>166.3</v>
      </c>
      <c r="R1033" s="10" t="s">
        <v>57</v>
      </c>
      <c r="S1033" s="10">
        <v>281.10000000000002</v>
      </c>
      <c r="T1033" s="10">
        <v>90.1</v>
      </c>
      <c r="U1033" s="29">
        <v>43798</v>
      </c>
      <c r="V1033" s="66">
        <v>47450</v>
      </c>
      <c r="W1033" s="10" t="s">
        <v>10</v>
      </c>
      <c r="X1033" s="10" t="s">
        <v>17</v>
      </c>
    </row>
    <row r="1034" spans="1:24" ht="50.25" customHeight="1" x14ac:dyDescent="0.25">
      <c r="A1034" s="11">
        <f t="shared" si="70"/>
        <v>1031</v>
      </c>
      <c r="B1034" s="11" t="s">
        <v>2733</v>
      </c>
      <c r="C1034" s="24" t="s">
        <v>2678</v>
      </c>
      <c r="D1034" s="10" t="s">
        <v>75</v>
      </c>
      <c r="E1034" s="10" t="s">
        <v>2</v>
      </c>
      <c r="F1034" s="11" t="s">
        <v>2734</v>
      </c>
      <c r="G1034" s="11"/>
      <c r="H1034" s="11"/>
      <c r="I1034" s="11">
        <v>1976</v>
      </c>
      <c r="J1034" s="11" t="s">
        <v>261</v>
      </c>
      <c r="K1034" s="15" t="str">
        <f>HYPERLINK("https://drive.google.com/open?id=1v-yro4vA3IMknMh88BfdmdNuHsGAtMU9","КРІ-СЕ 000016")</f>
        <v>КРІ-СЕ 000016</v>
      </c>
      <c r="L1034" s="15" t="str">
        <f>HYPERLINK("https://drive.google.com/open?id=1hjN1rK8BtvUV7ALTCjBaV4fEfxDl08Zv","Сертифікат")</f>
        <v>Сертифікат</v>
      </c>
      <c r="M1034" s="11" t="s">
        <v>26</v>
      </c>
      <c r="N1034" s="10">
        <v>187.6</v>
      </c>
      <c r="O1034" s="24">
        <v>562.79999999999995</v>
      </c>
      <c r="P1034" s="10">
        <v>1</v>
      </c>
      <c r="Q1034" s="10">
        <v>127</v>
      </c>
      <c r="R1034" s="10" t="s">
        <v>66</v>
      </c>
      <c r="S1034" s="10">
        <v>530</v>
      </c>
      <c r="T1034" s="10">
        <v>107</v>
      </c>
      <c r="U1034" s="66">
        <v>43795</v>
      </c>
      <c r="V1034" s="66">
        <v>47447</v>
      </c>
      <c r="W1034" s="10" t="s">
        <v>10</v>
      </c>
      <c r="X1034" s="10" t="s">
        <v>17</v>
      </c>
    </row>
    <row r="1035" spans="1:24" ht="50.25" customHeight="1" x14ac:dyDescent="0.25">
      <c r="A1035" s="11">
        <f t="shared" si="70"/>
        <v>1032</v>
      </c>
      <c r="B1035" s="11" t="s">
        <v>2735</v>
      </c>
      <c r="C1035" s="10" t="s">
        <v>1386</v>
      </c>
      <c r="D1035" s="10" t="s">
        <v>148</v>
      </c>
      <c r="E1035" s="10" t="s">
        <v>0</v>
      </c>
      <c r="F1035" s="78" t="s">
        <v>2736</v>
      </c>
      <c r="G1035" s="11"/>
      <c r="H1035" s="11"/>
      <c r="I1035" s="11">
        <v>1990</v>
      </c>
      <c r="J1035" s="26" t="s">
        <v>110</v>
      </c>
      <c r="K1035" s="15" t="str">
        <f t="shared" ref="K1035:K1036" si="72">HYPERLINK("https://drive.google.com/open?id=1hysLLNyTDspucV_3Tt8ScCWEgMedd8bv","1/010")</f>
        <v>1/010</v>
      </c>
      <c r="L1035" s="15" t="str">
        <f>HYPERLINK("https://drive.google.com/open?id=1MJHIvDGDU1HudXLcoCJeLCD8wjmChHW9","Сертифікат")</f>
        <v>Сертифікат</v>
      </c>
      <c r="M1035" s="11" t="s">
        <v>26</v>
      </c>
      <c r="N1035" s="10">
        <v>10337.4</v>
      </c>
      <c r="O1035" s="10">
        <v>29461.599999999999</v>
      </c>
      <c r="P1035" s="10">
        <v>9</v>
      </c>
      <c r="Q1035" s="10">
        <v>177.68</v>
      </c>
      <c r="R1035" s="10" t="s">
        <v>57</v>
      </c>
      <c r="S1035" s="10">
        <v>263.55</v>
      </c>
      <c r="T1035" s="10">
        <v>52.06</v>
      </c>
      <c r="U1035" s="29">
        <v>43798</v>
      </c>
      <c r="V1035" s="66">
        <v>47450</v>
      </c>
      <c r="W1035" s="10" t="s">
        <v>10</v>
      </c>
      <c r="X1035" s="10" t="s">
        <v>17</v>
      </c>
    </row>
    <row r="1036" spans="1:24" ht="50.25" customHeight="1" x14ac:dyDescent="0.25">
      <c r="A1036" s="11">
        <f t="shared" si="70"/>
        <v>1033</v>
      </c>
      <c r="B1036" s="11" t="s">
        <v>2737</v>
      </c>
      <c r="C1036" s="10" t="s">
        <v>1386</v>
      </c>
      <c r="D1036" s="10" t="s">
        <v>148</v>
      </c>
      <c r="E1036" s="10" t="s">
        <v>0</v>
      </c>
      <c r="F1036" s="78" t="s">
        <v>2738</v>
      </c>
      <c r="G1036" s="11"/>
      <c r="H1036" s="11"/>
      <c r="I1036" s="11">
        <v>1987</v>
      </c>
      <c r="J1036" s="20" t="s">
        <v>110</v>
      </c>
      <c r="K1036" s="15" t="str">
        <f t="shared" si="72"/>
        <v>1/010</v>
      </c>
      <c r="L1036" s="15" t="str">
        <f>HYPERLINK("https://drive.google.com/open?id=1yU-p2pv49tmVFu--5z4d6WF3vfcOFVum","Сертифікат")</f>
        <v>Сертифікат</v>
      </c>
      <c r="M1036" s="11" t="s">
        <v>26</v>
      </c>
      <c r="N1036" s="10">
        <v>5102.1000000000004</v>
      </c>
      <c r="O1036" s="10">
        <v>14541.1</v>
      </c>
      <c r="P1036" s="10">
        <v>9</v>
      </c>
      <c r="Q1036" s="10">
        <v>189.28</v>
      </c>
      <c r="R1036" s="10" t="s">
        <v>57</v>
      </c>
      <c r="S1036" s="10">
        <v>278.25</v>
      </c>
      <c r="T1036" s="10">
        <v>55.03</v>
      </c>
      <c r="U1036" s="29">
        <v>43798</v>
      </c>
      <c r="V1036" s="66">
        <v>47450</v>
      </c>
      <c r="W1036" s="10" t="s">
        <v>10</v>
      </c>
      <c r="X1036" s="10" t="s">
        <v>17</v>
      </c>
    </row>
    <row r="1037" spans="1:24" ht="50.25" customHeight="1" x14ac:dyDescent="0.25">
      <c r="A1037" s="11">
        <f t="shared" si="70"/>
        <v>1034</v>
      </c>
      <c r="B1037" s="11" t="s">
        <v>2739</v>
      </c>
      <c r="C1037" s="10" t="s">
        <v>243</v>
      </c>
      <c r="D1037" s="10" t="s">
        <v>238</v>
      </c>
      <c r="E1037" s="10" t="s">
        <v>0</v>
      </c>
      <c r="F1037" s="11" t="s">
        <v>1009</v>
      </c>
      <c r="G1037" s="11"/>
      <c r="H1037" s="11"/>
      <c r="I1037" s="11" t="s">
        <v>836</v>
      </c>
      <c r="J1037" s="11" t="s">
        <v>2740</v>
      </c>
      <c r="K1037" s="15" t="str">
        <f>HYPERLINK("https://drive.google.com/open?id=1NDvr0vu80IIwRY2k-kYSYk4ErtrruV_6","ХПІ.00015")</f>
        <v>ХПІ.00015</v>
      </c>
      <c r="L1037" s="15" t="str">
        <f>HYPERLINK("https://drive.google.com/open?id=1nEySCMw8rFaOV-9cakjr9xtvKdImaQji","Сертифікат")</f>
        <v>Сертифікат</v>
      </c>
      <c r="M1037" s="11" t="s">
        <v>18</v>
      </c>
      <c r="N1037" s="10">
        <v>12456.58</v>
      </c>
      <c r="O1037" s="10">
        <v>35165.75</v>
      </c>
      <c r="P1037" s="10">
        <v>9</v>
      </c>
      <c r="Q1037" s="10">
        <v>86.45</v>
      </c>
      <c r="R1037" s="10" t="s">
        <v>57</v>
      </c>
      <c r="S1037" s="10">
        <v>128.30500000000001</v>
      </c>
      <c r="T1037" s="10">
        <v>25.66</v>
      </c>
      <c r="U1037" s="29">
        <v>43769</v>
      </c>
      <c r="V1037" s="66">
        <v>47421</v>
      </c>
      <c r="W1037" s="10" t="s">
        <v>13</v>
      </c>
      <c r="X1037" s="10" t="s">
        <v>17</v>
      </c>
    </row>
    <row r="1038" spans="1:24" ht="50.25" customHeight="1" x14ac:dyDescent="0.25">
      <c r="A1038" s="11">
        <f t="shared" si="70"/>
        <v>1035</v>
      </c>
      <c r="B1038" s="11" t="s">
        <v>2741</v>
      </c>
      <c r="C1038" s="10" t="s">
        <v>2742</v>
      </c>
      <c r="D1038" s="10" t="s">
        <v>86</v>
      </c>
      <c r="E1038" s="10" t="s">
        <v>2</v>
      </c>
      <c r="F1038" s="11" t="s">
        <v>2743</v>
      </c>
      <c r="G1038" s="11"/>
      <c r="H1038" s="11"/>
      <c r="I1038" s="11" t="s">
        <v>1091</v>
      </c>
      <c r="J1038" s="11" t="s">
        <v>158</v>
      </c>
      <c r="K1038" s="15" t="str">
        <f>HYPERLINK("https://drive.google.com/open?id=1pEg5agn5jdMhfl4Pa1dRPaxDB2kT59cP","ЕЕ-005-10-18")</f>
        <v>ЕЕ-005-10-18</v>
      </c>
      <c r="L1038" s="15" t="str">
        <f>HYPERLINK("https://drive.google.com/open?id=1pkaHhz2uS3HkvbeaAnc4NLbJNIcwAUJH","Сертифікат")</f>
        <v>Сертифікат</v>
      </c>
      <c r="M1038" s="11" t="s">
        <v>22</v>
      </c>
      <c r="N1038" s="10">
        <v>1438.6</v>
      </c>
      <c r="O1038" s="10">
        <v>4891.2</v>
      </c>
      <c r="P1038" s="10">
        <v>2</v>
      </c>
      <c r="Q1038" s="10">
        <v>86.4</v>
      </c>
      <c r="R1038" s="10" t="s">
        <v>66</v>
      </c>
      <c r="S1038" s="10">
        <v>440</v>
      </c>
      <c r="T1038" s="10">
        <v>87</v>
      </c>
      <c r="U1038" s="29">
        <v>43783</v>
      </c>
      <c r="V1038" s="66">
        <v>47435</v>
      </c>
      <c r="W1038" s="10" t="s">
        <v>10</v>
      </c>
      <c r="X1038" s="10" t="s">
        <v>17</v>
      </c>
    </row>
    <row r="1039" spans="1:24" ht="50.25" customHeight="1" x14ac:dyDescent="0.25">
      <c r="A1039" s="11">
        <f t="shared" si="70"/>
        <v>1036</v>
      </c>
      <c r="B1039" s="11" t="s">
        <v>2744</v>
      </c>
      <c r="C1039" s="10" t="s">
        <v>2678</v>
      </c>
      <c r="D1039" s="10" t="s">
        <v>75</v>
      </c>
      <c r="E1039" s="10" t="s">
        <v>2</v>
      </c>
      <c r="F1039" s="11" t="s">
        <v>2745</v>
      </c>
      <c r="G1039" s="11"/>
      <c r="H1039" s="11"/>
      <c r="I1039" s="11">
        <v>1967</v>
      </c>
      <c r="J1039" s="11" t="s">
        <v>261</v>
      </c>
      <c r="K1039" s="15" t="str">
        <f>HYPERLINK("https://drive.google.com/open?id=1v-yro4vA3IMknMh88BfdmdNuHsGAtMU9","КРІ-СЕ 000016")</f>
        <v>КРІ-СЕ 000016</v>
      </c>
      <c r="L1039" s="15" t="str">
        <f>HYPERLINK("https://drive.google.com/open?id=1QyUqIVFXzNTqS4yY3M37X96M6xIEX2a3","Сертифікат")</f>
        <v>Сертифікат</v>
      </c>
      <c r="M1039" s="11" t="s">
        <v>26</v>
      </c>
      <c r="N1039" s="10">
        <v>67.8</v>
      </c>
      <c r="O1039" s="10">
        <v>189.8</v>
      </c>
      <c r="P1039" s="10">
        <v>1</v>
      </c>
      <c r="Q1039" s="10">
        <v>130</v>
      </c>
      <c r="R1039" s="10" t="s">
        <v>66</v>
      </c>
      <c r="S1039" s="10">
        <v>509</v>
      </c>
      <c r="T1039" s="10">
        <v>101</v>
      </c>
      <c r="U1039" s="29">
        <v>43795</v>
      </c>
      <c r="V1039" s="66">
        <v>47447</v>
      </c>
      <c r="W1039" s="10" t="s">
        <v>10</v>
      </c>
      <c r="X1039" s="10" t="s">
        <v>17</v>
      </c>
    </row>
    <row r="1040" spans="1:24" ht="50.25" customHeight="1" x14ac:dyDescent="0.25">
      <c r="A1040" s="11">
        <f t="shared" si="70"/>
        <v>1037</v>
      </c>
      <c r="B1040" s="11" t="s">
        <v>2746</v>
      </c>
      <c r="C1040" s="47" t="s">
        <v>2747</v>
      </c>
      <c r="D1040" s="10" t="s">
        <v>442</v>
      </c>
      <c r="E1040" s="10" t="s">
        <v>5</v>
      </c>
      <c r="F1040" s="11" t="s">
        <v>2748</v>
      </c>
      <c r="G1040" s="11"/>
      <c r="H1040" s="11"/>
      <c r="I1040" s="11">
        <v>1981</v>
      </c>
      <c r="J1040" s="11" t="s">
        <v>1544</v>
      </c>
      <c r="K1040" s="15" t="str">
        <f>HYPERLINK("https://drive.google.com/open?id=12fBzNpIyVa6z7CSyxAovcoan-4BQIWDo","ОД №000060")</f>
        <v>ОД №000060</v>
      </c>
      <c r="L1040" s="15" t="str">
        <f>HYPERLINK("https://drive.google.com/open?id=12YfbyC0pf0R0G8V_Hvh1BHnJusNyHUTq","Сертифікат")</f>
        <v>Сертифікат</v>
      </c>
      <c r="M1040" s="11" t="s">
        <v>26</v>
      </c>
      <c r="N1040" s="10">
        <v>3217.2</v>
      </c>
      <c r="O1040" s="10">
        <v>10617</v>
      </c>
      <c r="P1040" s="10">
        <v>3</v>
      </c>
      <c r="Q1040" s="10">
        <v>116.2</v>
      </c>
      <c r="R1040" s="10" t="s">
        <v>66</v>
      </c>
      <c r="S1040" s="10">
        <v>193.4</v>
      </c>
      <c r="T1040" s="10">
        <v>36.9</v>
      </c>
      <c r="U1040" s="29">
        <v>43787</v>
      </c>
      <c r="V1040" s="66">
        <v>47439</v>
      </c>
      <c r="W1040" s="10" t="s">
        <v>10</v>
      </c>
      <c r="X1040" s="10" t="s">
        <v>17</v>
      </c>
    </row>
    <row r="1041" spans="1:24" ht="50.25" customHeight="1" x14ac:dyDescent="0.25">
      <c r="A1041" s="11">
        <f t="shared" si="70"/>
        <v>1038</v>
      </c>
      <c r="B1041" s="11" t="s">
        <v>2749</v>
      </c>
      <c r="C1041" s="10" t="s">
        <v>1279</v>
      </c>
      <c r="D1041" s="10" t="s">
        <v>442</v>
      </c>
      <c r="E1041" s="10" t="s">
        <v>3</v>
      </c>
      <c r="F1041" s="11" t="s">
        <v>2750</v>
      </c>
      <c r="G1041" s="11"/>
      <c r="H1041" s="11"/>
      <c r="I1041" s="11">
        <v>1974</v>
      </c>
      <c r="J1041" s="11" t="s">
        <v>2202</v>
      </c>
      <c r="K1041" s="15" t="str">
        <f>HYPERLINK("https://drive.google.com/open?id=1DsJ8FRjQDndzzugQtOMQnOvpVospFk3-","ОРІ-АВ00005")</f>
        <v>ОРІ-АВ00005</v>
      </c>
      <c r="L1041" s="15" t="str">
        <f>HYPERLINK("https://drive.google.com/open?id=1kNzoWHDc8AIyzBLUJrecClhymGr7rH68","Сертифікат")</f>
        <v>Сертифікат</v>
      </c>
      <c r="M1041" s="11" t="s">
        <v>22</v>
      </c>
      <c r="N1041" s="10">
        <v>2653.22</v>
      </c>
      <c r="O1041" s="10">
        <v>9047.4699999999993</v>
      </c>
      <c r="P1041" s="10">
        <v>2</v>
      </c>
      <c r="Q1041" s="10">
        <v>44.67</v>
      </c>
      <c r="R1041" s="10" t="s">
        <v>66</v>
      </c>
      <c r="S1041" s="10">
        <v>276.49</v>
      </c>
      <c r="T1041" s="10">
        <v>53.22</v>
      </c>
      <c r="U1041" s="29">
        <v>43798</v>
      </c>
      <c r="V1041" s="66">
        <v>47450</v>
      </c>
      <c r="W1041" s="10" t="s">
        <v>13</v>
      </c>
      <c r="X1041" s="10" t="s">
        <v>17</v>
      </c>
    </row>
    <row r="1042" spans="1:24" ht="50.25" customHeight="1" x14ac:dyDescent="0.25">
      <c r="A1042" s="11">
        <f t="shared" si="70"/>
        <v>1039</v>
      </c>
      <c r="B1042" s="11" t="s">
        <v>2751</v>
      </c>
      <c r="C1042" s="10" t="s">
        <v>102</v>
      </c>
      <c r="D1042" s="10" t="s">
        <v>103</v>
      </c>
      <c r="E1042" s="10" t="s">
        <v>5</v>
      </c>
      <c r="F1042" s="11" t="s">
        <v>2752</v>
      </c>
      <c r="G1042" s="11"/>
      <c r="H1042" s="11"/>
      <c r="I1042" s="11" t="s">
        <v>2753</v>
      </c>
      <c r="J1042" s="11" t="s">
        <v>2569</v>
      </c>
      <c r="K1042" s="15" t="str">
        <f>HYPERLINK("https://drive.google.com/open?id=1F8SR7qtTvvZUe8y7GKaG7PDZfmBDTrSb","KPI-CE №000048")</f>
        <v>KPI-CE №000048</v>
      </c>
      <c r="L1042" s="15" t="str">
        <f>HYPERLINK("https://drive.google.com/open?id=1Wp80I1OqvFUQAlfgN8EZ5Nozewmq2O9o","Сертифікат")</f>
        <v>Сертифікат</v>
      </c>
      <c r="M1042" s="11" t="s">
        <v>18</v>
      </c>
      <c r="N1042" s="10">
        <v>862.9</v>
      </c>
      <c r="O1042" s="10">
        <v>2899.34</v>
      </c>
      <c r="P1042" s="10">
        <v>2</v>
      </c>
      <c r="Q1042" s="10">
        <v>52.98</v>
      </c>
      <c r="R1042" s="10" t="s">
        <v>66</v>
      </c>
      <c r="S1042" s="10">
        <v>83.4</v>
      </c>
      <c r="T1042" s="10">
        <v>14.6</v>
      </c>
      <c r="U1042" s="29">
        <v>43801</v>
      </c>
      <c r="V1042" s="66">
        <v>47453</v>
      </c>
      <c r="W1042" s="10" t="s">
        <v>10</v>
      </c>
      <c r="X1042" s="10" t="s">
        <v>17</v>
      </c>
    </row>
    <row r="1043" spans="1:24" ht="50.25" customHeight="1" x14ac:dyDescent="0.25">
      <c r="A1043" s="11">
        <f t="shared" si="70"/>
        <v>1040</v>
      </c>
      <c r="B1043" s="11" t="s">
        <v>2754</v>
      </c>
      <c r="C1043" s="10" t="s">
        <v>243</v>
      </c>
      <c r="D1043" s="10" t="s">
        <v>238</v>
      </c>
      <c r="E1043" s="10" t="s">
        <v>0</v>
      </c>
      <c r="F1043" s="11" t="s">
        <v>1477</v>
      </c>
      <c r="G1043" s="11"/>
      <c r="H1043" s="11"/>
      <c r="I1043" s="11" t="s">
        <v>836</v>
      </c>
      <c r="J1043" s="11" t="s">
        <v>2740</v>
      </c>
      <c r="K1043" s="15" t="str">
        <f>HYPERLINK("https://drive.google.com/open?id=1NDvr0vu80IIwRY2k-kYSYk4ErtrruV_6","ХПІ.00015")</f>
        <v>ХПІ.00015</v>
      </c>
      <c r="L1043" s="15" t="str">
        <f>HYPERLINK("https://drive.google.com/open?id=140QgHEiyGy5_FIj_sXf0faXwbmaciTJq","Сертифікат")</f>
        <v>Сертифікат</v>
      </c>
      <c r="M1043" s="11" t="s">
        <v>18</v>
      </c>
      <c r="N1043" s="10">
        <v>11400</v>
      </c>
      <c r="O1043" s="10">
        <v>30894.03</v>
      </c>
      <c r="P1043" s="10">
        <v>9</v>
      </c>
      <c r="Q1043" s="10">
        <v>86.63</v>
      </c>
      <c r="R1043" s="10" t="s">
        <v>57</v>
      </c>
      <c r="S1043" s="10">
        <v>128.53</v>
      </c>
      <c r="T1043" s="10">
        <v>25.71</v>
      </c>
      <c r="U1043" s="29">
        <v>43769</v>
      </c>
      <c r="V1043" s="66">
        <v>47421</v>
      </c>
      <c r="W1043" s="10" t="s">
        <v>10</v>
      </c>
      <c r="X1043" s="10" t="s">
        <v>17</v>
      </c>
    </row>
    <row r="1044" spans="1:24" ht="50.25" customHeight="1" x14ac:dyDescent="0.25">
      <c r="A1044" s="11">
        <f t="shared" si="70"/>
        <v>1041</v>
      </c>
      <c r="B1044" s="11" t="s">
        <v>2755</v>
      </c>
      <c r="C1044" s="10" t="s">
        <v>1561</v>
      </c>
      <c r="D1044" s="10" t="s">
        <v>86</v>
      </c>
      <c r="E1044" s="10" t="s">
        <v>2</v>
      </c>
      <c r="F1044" s="11" t="s">
        <v>2756</v>
      </c>
      <c r="G1044" s="11"/>
      <c r="H1044" s="11"/>
      <c r="I1044" s="11">
        <v>1988</v>
      </c>
      <c r="J1044" s="11" t="s">
        <v>158</v>
      </c>
      <c r="K1044" s="15" t="str">
        <f>HYPERLINK("https://drive.google.com/open?id=1pEg5agn5jdMhfl4Pa1dRPaxDB2kT59cP","ЕЕ-005-10-18")</f>
        <v>ЕЕ-005-10-18</v>
      </c>
      <c r="L1044" s="15" t="str">
        <f>HYPERLINK("https://drive.google.com/open?id=1HXqDxvEnEqNYQcWqLTnKY1NZ5Z3sjgjZ","Сертифікат")</f>
        <v>Сертифікат</v>
      </c>
      <c r="M1044" s="11" t="s">
        <v>26</v>
      </c>
      <c r="N1044" s="10">
        <v>1436.9</v>
      </c>
      <c r="O1044" s="10">
        <v>4643.3</v>
      </c>
      <c r="P1044" s="10">
        <v>4</v>
      </c>
      <c r="Q1044" s="10">
        <v>95.4</v>
      </c>
      <c r="R1044" s="10" t="s">
        <v>66</v>
      </c>
      <c r="S1044" s="10">
        <v>464</v>
      </c>
      <c r="T1044" s="10">
        <v>92</v>
      </c>
      <c r="U1044" s="29">
        <v>43783</v>
      </c>
      <c r="V1044" s="66">
        <v>47435</v>
      </c>
      <c r="W1044" s="10" t="s">
        <v>10</v>
      </c>
      <c r="X1044" s="10" t="s">
        <v>17</v>
      </c>
    </row>
    <row r="1045" spans="1:24" ht="50.25" customHeight="1" x14ac:dyDescent="0.25">
      <c r="A1045" s="11">
        <f t="shared" si="70"/>
        <v>1042</v>
      </c>
      <c r="B1045" s="11" t="s">
        <v>2757</v>
      </c>
      <c r="C1045" s="47" t="s">
        <v>2628</v>
      </c>
      <c r="D1045" s="10" t="s">
        <v>541</v>
      </c>
      <c r="E1045" s="10" t="s">
        <v>3</v>
      </c>
      <c r="F1045" s="11" t="s">
        <v>2758</v>
      </c>
      <c r="G1045" s="11"/>
      <c r="H1045" s="11"/>
      <c r="I1045" s="11">
        <v>1910</v>
      </c>
      <c r="J1045" s="11" t="s">
        <v>209</v>
      </c>
      <c r="K1045" s="15" t="str">
        <f>HYPERLINK("https://drive.google.com/open?id=1nFSy5k_5dEpHD1r7NrzhyR0bvCdUEIlN","СБ-0033")</f>
        <v>СБ-0033</v>
      </c>
      <c r="L1045" s="15" t="str">
        <f>HYPERLINK("https://drive.google.com/open?id=1IwUNLyY4rA716sWtlBTBjMpoCZ1BKdFS","Сертифікат")</f>
        <v>Сертифікат</v>
      </c>
      <c r="M1045" s="11" t="s">
        <v>26</v>
      </c>
      <c r="N1045" s="10">
        <v>860</v>
      </c>
      <c r="O1045" s="10">
        <v>3440</v>
      </c>
      <c r="P1045" s="10">
        <v>1</v>
      </c>
      <c r="Q1045" s="10">
        <v>71</v>
      </c>
      <c r="R1045" s="10" t="s">
        <v>66</v>
      </c>
      <c r="S1045" s="10">
        <v>429</v>
      </c>
      <c r="T1045" s="10">
        <v>84</v>
      </c>
      <c r="U1045" s="29">
        <v>43796</v>
      </c>
      <c r="V1045" s="66">
        <v>47448</v>
      </c>
      <c r="W1045" s="10" t="s">
        <v>10</v>
      </c>
      <c r="X1045" s="10" t="s">
        <v>17</v>
      </c>
    </row>
    <row r="1046" spans="1:24" ht="50.25" customHeight="1" x14ac:dyDescent="0.25">
      <c r="A1046" s="11">
        <f t="shared" si="70"/>
        <v>1043</v>
      </c>
      <c r="B1046" s="11" t="s">
        <v>2759</v>
      </c>
      <c r="C1046" s="10" t="s">
        <v>284</v>
      </c>
      <c r="D1046" s="10" t="s">
        <v>285</v>
      </c>
      <c r="E1046" s="10" t="s">
        <v>0</v>
      </c>
      <c r="F1046" s="11" t="s">
        <v>2760</v>
      </c>
      <c r="G1046" s="11"/>
      <c r="H1046" s="11"/>
      <c r="I1046" s="11" t="s">
        <v>836</v>
      </c>
      <c r="J1046" s="11" t="s">
        <v>732</v>
      </c>
      <c r="K1046" s="15" t="str">
        <f>HYPERLINK("https://drive.google.com/open?id=1YmIUNUHq4P-kOoyLjfDDMpvQv5hFDMTd","ОРІ-АВ00010")</f>
        <v>ОРІ-АВ00010</v>
      </c>
      <c r="L1046" s="15" t="str">
        <f>HYPERLINK("https://drive.google.com/open?id=1Em5neZY52LOng5kSDUHui6r3moM_EWz1","Сертифікат")</f>
        <v>Сертифікат</v>
      </c>
      <c r="M1046" s="11" t="s">
        <v>18</v>
      </c>
      <c r="N1046" s="10">
        <v>3984.21</v>
      </c>
      <c r="O1046" s="10">
        <v>11952.62</v>
      </c>
      <c r="P1046" s="10">
        <v>9</v>
      </c>
      <c r="Q1046" s="10">
        <v>86.9</v>
      </c>
      <c r="R1046" s="10" t="s">
        <v>57</v>
      </c>
      <c r="S1046" s="10">
        <v>139</v>
      </c>
      <c r="T1046" s="10">
        <v>27</v>
      </c>
      <c r="U1046" s="29">
        <v>43801</v>
      </c>
      <c r="V1046" s="66">
        <v>47453</v>
      </c>
      <c r="W1046" s="10" t="s">
        <v>13</v>
      </c>
      <c r="X1046" s="10" t="s">
        <v>17</v>
      </c>
    </row>
    <row r="1047" spans="1:24" ht="50.25" customHeight="1" x14ac:dyDescent="0.25">
      <c r="A1047" s="11">
        <f t="shared" si="70"/>
        <v>1044</v>
      </c>
      <c r="B1047" s="11" t="s">
        <v>2761</v>
      </c>
      <c r="C1047" s="10" t="s">
        <v>2052</v>
      </c>
      <c r="D1047" s="10" t="s">
        <v>75</v>
      </c>
      <c r="E1047" s="10" t="s">
        <v>0</v>
      </c>
      <c r="F1047" s="11" t="s">
        <v>2762</v>
      </c>
      <c r="G1047" s="11"/>
      <c r="H1047" s="11"/>
      <c r="I1047" s="11">
        <v>1969</v>
      </c>
      <c r="J1047" s="11" t="s">
        <v>1591</v>
      </c>
      <c r="K1047" s="15" t="str">
        <f>HYPERLINK("https://drive.google.com/open?id=1Eu3b-SQR6QMzDrWPm53uhmGYQaQSos-l","КРІ-СЕ №000011")</f>
        <v>КРІ-СЕ №000011</v>
      </c>
      <c r="L1047" s="15" t="str">
        <f>HYPERLINK("https://drive.google.com/open?id=1pUe32yMTN_aJX3kUYjq-nhvJFgMinkvE","Сертифікат")</f>
        <v>Сертифікат</v>
      </c>
      <c r="M1047" s="11" t="s">
        <v>26</v>
      </c>
      <c r="N1047" s="10">
        <v>2957</v>
      </c>
      <c r="O1047" s="10">
        <v>8872</v>
      </c>
      <c r="P1047" s="10">
        <v>5</v>
      </c>
      <c r="Q1047" s="10">
        <v>178.71</v>
      </c>
      <c r="R1047" s="10" t="s">
        <v>57</v>
      </c>
      <c r="S1047" s="10">
        <v>254.6</v>
      </c>
      <c r="T1047" s="10">
        <v>77.5</v>
      </c>
      <c r="U1047" s="29">
        <v>43799</v>
      </c>
      <c r="V1047" s="66">
        <v>47451</v>
      </c>
      <c r="W1047" s="10" t="s">
        <v>10</v>
      </c>
      <c r="X1047" s="10" t="s">
        <v>17</v>
      </c>
    </row>
    <row r="1048" spans="1:24" ht="50.25" customHeight="1" x14ac:dyDescent="0.25">
      <c r="A1048" s="11">
        <f t="shared" si="70"/>
        <v>1045</v>
      </c>
      <c r="B1048" s="11" t="s">
        <v>2763</v>
      </c>
      <c r="C1048" s="10" t="s">
        <v>68</v>
      </c>
      <c r="D1048" s="10" t="s">
        <v>69</v>
      </c>
      <c r="E1048" s="10" t="s">
        <v>3</v>
      </c>
      <c r="F1048" s="11" t="s">
        <v>2764</v>
      </c>
      <c r="G1048" s="11"/>
      <c r="H1048" s="11"/>
      <c r="I1048" s="11">
        <v>1993</v>
      </c>
      <c r="J1048" s="11" t="s">
        <v>438</v>
      </c>
      <c r="K1048" s="15" t="str">
        <f>HYPERLINK("https://drive.google.com/open?id=1pQzRPvBj_zLUQF1x327A_Ozsrhj7_hqF","ОД 02071010/0994-18")</f>
        <v>ОД 02071010/0994-18</v>
      </c>
      <c r="L1048" s="15" t="str">
        <f>HYPERLINK("https://drive.google.com/open?id=1mngl60ZL0ptWZNtkybDbhYU7MVTeT8o0","Сертифікат")</f>
        <v>Сертифікат</v>
      </c>
      <c r="M1048" s="11" t="s">
        <v>26</v>
      </c>
      <c r="N1048" s="10">
        <v>14029</v>
      </c>
      <c r="O1048" s="10">
        <v>46405</v>
      </c>
      <c r="P1048" s="10">
        <v>4</v>
      </c>
      <c r="Q1048" s="10">
        <v>62.8</v>
      </c>
      <c r="R1048" s="10" t="s">
        <v>66</v>
      </c>
      <c r="S1048" s="10">
        <v>353.3</v>
      </c>
      <c r="T1048" s="10">
        <v>69.2</v>
      </c>
      <c r="U1048" s="29">
        <v>43797</v>
      </c>
      <c r="V1048" s="66">
        <v>47449</v>
      </c>
      <c r="W1048" s="10" t="s">
        <v>10</v>
      </c>
      <c r="X1048" s="10" t="s">
        <v>17</v>
      </c>
    </row>
    <row r="1049" spans="1:24" ht="50.25" customHeight="1" x14ac:dyDescent="0.25">
      <c r="A1049" s="11">
        <f t="shared" si="70"/>
        <v>1046</v>
      </c>
      <c r="B1049" s="11" t="s">
        <v>2765</v>
      </c>
      <c r="C1049" s="10" t="s">
        <v>2678</v>
      </c>
      <c r="D1049" s="10" t="s">
        <v>75</v>
      </c>
      <c r="E1049" s="10" t="s">
        <v>2</v>
      </c>
      <c r="F1049" s="11" t="s">
        <v>2766</v>
      </c>
      <c r="G1049" s="11"/>
      <c r="H1049" s="11"/>
      <c r="I1049" s="11">
        <v>1953</v>
      </c>
      <c r="J1049" s="11" t="s">
        <v>261</v>
      </c>
      <c r="K1049" s="15" t="str">
        <f>HYPERLINK("https://drive.google.com/open?id=1v-yro4vA3IMknMh88BfdmdNuHsGAtMU9","КРІ-СЕ 000016")</f>
        <v>КРІ-СЕ 000016</v>
      </c>
      <c r="L1049" s="15" t="str">
        <f>HYPERLINK("https://drive.google.com/open?id=12cIZHSvBUCj1epk1keRzyncf9RjrPru5","Сертифікат")</f>
        <v>Сертифікат</v>
      </c>
      <c r="M1049" s="11" t="s">
        <v>26</v>
      </c>
      <c r="N1049" s="10">
        <v>353.2</v>
      </c>
      <c r="O1049" s="10">
        <v>1156.2</v>
      </c>
      <c r="P1049" s="10">
        <v>1</v>
      </c>
      <c r="Q1049" s="10">
        <v>111</v>
      </c>
      <c r="R1049" s="10" t="s">
        <v>66</v>
      </c>
      <c r="S1049" s="10">
        <v>532</v>
      </c>
      <c r="T1049" s="10">
        <v>105</v>
      </c>
      <c r="U1049" s="29">
        <v>43795</v>
      </c>
      <c r="V1049" s="66">
        <v>47447</v>
      </c>
      <c r="W1049" s="10" t="s">
        <v>10</v>
      </c>
      <c r="X1049" s="10" t="s">
        <v>17</v>
      </c>
    </row>
    <row r="1050" spans="1:24" ht="50.25" customHeight="1" x14ac:dyDescent="0.25">
      <c r="A1050" s="11">
        <f t="shared" si="70"/>
        <v>1047</v>
      </c>
      <c r="B1050" s="11" t="s">
        <v>2767</v>
      </c>
      <c r="C1050" s="10" t="s">
        <v>2768</v>
      </c>
      <c r="D1050" s="10" t="s">
        <v>103</v>
      </c>
      <c r="E1050" s="10" t="s">
        <v>3</v>
      </c>
      <c r="F1050" s="11" t="s">
        <v>2769</v>
      </c>
      <c r="G1050" s="11"/>
      <c r="H1050" s="11"/>
      <c r="I1050" s="11">
        <v>1976</v>
      </c>
      <c r="J1050" s="11" t="s">
        <v>1504</v>
      </c>
      <c r="K1050" s="15" t="str">
        <f t="shared" ref="K1050:K1051" si="73">HYPERLINK("https://drive.google.com/open?id=1cNdHo19T35eklBUZY_qj1BVJ98P3D_u8","АА000071")</f>
        <v>АА000071</v>
      </c>
      <c r="L1050" s="15" t="str">
        <f>HYPERLINK("https://drive.google.com/open?id=1eLOAoJu_HqSJ3zZ3A1bMM4OVdDors0TL","Сертифікат")</f>
        <v>Сертифікат</v>
      </c>
      <c r="M1050" s="11" t="s">
        <v>22</v>
      </c>
      <c r="N1050" s="10">
        <v>2660.4</v>
      </c>
      <c r="O1050" s="10">
        <v>9682</v>
      </c>
      <c r="P1050" s="31">
        <v>43499</v>
      </c>
      <c r="Q1050" s="10">
        <v>44.8</v>
      </c>
      <c r="R1050" s="10" t="s">
        <v>66</v>
      </c>
      <c r="S1050" s="10">
        <v>367.1</v>
      </c>
      <c r="T1050" s="10">
        <v>154.19999999999999</v>
      </c>
      <c r="U1050" s="29">
        <v>43802</v>
      </c>
      <c r="V1050" s="66">
        <v>47454</v>
      </c>
      <c r="W1050" s="10" t="s">
        <v>13</v>
      </c>
      <c r="X1050" s="10" t="s">
        <v>17</v>
      </c>
    </row>
    <row r="1051" spans="1:24" ht="50.25" customHeight="1" x14ac:dyDescent="0.25">
      <c r="A1051" s="11">
        <f t="shared" si="70"/>
        <v>1048</v>
      </c>
      <c r="B1051" s="11" t="s">
        <v>2770</v>
      </c>
      <c r="C1051" s="10" t="s">
        <v>2768</v>
      </c>
      <c r="D1051" s="10" t="s">
        <v>103</v>
      </c>
      <c r="E1051" s="10" t="s">
        <v>3</v>
      </c>
      <c r="F1051" s="11" t="s">
        <v>2771</v>
      </c>
      <c r="G1051" s="11"/>
      <c r="H1051" s="11"/>
      <c r="I1051" s="11">
        <v>1902</v>
      </c>
      <c r="J1051" s="11" t="s">
        <v>1504</v>
      </c>
      <c r="K1051" s="15" t="str">
        <f t="shared" si="73"/>
        <v>АА000071</v>
      </c>
      <c r="L1051" s="15" t="str">
        <f>HYPERLINK("https://drive.google.com/open?id=1m6FitKC0rKB8Wau7b3ZyRHzRabb8IGV1","Сертифікат")</f>
        <v>Сертифікат</v>
      </c>
      <c r="M1051" s="11" t="s">
        <v>26</v>
      </c>
      <c r="N1051" s="10">
        <v>1667.6</v>
      </c>
      <c r="O1051" s="10">
        <v>7170</v>
      </c>
      <c r="P1051" s="10">
        <v>2</v>
      </c>
      <c r="Q1051" s="10">
        <v>97.7</v>
      </c>
      <c r="R1051" s="10" t="s">
        <v>66</v>
      </c>
      <c r="S1051" s="10">
        <v>520.9</v>
      </c>
      <c r="T1051" s="10">
        <v>143.69999999999999</v>
      </c>
      <c r="U1051" s="29">
        <v>43802</v>
      </c>
      <c r="V1051" s="66">
        <v>47454</v>
      </c>
      <c r="W1051" s="10" t="s">
        <v>10</v>
      </c>
      <c r="X1051" s="10" t="s">
        <v>17</v>
      </c>
    </row>
    <row r="1052" spans="1:24" ht="50.25" customHeight="1" x14ac:dyDescent="0.25">
      <c r="A1052" s="11">
        <f t="shared" si="70"/>
        <v>1049</v>
      </c>
      <c r="B1052" s="11" t="s">
        <v>2772</v>
      </c>
      <c r="C1052" s="10" t="s">
        <v>552</v>
      </c>
      <c r="D1052" s="10" t="s">
        <v>541</v>
      </c>
      <c r="E1052" s="10" t="s">
        <v>5</v>
      </c>
      <c r="F1052" s="11" t="s">
        <v>2773</v>
      </c>
      <c r="G1052" s="11"/>
      <c r="H1052" s="11"/>
      <c r="I1052" s="11">
        <v>1962</v>
      </c>
      <c r="J1052" s="11" t="s">
        <v>1285</v>
      </c>
      <c r="K1052" s="15" t="str">
        <f>HYPERLINK("https://drive.google.com/open?id=1VvGfORJ6L6VwYRUDV8aJ3Nq6jB6_9anA","СБ-0065")</f>
        <v>СБ-0065</v>
      </c>
      <c r="L1052" s="15" t="str">
        <f>HYPERLINK("https://drive.google.com/open?id=1sU1iloQTz-zXMgzlCzzk_iU8QMWkZu9U","Сертифікат")</f>
        <v>Сертифікат</v>
      </c>
      <c r="M1052" s="11" t="s">
        <v>26</v>
      </c>
      <c r="N1052" s="10">
        <v>207</v>
      </c>
      <c r="O1052" s="10">
        <v>620</v>
      </c>
      <c r="P1052" s="10">
        <v>1</v>
      </c>
      <c r="Q1052" s="10">
        <v>209.1</v>
      </c>
      <c r="R1052" s="10" t="s">
        <v>66</v>
      </c>
      <c r="S1052" s="10">
        <v>976</v>
      </c>
      <c r="T1052" s="10">
        <v>192</v>
      </c>
      <c r="U1052" s="29">
        <v>43798</v>
      </c>
      <c r="V1052" s="66">
        <v>47450</v>
      </c>
      <c r="W1052" s="10" t="s">
        <v>10</v>
      </c>
      <c r="X1052" s="10" t="s">
        <v>17</v>
      </c>
    </row>
    <row r="1053" spans="1:24" ht="50.25" customHeight="1" x14ac:dyDescent="0.25">
      <c r="A1053" s="11">
        <f t="shared" si="70"/>
        <v>1050</v>
      </c>
      <c r="B1053" s="11" t="s">
        <v>2774</v>
      </c>
      <c r="C1053" s="10" t="s">
        <v>258</v>
      </c>
      <c r="D1053" s="10" t="s">
        <v>75</v>
      </c>
      <c r="E1053" s="10" t="s">
        <v>3</v>
      </c>
      <c r="F1053" s="11" t="s">
        <v>2775</v>
      </c>
      <c r="G1053" s="11"/>
      <c r="H1053" s="11"/>
      <c r="I1053" s="11">
        <v>1983</v>
      </c>
      <c r="J1053" s="11" t="s">
        <v>642</v>
      </c>
      <c r="K1053" s="15" t="str">
        <f>HYPERLINK("https://drive.google.com/open?id=1cxGxrVWMvCNlS6TwjKIt2Jn85z6h57TB","ЕЕ-036-05-19")</f>
        <v>ЕЕ-036-05-19</v>
      </c>
      <c r="L1053" s="15" t="str">
        <f>HYPERLINK("https://drive.google.com/open?id=1YMH0jY99oGDMaHNZkR8ExVBBiZVlArPM","Сертифікат")</f>
        <v>Сертифікат</v>
      </c>
      <c r="M1053" s="11" t="s">
        <v>26</v>
      </c>
      <c r="N1053" s="10">
        <v>2258.6</v>
      </c>
      <c r="O1053" s="10">
        <v>7344</v>
      </c>
      <c r="P1053" s="10">
        <v>3</v>
      </c>
      <c r="Q1053" s="10">
        <v>96.6</v>
      </c>
      <c r="R1053" s="10" t="s">
        <v>66</v>
      </c>
      <c r="S1053" s="10">
        <v>477</v>
      </c>
      <c r="T1053" s="10">
        <v>94</v>
      </c>
      <c r="U1053" s="29">
        <v>43733</v>
      </c>
      <c r="V1053" s="66">
        <v>47385</v>
      </c>
      <c r="W1053" s="10" t="s">
        <v>10</v>
      </c>
      <c r="X1053" s="10" t="s">
        <v>17</v>
      </c>
    </row>
    <row r="1054" spans="1:24" ht="50.25" customHeight="1" x14ac:dyDescent="0.25">
      <c r="A1054" s="11">
        <f t="shared" si="70"/>
        <v>1051</v>
      </c>
      <c r="B1054" s="11" t="s">
        <v>2776</v>
      </c>
      <c r="C1054" s="10" t="s">
        <v>85</v>
      </c>
      <c r="D1054" s="10" t="s">
        <v>86</v>
      </c>
      <c r="E1054" s="10" t="s">
        <v>0</v>
      </c>
      <c r="F1054" s="11" t="s">
        <v>2125</v>
      </c>
      <c r="G1054" s="11"/>
      <c r="H1054" s="11"/>
      <c r="I1054" s="11">
        <v>1990</v>
      </c>
      <c r="J1054" s="11" t="s">
        <v>64</v>
      </c>
      <c r="K1054" s="15" t="str">
        <f>HYPERLINK("https://drive.google.com/open?id=1-fr_zsf-7fSXhRxegEztRfDKVGALmS4z","
АА000004")</f>
        <v xml:space="preserve">
АА000004</v>
      </c>
      <c r="L1054" s="15" t="str">
        <f>HYPERLINK("https://drive.google.com/open?id=1V7MtK9tD1oJ2VeMu-vRNhYmGKN-YvTha","Сертифікат")</f>
        <v>Сертифікат</v>
      </c>
      <c r="M1054" s="11" t="s">
        <v>26</v>
      </c>
      <c r="N1054" s="10">
        <v>8279</v>
      </c>
      <c r="O1054" s="10">
        <v>24423</v>
      </c>
      <c r="P1054" s="10">
        <v>9</v>
      </c>
      <c r="Q1054" s="10">
        <v>160</v>
      </c>
      <c r="R1054" s="10" t="s">
        <v>57</v>
      </c>
      <c r="S1054" s="10">
        <v>293</v>
      </c>
      <c r="T1054" s="10">
        <v>57</v>
      </c>
      <c r="U1054" s="29">
        <v>43801</v>
      </c>
      <c r="V1054" s="66">
        <v>47453</v>
      </c>
      <c r="W1054" s="10" t="s">
        <v>10</v>
      </c>
      <c r="X1054" s="10" t="s">
        <v>17</v>
      </c>
    </row>
    <row r="1055" spans="1:24" ht="50.25" customHeight="1" x14ac:dyDescent="0.25">
      <c r="A1055" s="11">
        <f t="shared" si="70"/>
        <v>1052</v>
      </c>
      <c r="B1055" s="11" t="s">
        <v>2777</v>
      </c>
      <c r="C1055" s="10" t="s">
        <v>1490</v>
      </c>
      <c r="D1055" s="10" t="s">
        <v>86</v>
      </c>
      <c r="E1055" s="10" t="s">
        <v>2</v>
      </c>
      <c r="F1055" s="11" t="s">
        <v>2778</v>
      </c>
      <c r="G1055" s="11"/>
      <c r="H1055" s="11"/>
      <c r="I1055" s="11">
        <v>2020</v>
      </c>
      <c r="J1055" s="11" t="s">
        <v>817</v>
      </c>
      <c r="K1055" s="15" t="str">
        <f>HYPERLINK("https://drive.google.com/open?id=195Nt2QyFm2vF_nQatQf2cvvhnudkfcTY","ЕЕ00020")</f>
        <v>ЕЕ00020</v>
      </c>
      <c r="L1055" s="15" t="str">
        <f>HYPERLINK("https://drive.google.com/open?id=1P9ZJktHyUkW6jV7QIsieDu_B3mPHd4J9","Сертифікат")</f>
        <v>Сертифікат</v>
      </c>
      <c r="M1055" s="11" t="s">
        <v>18</v>
      </c>
      <c r="N1055" s="10">
        <v>1026.83</v>
      </c>
      <c r="O1055" s="10">
        <v>4354.6899999999996</v>
      </c>
      <c r="P1055" s="10">
        <v>2</v>
      </c>
      <c r="Q1055" s="10">
        <v>55.66</v>
      </c>
      <c r="R1055" s="10" t="s">
        <v>66</v>
      </c>
      <c r="S1055" s="10">
        <v>1058</v>
      </c>
      <c r="T1055" s="10">
        <v>193</v>
      </c>
      <c r="U1055" s="29">
        <v>43802</v>
      </c>
      <c r="V1055" s="66">
        <v>47454</v>
      </c>
      <c r="W1055" s="10" t="s">
        <v>13</v>
      </c>
      <c r="X1055" s="10" t="s">
        <v>17</v>
      </c>
    </row>
    <row r="1056" spans="1:24" ht="50.25" customHeight="1" x14ac:dyDescent="0.25">
      <c r="A1056" s="11">
        <f t="shared" si="70"/>
        <v>1053</v>
      </c>
      <c r="B1056" s="11" t="s">
        <v>2779</v>
      </c>
      <c r="C1056" s="10" t="s">
        <v>2768</v>
      </c>
      <c r="D1056" s="10" t="s">
        <v>103</v>
      </c>
      <c r="E1056" s="10" t="s">
        <v>3</v>
      </c>
      <c r="F1056" s="11" t="s">
        <v>2780</v>
      </c>
      <c r="G1056" s="11"/>
      <c r="H1056" s="11"/>
      <c r="I1056" s="11">
        <v>1907</v>
      </c>
      <c r="J1056" s="11" t="s">
        <v>1504</v>
      </c>
      <c r="K1056" s="15" t="str">
        <f>HYPERLINK("https://drive.google.com/open?id=1cNdHo19T35eklBUZY_qj1BVJ98P3D_u8","АА000071")</f>
        <v>АА000071</v>
      </c>
      <c r="L1056" s="15" t="str">
        <f>HYPERLINK("https://drive.google.com/open?id=1sktT9NfG9StBdT96mBgMa5hY-lI3UjMj","Сертифікат")</f>
        <v>Сертифікат</v>
      </c>
      <c r="M1056" s="11" t="s">
        <v>26</v>
      </c>
      <c r="N1056" s="10">
        <v>358.5</v>
      </c>
      <c r="O1056" s="10">
        <v>1237</v>
      </c>
      <c r="P1056" s="10">
        <v>1</v>
      </c>
      <c r="Q1056" s="10">
        <v>209.7</v>
      </c>
      <c r="R1056" s="10" t="s">
        <v>66</v>
      </c>
      <c r="S1056" s="10">
        <v>805.1</v>
      </c>
      <c r="T1056" s="10">
        <v>286.2</v>
      </c>
      <c r="U1056" s="29">
        <v>43802</v>
      </c>
      <c r="V1056" s="66">
        <v>47454</v>
      </c>
      <c r="W1056" s="10" t="s">
        <v>10</v>
      </c>
      <c r="X1056" s="10" t="s">
        <v>17</v>
      </c>
    </row>
    <row r="1057" spans="1:24" ht="50.25" customHeight="1" x14ac:dyDescent="0.25">
      <c r="A1057" s="11">
        <f t="shared" si="70"/>
        <v>1054</v>
      </c>
      <c r="B1057" s="11" t="s">
        <v>2781</v>
      </c>
      <c r="C1057" s="10" t="s">
        <v>552</v>
      </c>
      <c r="D1057" s="10" t="s">
        <v>541</v>
      </c>
      <c r="E1057" s="10" t="s">
        <v>2</v>
      </c>
      <c r="F1057" s="11" t="s">
        <v>2782</v>
      </c>
      <c r="G1057" s="11"/>
      <c r="H1057" s="11"/>
      <c r="I1057" s="11">
        <v>1971</v>
      </c>
      <c r="J1057" s="11" t="s">
        <v>1285</v>
      </c>
      <c r="K1057" s="15" t="str">
        <f>HYPERLINK("https://drive.google.com/open?id=1VvGfORJ6L6VwYRUDV8aJ3Nq6jB6_9anA","СБ-0065")</f>
        <v>СБ-0065</v>
      </c>
      <c r="L1057" s="15" t="str">
        <f>HYPERLINK("https://drive.google.com/open?id=1QuNmjQmgUNwdFcaOuWKzo_uTS6UBd9xk","Сертифікат")</f>
        <v>Сертифікат</v>
      </c>
      <c r="M1057" s="11" t="s">
        <v>26</v>
      </c>
      <c r="N1057" s="10">
        <v>115</v>
      </c>
      <c r="O1057" s="10">
        <v>346</v>
      </c>
      <c r="P1057" s="10">
        <v>1</v>
      </c>
      <c r="Q1057" s="10">
        <v>203.3</v>
      </c>
      <c r="R1057" s="10" t="s">
        <v>66</v>
      </c>
      <c r="S1057" s="10">
        <v>909</v>
      </c>
      <c r="T1057" s="10">
        <v>180</v>
      </c>
      <c r="U1057" s="29">
        <v>43797</v>
      </c>
      <c r="V1057" s="66">
        <v>47449</v>
      </c>
      <c r="W1057" s="10" t="s">
        <v>10</v>
      </c>
      <c r="X1057" s="10" t="s">
        <v>17</v>
      </c>
    </row>
    <row r="1058" spans="1:24" ht="50.25" customHeight="1" x14ac:dyDescent="0.25">
      <c r="A1058" s="11">
        <f t="shared" si="70"/>
        <v>1055</v>
      </c>
      <c r="B1058" s="11" t="s">
        <v>2783</v>
      </c>
      <c r="C1058" s="10" t="s">
        <v>2784</v>
      </c>
      <c r="D1058" s="10" t="s">
        <v>238</v>
      </c>
      <c r="E1058" s="10" t="s">
        <v>5</v>
      </c>
      <c r="F1058" s="11" t="s">
        <v>2785</v>
      </c>
      <c r="G1058" s="11"/>
      <c r="H1058" s="11"/>
      <c r="I1058" s="11" t="s">
        <v>1010</v>
      </c>
      <c r="J1058" s="11" t="s">
        <v>1767</v>
      </c>
      <c r="K1058" s="15" t="str">
        <f>HYPERLINK("https://drive.google.com/open?id=1jTiqrH2Py3be6JAJBqF3SGwCFfPZoWQw","ЕЕ 00042")</f>
        <v>ЕЕ 00042</v>
      </c>
      <c r="L1058" s="15" t="str">
        <f>HYPERLINK("https://drive.google.com/open?id=1LVY7ArjAUIBqzX2tESYGvU02G82Rl6em","Сертифікат")</f>
        <v>Сертифікат</v>
      </c>
      <c r="M1058" s="11" t="s">
        <v>20</v>
      </c>
      <c r="N1058" s="10">
        <v>291.3</v>
      </c>
      <c r="O1058" s="10">
        <v>844.7</v>
      </c>
      <c r="P1058" s="10">
        <v>1</v>
      </c>
      <c r="Q1058" s="10">
        <v>57.06</v>
      </c>
      <c r="R1058" s="10" t="s">
        <v>66</v>
      </c>
      <c r="S1058" s="10">
        <v>93.8</v>
      </c>
      <c r="T1058" s="10">
        <v>9.1</v>
      </c>
      <c r="U1058" s="29">
        <v>43802</v>
      </c>
      <c r="V1058" s="66">
        <v>47454</v>
      </c>
      <c r="W1058" s="10" t="s">
        <v>10</v>
      </c>
      <c r="X1058" s="10" t="s">
        <v>17</v>
      </c>
    </row>
    <row r="1059" spans="1:24" ht="50.25" customHeight="1" x14ac:dyDescent="0.25">
      <c r="A1059" s="11">
        <f t="shared" si="70"/>
        <v>1056</v>
      </c>
      <c r="B1059" s="11" t="s">
        <v>2786</v>
      </c>
      <c r="C1059" s="47" t="s">
        <v>2678</v>
      </c>
      <c r="D1059" s="10" t="s">
        <v>75</v>
      </c>
      <c r="E1059" s="10" t="s">
        <v>5</v>
      </c>
      <c r="F1059" s="11" t="s">
        <v>2787</v>
      </c>
      <c r="G1059" s="11"/>
      <c r="H1059" s="11"/>
      <c r="I1059" s="11">
        <v>1928</v>
      </c>
      <c r="J1059" s="26" t="s">
        <v>2788</v>
      </c>
      <c r="K1059" s="15" t="str">
        <f>HYPERLINK("https://drive.google.com/open?id=1iIhhl19wzL4XQDusY4fmK33loUo-aHdT","СБ-0087")</f>
        <v>СБ-0087</v>
      </c>
      <c r="L1059" s="15" t="str">
        <f>HYPERLINK("https://drive.google.com/open?id=1F9QGjpiezn3ansRcEr9WuY8ZXO2mcYs9","Сертифікат")</f>
        <v>Сертифікат</v>
      </c>
      <c r="M1059" s="11" t="s">
        <v>22</v>
      </c>
      <c r="N1059" s="10">
        <v>551.9</v>
      </c>
      <c r="O1059" s="10">
        <v>1766.08</v>
      </c>
      <c r="P1059" s="10">
        <v>2</v>
      </c>
      <c r="Q1059" s="10">
        <v>80.5</v>
      </c>
      <c r="R1059" s="10" t="s">
        <v>66</v>
      </c>
      <c r="S1059" s="10">
        <v>395</v>
      </c>
      <c r="T1059" s="10">
        <v>77.2</v>
      </c>
      <c r="U1059" s="29">
        <v>43776</v>
      </c>
      <c r="V1059" s="66">
        <v>47428</v>
      </c>
      <c r="W1059" s="10" t="s">
        <v>10</v>
      </c>
      <c r="X1059" s="10" t="s">
        <v>17</v>
      </c>
    </row>
    <row r="1060" spans="1:24" ht="50.25" customHeight="1" x14ac:dyDescent="0.25">
      <c r="A1060" s="11">
        <f t="shared" si="70"/>
        <v>1057</v>
      </c>
      <c r="B1060" s="11" t="s">
        <v>2789</v>
      </c>
      <c r="C1060" s="52" t="s">
        <v>2790</v>
      </c>
      <c r="D1060" s="10" t="s">
        <v>103</v>
      </c>
      <c r="E1060" s="10" t="s">
        <v>3</v>
      </c>
      <c r="F1060" s="11" t="s">
        <v>2791</v>
      </c>
      <c r="G1060" s="11"/>
      <c r="H1060" s="11"/>
      <c r="I1060" s="11">
        <v>1903</v>
      </c>
      <c r="J1060" s="11" t="s">
        <v>1504</v>
      </c>
      <c r="K1060" s="15" t="str">
        <f>HYPERLINK("https://drive.google.com/open?id=1cNdHo19T35eklBUZY_qj1BVJ98P3D_u8","АА000071")</f>
        <v>АА000071</v>
      </c>
      <c r="L1060" s="15" t="str">
        <f>HYPERLINK("https://drive.google.com/open?id=1PwxL_y9vuOJJWHhEVSs2g4FwF_DjJwvl","Сертифікат")</f>
        <v>Сертифікат</v>
      </c>
      <c r="M1060" s="11" t="s">
        <v>26</v>
      </c>
      <c r="N1060" s="10">
        <v>579.29999999999995</v>
      </c>
      <c r="O1060" s="10">
        <v>2294</v>
      </c>
      <c r="P1060" s="10">
        <v>1</v>
      </c>
      <c r="Q1060" s="10">
        <v>100.6</v>
      </c>
      <c r="R1060" s="10" t="s">
        <v>66</v>
      </c>
      <c r="S1060" s="10">
        <v>420.6</v>
      </c>
      <c r="T1060" s="10">
        <v>149</v>
      </c>
      <c r="U1060" s="29">
        <v>43802</v>
      </c>
      <c r="V1060" s="66">
        <v>47424</v>
      </c>
      <c r="W1060" s="10" t="s">
        <v>10</v>
      </c>
      <c r="X1060" s="10" t="s">
        <v>17</v>
      </c>
    </row>
    <row r="1061" spans="1:24" ht="50.25" customHeight="1" x14ac:dyDescent="0.25">
      <c r="A1061" s="11">
        <f t="shared" si="70"/>
        <v>1058</v>
      </c>
      <c r="B1061" s="11" t="s">
        <v>2792</v>
      </c>
      <c r="C1061" s="10" t="s">
        <v>1145</v>
      </c>
      <c r="D1061" s="10" t="s">
        <v>1295</v>
      </c>
      <c r="E1061" s="10" t="s">
        <v>2</v>
      </c>
      <c r="F1061" s="11" t="s">
        <v>2793</v>
      </c>
      <c r="G1061" s="11"/>
      <c r="H1061" s="11"/>
      <c r="I1061" s="11" t="s">
        <v>1010</v>
      </c>
      <c r="J1061" s="27" t="s">
        <v>1660</v>
      </c>
      <c r="K1061" s="15" t="str">
        <f>HYPERLINK("https://drive.google.com/open?id=1oLEtNwc-cHUiCjT6H-8zpZIM41iqf7Hj","ХМ 02071234/001")</f>
        <v>ХМ 02071234/001</v>
      </c>
      <c r="L1061" s="15" t="str">
        <f>HYPERLINK("https://drive.google.com/open?id=1stlXEsP771nPSyYnLXwzrl1UZyM9HOhd","Сертифікат")</f>
        <v>Сертифікат</v>
      </c>
      <c r="M1061" s="11" t="s">
        <v>20</v>
      </c>
      <c r="N1061" s="10">
        <v>498.98</v>
      </c>
      <c r="O1061" s="10">
        <v>1596.74</v>
      </c>
      <c r="P1061" s="10">
        <v>1</v>
      </c>
      <c r="Q1061" s="10">
        <v>73.790000000000006</v>
      </c>
      <c r="R1061" s="10" t="s">
        <v>66</v>
      </c>
      <c r="S1061" s="10">
        <v>395.65</v>
      </c>
      <c r="T1061" s="10">
        <v>73.33</v>
      </c>
      <c r="U1061" s="29">
        <v>43802</v>
      </c>
      <c r="V1061" s="66">
        <v>47424</v>
      </c>
      <c r="W1061" s="10" t="s">
        <v>13</v>
      </c>
      <c r="X1061" s="10" t="s">
        <v>17</v>
      </c>
    </row>
    <row r="1062" spans="1:24" ht="50.25" customHeight="1" x14ac:dyDescent="0.25">
      <c r="A1062" s="11">
        <f t="shared" si="70"/>
        <v>1059</v>
      </c>
      <c r="B1062" s="11" t="s">
        <v>2794</v>
      </c>
      <c r="C1062" s="52" t="s">
        <v>258</v>
      </c>
      <c r="D1062" s="10" t="s">
        <v>75</v>
      </c>
      <c r="E1062" s="10" t="s">
        <v>3</v>
      </c>
      <c r="F1062" s="11" t="s">
        <v>2795</v>
      </c>
      <c r="G1062" s="11"/>
      <c r="H1062" s="11"/>
      <c r="I1062" s="11">
        <v>1983</v>
      </c>
      <c r="J1062" s="11" t="s">
        <v>642</v>
      </c>
      <c r="K1062" s="15" t="str">
        <f>HYPERLINK("https://drive.google.com/open?id=1cxGxrVWMvCNlS6TwjKIt2Jn85z6h57TB","ЕЕ-036-05-19")</f>
        <v>ЕЕ-036-05-19</v>
      </c>
      <c r="L1062" s="15" t="str">
        <f>HYPERLINK("https://drive.google.com/open?id=1Q12-yOJhVPcpwV9SW7pfIOz3th2wXOwh","Сертифікат")</f>
        <v>Сертифікат</v>
      </c>
      <c r="M1062" s="11" t="s">
        <v>26</v>
      </c>
      <c r="N1062" s="10">
        <v>1460.3</v>
      </c>
      <c r="O1062" s="10">
        <v>6655.5</v>
      </c>
      <c r="P1062" s="10">
        <v>3</v>
      </c>
      <c r="Q1062" s="10">
        <v>99.9</v>
      </c>
      <c r="R1062" s="10" t="s">
        <v>66</v>
      </c>
      <c r="S1062" s="10">
        <v>644</v>
      </c>
      <c r="T1062" s="10">
        <v>128</v>
      </c>
      <c r="U1062" s="29">
        <v>43732</v>
      </c>
      <c r="V1062" s="66">
        <v>47384</v>
      </c>
      <c r="W1062" s="10" t="s">
        <v>10</v>
      </c>
      <c r="X1062" s="10" t="s">
        <v>17</v>
      </c>
    </row>
    <row r="1063" spans="1:24" ht="50.25" customHeight="1" x14ac:dyDescent="0.25">
      <c r="A1063" s="11">
        <f t="shared" si="70"/>
        <v>1060</v>
      </c>
      <c r="B1063" s="11" t="s">
        <v>2796</v>
      </c>
      <c r="C1063" s="24" t="s">
        <v>1145</v>
      </c>
      <c r="D1063" s="10" t="s">
        <v>1295</v>
      </c>
      <c r="E1063" s="10" t="s">
        <v>7</v>
      </c>
      <c r="F1063" s="11" t="s">
        <v>2797</v>
      </c>
      <c r="G1063" s="11"/>
      <c r="H1063" s="11"/>
      <c r="I1063" s="11" t="s">
        <v>689</v>
      </c>
      <c r="J1063" s="27" t="s">
        <v>2008</v>
      </c>
      <c r="K1063" s="15" t="str">
        <f>HYPERLINK("https://drive.google.com/open?id=1Do6lmdSbyvLLqC0yOLG1tDAG0TFH3W3N","ОД 02071010/0117-19")</f>
        <v>ОД 02071010/0117-19</v>
      </c>
      <c r="L1063" s="15" t="str">
        <f>HYPERLINK("https://drive.google.com/open?id=1O5YqVPtL1HdcaMHLqc069HqBUntDdr-S","Сертифікат")</f>
        <v>Сертифікат</v>
      </c>
      <c r="M1063" s="11" t="s">
        <v>15</v>
      </c>
      <c r="N1063" s="10">
        <v>980</v>
      </c>
      <c r="O1063" s="10">
        <v>3096.8</v>
      </c>
      <c r="P1063" s="10">
        <v>1</v>
      </c>
      <c r="Q1063" s="10">
        <v>50.25</v>
      </c>
      <c r="R1063" s="10" t="s">
        <v>66</v>
      </c>
      <c r="S1063" s="10">
        <v>639.5</v>
      </c>
      <c r="T1063" s="10">
        <v>116.78</v>
      </c>
      <c r="U1063" s="66">
        <v>43798</v>
      </c>
      <c r="V1063" s="66">
        <v>47450</v>
      </c>
      <c r="W1063" s="10" t="s">
        <v>10</v>
      </c>
      <c r="X1063" s="10" t="s">
        <v>17</v>
      </c>
    </row>
    <row r="1064" spans="1:24" ht="50.25" customHeight="1" x14ac:dyDescent="0.25">
      <c r="A1064" s="11">
        <f t="shared" si="70"/>
        <v>1061</v>
      </c>
      <c r="B1064" s="11" t="s">
        <v>2798</v>
      </c>
      <c r="C1064" s="47" t="s">
        <v>2799</v>
      </c>
      <c r="D1064" s="52" t="s">
        <v>103</v>
      </c>
      <c r="E1064" s="10" t="s">
        <v>3</v>
      </c>
      <c r="F1064" s="11" t="s">
        <v>2800</v>
      </c>
      <c r="G1064" s="11"/>
      <c r="H1064" s="11"/>
      <c r="I1064" s="11">
        <v>1927</v>
      </c>
      <c r="J1064" s="11" t="s">
        <v>1504</v>
      </c>
      <c r="K1064" s="15" t="str">
        <f>HYPERLINK("https://drive.google.com/open?id=1cNdHo19T35eklBUZY_qj1BVJ98P3D_u8","АА000071")</f>
        <v>АА000071</v>
      </c>
      <c r="L1064" s="15" t="str">
        <f>HYPERLINK("https://drive.google.com/open?id=15sawQv5yWpLzoC3TfCGlYk_gO7kMAxAn","Сертифікат")</f>
        <v>Сертифікат</v>
      </c>
      <c r="M1064" s="11" t="s">
        <v>26</v>
      </c>
      <c r="N1064" s="10">
        <v>1067.2</v>
      </c>
      <c r="O1064" s="10">
        <v>3628</v>
      </c>
      <c r="P1064" s="10">
        <v>1</v>
      </c>
      <c r="Q1064" s="10">
        <v>154.9</v>
      </c>
      <c r="R1064" s="10" t="s">
        <v>66</v>
      </c>
      <c r="S1064" s="10">
        <v>505.1</v>
      </c>
      <c r="T1064" s="10">
        <v>179.4</v>
      </c>
      <c r="U1064" s="66">
        <v>43802</v>
      </c>
      <c r="V1064" s="66">
        <v>47454</v>
      </c>
      <c r="W1064" s="10" t="s">
        <v>10</v>
      </c>
      <c r="X1064" s="10" t="s">
        <v>17</v>
      </c>
    </row>
    <row r="1065" spans="1:24" ht="50.25" customHeight="1" x14ac:dyDescent="0.25">
      <c r="A1065" s="11">
        <f t="shared" si="70"/>
        <v>1062</v>
      </c>
      <c r="B1065" s="11" t="s">
        <v>2801</v>
      </c>
      <c r="C1065" s="10" t="s">
        <v>2802</v>
      </c>
      <c r="D1065" s="10" t="s">
        <v>148</v>
      </c>
      <c r="E1065" s="10" t="s">
        <v>0</v>
      </c>
      <c r="F1065" s="11" t="s">
        <v>2803</v>
      </c>
      <c r="G1065" s="11"/>
      <c r="H1065" s="11"/>
      <c r="I1065" s="11" t="s">
        <v>2646</v>
      </c>
      <c r="J1065" s="27" t="s">
        <v>732</v>
      </c>
      <c r="K1065" s="51" t="str">
        <f>HYPERLINK("https://drive.google.com/open?id=1YmIUNUHq4P-kOoyLjfDDMpvQv5hFDMTd","ОРІ-АВ00010")</f>
        <v>ОРІ-АВ00010</v>
      </c>
      <c r="L1065" s="15" t="str">
        <f>HYPERLINK("https://drive.google.com/open?id=1x8apoEWtfUkhebvkDbo8Gd4SG6Jam3lG","Сертифікат")</f>
        <v>Сертифікат</v>
      </c>
      <c r="M1065" s="11" t="s">
        <v>18</v>
      </c>
      <c r="N1065" s="10">
        <v>47623.9</v>
      </c>
      <c r="O1065" s="10">
        <v>133876.82</v>
      </c>
      <c r="P1065" s="10">
        <v>25</v>
      </c>
      <c r="Q1065" s="10">
        <v>84</v>
      </c>
      <c r="R1065" s="10" t="s">
        <v>57</v>
      </c>
      <c r="S1065" s="10">
        <v>154</v>
      </c>
      <c r="T1065" s="10">
        <v>30</v>
      </c>
      <c r="U1065" s="66">
        <v>43801</v>
      </c>
      <c r="V1065" s="66">
        <v>47453</v>
      </c>
      <c r="W1065" s="10" t="s">
        <v>10</v>
      </c>
      <c r="X1065" s="10" t="s">
        <v>17</v>
      </c>
    </row>
    <row r="1066" spans="1:24" ht="50.25" customHeight="1" x14ac:dyDescent="0.25">
      <c r="A1066" s="11">
        <f t="shared" si="70"/>
        <v>1063</v>
      </c>
      <c r="B1066" s="11" t="s">
        <v>2804</v>
      </c>
      <c r="C1066" s="47" t="s">
        <v>552</v>
      </c>
      <c r="D1066" s="10" t="s">
        <v>541</v>
      </c>
      <c r="E1066" s="10" t="s">
        <v>5</v>
      </c>
      <c r="F1066" s="11" t="s">
        <v>2805</v>
      </c>
      <c r="G1066" s="11"/>
      <c r="H1066" s="11"/>
      <c r="I1066" s="11">
        <v>1964</v>
      </c>
      <c r="J1066" s="11" t="s">
        <v>1285</v>
      </c>
      <c r="K1066" s="15" t="str">
        <f>HYPERLINK("https://drive.google.com/open?id=1VvGfORJ6L6VwYRUDV8aJ3Nq6jB6_9anA","СБ-0065")</f>
        <v>СБ-0065</v>
      </c>
      <c r="L1066" s="15" t="str">
        <f>HYPERLINK("https://drive.google.com/open?id=18VsZT4k8E-KH1E0QsrFURBoBy8MIY4-s","Сертифікат")</f>
        <v>Сертифікат</v>
      </c>
      <c r="M1066" s="11" t="s">
        <v>26</v>
      </c>
      <c r="N1066" s="52">
        <v>1420</v>
      </c>
      <c r="O1066" s="52">
        <v>4614</v>
      </c>
      <c r="P1066" s="10">
        <v>1</v>
      </c>
      <c r="Q1066" s="10">
        <v>136.80000000000001</v>
      </c>
      <c r="R1066" s="10" t="s">
        <v>66</v>
      </c>
      <c r="S1066" s="10">
        <v>669</v>
      </c>
      <c r="T1066" s="10">
        <v>132</v>
      </c>
      <c r="U1066" s="29">
        <v>43796</v>
      </c>
      <c r="V1066" s="66">
        <v>47448</v>
      </c>
      <c r="W1066" s="10" t="s">
        <v>10</v>
      </c>
      <c r="X1066" s="10" t="s">
        <v>17</v>
      </c>
    </row>
    <row r="1067" spans="1:24" ht="50.25" customHeight="1" x14ac:dyDescent="0.25">
      <c r="A1067" s="11">
        <f t="shared" si="70"/>
        <v>1064</v>
      </c>
      <c r="B1067" s="11" t="s">
        <v>2806</v>
      </c>
      <c r="C1067" s="10" t="s">
        <v>85</v>
      </c>
      <c r="D1067" s="10" t="s">
        <v>86</v>
      </c>
      <c r="E1067" s="10" t="s">
        <v>0</v>
      </c>
      <c r="F1067" s="11" t="s">
        <v>2125</v>
      </c>
      <c r="G1067" s="11"/>
      <c r="H1067" s="11"/>
      <c r="I1067" s="11">
        <v>1992</v>
      </c>
      <c r="J1067" s="11" t="s">
        <v>64</v>
      </c>
      <c r="K1067" s="15" t="str">
        <f>HYPERLINK("https://drive.google.com/open?id=1-fr_zsf-7fSXhRxegEztRfDKVGALmS4z","АА000004")</f>
        <v>АА000004</v>
      </c>
      <c r="L1067" s="15" t="str">
        <f>HYPERLINK("https://drive.google.com/open?id=1n04GE_U2Ym4_T4b9TAkHSAZmPSshndmE","Сертифікат")</f>
        <v>Сертифікат</v>
      </c>
      <c r="M1067" s="11" t="s">
        <v>26</v>
      </c>
      <c r="N1067" s="10">
        <v>5310</v>
      </c>
      <c r="O1067" s="10">
        <v>15664</v>
      </c>
      <c r="P1067" s="10">
        <v>9</v>
      </c>
      <c r="Q1067" s="10">
        <v>177</v>
      </c>
      <c r="R1067" s="10" t="s">
        <v>66</v>
      </c>
      <c r="S1067" s="10">
        <v>316</v>
      </c>
      <c r="T1067" s="10">
        <v>62</v>
      </c>
      <c r="U1067" s="29">
        <v>43798</v>
      </c>
      <c r="V1067" s="66">
        <v>47450</v>
      </c>
      <c r="W1067" s="10" t="s">
        <v>10</v>
      </c>
      <c r="X1067" s="10" t="s">
        <v>17</v>
      </c>
    </row>
    <row r="1068" spans="1:24" ht="50.25" customHeight="1" x14ac:dyDescent="0.25">
      <c r="A1068" s="11">
        <f t="shared" si="70"/>
        <v>1065</v>
      </c>
      <c r="B1068" s="11" t="s">
        <v>2807</v>
      </c>
      <c r="C1068" s="10" t="s">
        <v>2808</v>
      </c>
      <c r="D1068" s="10" t="s">
        <v>103</v>
      </c>
      <c r="E1068" s="10" t="s">
        <v>3</v>
      </c>
      <c r="F1068" s="11" t="s">
        <v>2809</v>
      </c>
      <c r="G1068" s="11"/>
      <c r="H1068" s="11"/>
      <c r="I1068" s="11">
        <v>1967</v>
      </c>
      <c r="J1068" s="27" t="s">
        <v>1504</v>
      </c>
      <c r="K1068" s="15" t="str">
        <f>HYPERLINK("https://drive.google.com/open?id=1cNdHo19T35eklBUZY_qj1BVJ98P3D_u8","АА000071")</f>
        <v>АА000071</v>
      </c>
      <c r="L1068" s="15" t="str">
        <f>HYPERLINK("https://drive.google.com/open?id=16djDfqBS5ApXBB944veEed_l7xNGZbK4","Сертифікат")</f>
        <v>Сертифікат</v>
      </c>
      <c r="M1068" s="11" t="s">
        <v>26</v>
      </c>
      <c r="N1068" s="10">
        <v>1843.2</v>
      </c>
      <c r="O1068" s="10">
        <v>6202</v>
      </c>
      <c r="P1068" s="10">
        <v>2</v>
      </c>
      <c r="Q1068" s="10">
        <v>144.4</v>
      </c>
      <c r="R1068" s="10" t="s">
        <v>66</v>
      </c>
      <c r="S1068" s="10">
        <v>566.9</v>
      </c>
      <c r="T1068" s="10">
        <v>202.4</v>
      </c>
      <c r="U1068" s="66">
        <v>43802</v>
      </c>
      <c r="V1068" s="66">
        <v>47454</v>
      </c>
      <c r="W1068" s="10" t="s">
        <v>10</v>
      </c>
      <c r="X1068" s="10" t="s">
        <v>17</v>
      </c>
    </row>
    <row r="1069" spans="1:24" ht="50.25" customHeight="1" x14ac:dyDescent="0.25">
      <c r="A1069" s="11">
        <f t="shared" si="70"/>
        <v>1066</v>
      </c>
      <c r="B1069" s="11" t="s">
        <v>2772</v>
      </c>
      <c r="C1069" s="10" t="s">
        <v>552</v>
      </c>
      <c r="D1069" s="10" t="s">
        <v>541</v>
      </c>
      <c r="E1069" s="10" t="s">
        <v>5</v>
      </c>
      <c r="F1069" s="11" t="s">
        <v>2810</v>
      </c>
      <c r="G1069" s="11"/>
      <c r="H1069" s="11"/>
      <c r="I1069" s="11">
        <v>1916</v>
      </c>
      <c r="J1069" s="11" t="s">
        <v>1285</v>
      </c>
      <c r="K1069" s="15" t="str">
        <f>HYPERLINK("https://drive.google.com/open?id=1VvGfORJ6L6VwYRUDV8aJ3Nq6jB6_9anA","СБ-0065")</f>
        <v>СБ-0065</v>
      </c>
      <c r="L1069" s="15" t="str">
        <f>HYPERLINK("https://drive.google.com/open?id=1nZ1EnnjRkO4k0wXDOah1mca3zxFEznW1","Сертифікат")</f>
        <v>Сертифікат</v>
      </c>
      <c r="M1069" s="11" t="s">
        <v>26</v>
      </c>
      <c r="N1069" s="10">
        <v>1116</v>
      </c>
      <c r="O1069" s="10">
        <v>3905</v>
      </c>
      <c r="P1069" s="10">
        <v>2</v>
      </c>
      <c r="Q1069" s="10">
        <v>131</v>
      </c>
      <c r="R1069" s="10" t="s">
        <v>66</v>
      </c>
      <c r="S1069" s="10">
        <v>679</v>
      </c>
      <c r="T1069" s="10">
        <v>134</v>
      </c>
      <c r="U1069" s="29">
        <v>43797</v>
      </c>
      <c r="V1069" s="66">
        <v>47449</v>
      </c>
      <c r="W1069" s="10" t="s">
        <v>10</v>
      </c>
      <c r="X1069" s="10" t="s">
        <v>17</v>
      </c>
    </row>
    <row r="1070" spans="1:24" ht="50.25" customHeight="1" x14ac:dyDescent="0.25">
      <c r="A1070" s="11">
        <f t="shared" si="70"/>
        <v>1067</v>
      </c>
      <c r="B1070" s="11" t="s">
        <v>2811</v>
      </c>
      <c r="C1070" s="10" t="s">
        <v>2812</v>
      </c>
      <c r="D1070" s="10" t="s">
        <v>238</v>
      </c>
      <c r="E1070" s="10" t="s">
        <v>5</v>
      </c>
      <c r="F1070" s="11" t="s">
        <v>2785</v>
      </c>
      <c r="G1070" s="11"/>
      <c r="H1070" s="11"/>
      <c r="I1070" s="11" t="s">
        <v>836</v>
      </c>
      <c r="J1070" s="11" t="s">
        <v>1767</v>
      </c>
      <c r="K1070" s="15" t="str">
        <f>HYPERLINK("https://drive.google.com/open?id=1jTiqrH2Py3be6JAJBqF3SGwCFfPZoWQw","ЕЕ 00042")</f>
        <v>ЕЕ 00042</v>
      </c>
      <c r="L1070" s="15" t="str">
        <f>HYPERLINK("https://drive.google.com/open?id=1SRp6d3ZPIIHzogxfOF4-70FYA1B6zmPS","Сертифікат")</f>
        <v>Сертифікат</v>
      </c>
      <c r="M1070" s="11" t="s">
        <v>20</v>
      </c>
      <c r="N1070" s="10">
        <v>291.3</v>
      </c>
      <c r="O1070" s="10">
        <v>844.7</v>
      </c>
      <c r="P1070" s="10">
        <v>1</v>
      </c>
      <c r="Q1070" s="10">
        <v>57.06</v>
      </c>
      <c r="R1070" s="10" t="s">
        <v>66</v>
      </c>
      <c r="S1070" s="10">
        <v>93.8</v>
      </c>
      <c r="T1070" s="10">
        <v>9.1</v>
      </c>
      <c r="U1070" s="66">
        <v>43802</v>
      </c>
      <c r="V1070" s="66">
        <v>47454</v>
      </c>
      <c r="W1070" s="10" t="s">
        <v>10</v>
      </c>
      <c r="X1070" s="10" t="s">
        <v>17</v>
      </c>
    </row>
    <row r="1071" spans="1:24" ht="50.25" customHeight="1" x14ac:dyDescent="0.25">
      <c r="A1071" s="11">
        <f t="shared" si="70"/>
        <v>1068</v>
      </c>
      <c r="B1071" s="11" t="s">
        <v>2813</v>
      </c>
      <c r="C1071" s="10" t="s">
        <v>2814</v>
      </c>
      <c r="D1071" s="10" t="s">
        <v>442</v>
      </c>
      <c r="E1071" s="10" t="s">
        <v>0</v>
      </c>
      <c r="F1071" s="11" t="s">
        <v>0</v>
      </c>
      <c r="G1071" s="11"/>
      <c r="H1071" s="11"/>
      <c r="I1071" s="11" t="s">
        <v>836</v>
      </c>
      <c r="J1071" s="11" t="s">
        <v>2016</v>
      </c>
      <c r="K1071" s="15" t="str">
        <f>HYPERLINK("https://drive.google.com/open?id=1NDvr0vu80IIwRY2k-kYSYk4ErtrruV_6","ХПІ.00015")</f>
        <v>ХПІ.00015</v>
      </c>
      <c r="L1071" s="15" t="str">
        <f>HYPERLINK("https://drive.google.com/open?id=1oObeFSbT3_pMcQ6KuXbnjAyrvZG_MZoc","Сертифікат")</f>
        <v>Сертифікат</v>
      </c>
      <c r="M1071" s="11" t="s">
        <v>18</v>
      </c>
      <c r="N1071" s="10">
        <v>3864.57</v>
      </c>
      <c r="O1071" s="10">
        <v>11593.7</v>
      </c>
      <c r="P1071" s="10">
        <v>8</v>
      </c>
      <c r="Q1071" s="10">
        <v>84.977000000000004</v>
      </c>
      <c r="R1071" s="10" t="s">
        <v>57</v>
      </c>
      <c r="S1071" s="10">
        <v>106.949</v>
      </c>
      <c r="T1071" s="10">
        <v>21.39</v>
      </c>
      <c r="U1071" s="29">
        <v>43801</v>
      </c>
      <c r="V1071" s="66">
        <v>47453</v>
      </c>
      <c r="W1071" s="10" t="s">
        <v>13</v>
      </c>
      <c r="X1071" s="10" t="s">
        <v>17</v>
      </c>
    </row>
    <row r="1072" spans="1:24" ht="50.25" customHeight="1" x14ac:dyDescent="0.25">
      <c r="A1072" s="11">
        <f t="shared" si="70"/>
        <v>1069</v>
      </c>
      <c r="B1072" s="11" t="s">
        <v>2815</v>
      </c>
      <c r="C1072" s="10" t="s">
        <v>2816</v>
      </c>
      <c r="D1072" s="10" t="s">
        <v>103</v>
      </c>
      <c r="E1072" s="10" t="s">
        <v>3</v>
      </c>
      <c r="F1072" s="11" t="s">
        <v>2817</v>
      </c>
      <c r="G1072" s="11"/>
      <c r="H1072" s="11"/>
      <c r="I1072" s="11">
        <v>1965</v>
      </c>
      <c r="J1072" s="11" t="s">
        <v>1504</v>
      </c>
      <c r="K1072" s="15" t="str">
        <f t="shared" ref="K1072:K1073" si="74">HYPERLINK("https://drive.google.com/open?id=1cNdHo19T35eklBUZY_qj1BVJ98P3D_u8","АА000071")</f>
        <v>АА000071</v>
      </c>
      <c r="L1072" s="15" t="str">
        <f>HYPERLINK("https://drive.google.com/open?id=1Bfq_jPIMgIK9tU74Qfj4_utw0J9Pf_zQ","Сертифікат")</f>
        <v>Сертифікат</v>
      </c>
      <c r="M1072" s="11" t="s">
        <v>26</v>
      </c>
      <c r="N1072" s="10">
        <v>980.6</v>
      </c>
      <c r="O1072" s="10">
        <v>4148</v>
      </c>
      <c r="P1072" s="10">
        <v>1</v>
      </c>
      <c r="Q1072" s="10">
        <v>163.69999999999999</v>
      </c>
      <c r="R1072" s="10" t="s">
        <v>66</v>
      </c>
      <c r="S1072" s="10">
        <v>817.9</v>
      </c>
      <c r="T1072" s="10">
        <v>291.89999999999998</v>
      </c>
      <c r="U1072" s="29">
        <v>43771</v>
      </c>
      <c r="V1072" s="66">
        <v>47423</v>
      </c>
      <c r="W1072" s="10" t="s">
        <v>10</v>
      </c>
      <c r="X1072" s="10" t="s">
        <v>17</v>
      </c>
    </row>
    <row r="1073" spans="1:24" ht="50.25" customHeight="1" x14ac:dyDescent="0.25">
      <c r="A1073" s="11">
        <f t="shared" si="70"/>
        <v>1070</v>
      </c>
      <c r="B1073" s="11" t="s">
        <v>2818</v>
      </c>
      <c r="C1073" s="10" t="s">
        <v>2819</v>
      </c>
      <c r="D1073" s="10" t="s">
        <v>103</v>
      </c>
      <c r="E1073" s="10" t="s">
        <v>3</v>
      </c>
      <c r="F1073" s="11" t="s">
        <v>2820</v>
      </c>
      <c r="G1073" s="11"/>
      <c r="H1073" s="11"/>
      <c r="I1073" s="11">
        <v>1967</v>
      </c>
      <c r="J1073" s="11" t="s">
        <v>1504</v>
      </c>
      <c r="K1073" s="15" t="str">
        <f t="shared" si="74"/>
        <v>АА000071</v>
      </c>
      <c r="L1073" s="15" t="str">
        <f>HYPERLINK("https://drive.google.com/open?id=1qaHCMRBFBdUyIaAqkeYHJHKdXQzQBOQg","Сертифікат")</f>
        <v>Сертифікат</v>
      </c>
      <c r="M1073" s="11" t="s">
        <v>26</v>
      </c>
      <c r="N1073" s="10">
        <v>1341.9</v>
      </c>
      <c r="O1073" s="10">
        <v>5202</v>
      </c>
      <c r="P1073" s="10">
        <v>1</v>
      </c>
      <c r="Q1073" s="10">
        <v>168.5</v>
      </c>
      <c r="R1073" s="10" t="s">
        <v>66</v>
      </c>
      <c r="S1073" s="10">
        <v>787.7</v>
      </c>
      <c r="T1073" s="10">
        <v>281.60000000000002</v>
      </c>
      <c r="U1073" s="29">
        <v>43802</v>
      </c>
      <c r="V1073" s="66">
        <v>47454</v>
      </c>
      <c r="W1073" s="10" t="s">
        <v>10</v>
      </c>
      <c r="X1073" s="10" t="s">
        <v>17</v>
      </c>
    </row>
    <row r="1074" spans="1:24" ht="50.25" customHeight="1" x14ac:dyDescent="0.25">
      <c r="A1074" s="11">
        <f t="shared" si="70"/>
        <v>1071</v>
      </c>
      <c r="B1074" s="11" t="s">
        <v>2821</v>
      </c>
      <c r="C1074" s="10" t="s">
        <v>517</v>
      </c>
      <c r="D1074" s="10" t="s">
        <v>518</v>
      </c>
      <c r="E1074" s="10" t="s">
        <v>5</v>
      </c>
      <c r="F1074" s="11" t="s">
        <v>2822</v>
      </c>
      <c r="G1074" s="11"/>
      <c r="H1074" s="11"/>
      <c r="I1074" s="11" t="s">
        <v>282</v>
      </c>
      <c r="J1074" s="11" t="s">
        <v>2217</v>
      </c>
      <c r="K1074" s="15" t="str">
        <f>HYPERLINK("https://drive.google.com/open?id=1OzYN2u1j9VdmpTJ38VYqUYLqHZqnxRmI","АА000118")</f>
        <v>АА000118</v>
      </c>
      <c r="L1074" s="15" t="str">
        <f>HYPERLINK("https://drive.google.com/open?id=1OzYN2u1j9VdmpTJ38VYqUYLqHZqnxRmI","Сертифікат")</f>
        <v>Сертифікат</v>
      </c>
      <c r="M1074" s="11" t="s">
        <v>26</v>
      </c>
      <c r="N1074" s="10">
        <v>3013.7</v>
      </c>
      <c r="O1074" s="10">
        <v>9282</v>
      </c>
      <c r="P1074" s="10">
        <v>4</v>
      </c>
      <c r="Q1074" s="10">
        <v>124</v>
      </c>
      <c r="R1074" s="10" t="s">
        <v>66</v>
      </c>
      <c r="S1074" s="10">
        <v>638.20000000000005</v>
      </c>
      <c r="T1074" s="10">
        <v>195.4</v>
      </c>
      <c r="U1074" s="29">
        <v>43780</v>
      </c>
      <c r="V1074" s="66">
        <v>47432</v>
      </c>
      <c r="W1074" s="10" t="s">
        <v>10</v>
      </c>
      <c r="X1074" s="10" t="s">
        <v>17</v>
      </c>
    </row>
    <row r="1075" spans="1:24" ht="50.25" customHeight="1" x14ac:dyDescent="0.25">
      <c r="A1075" s="11">
        <f t="shared" si="70"/>
        <v>1072</v>
      </c>
      <c r="B1075" s="11" t="s">
        <v>2823</v>
      </c>
      <c r="C1075" s="10" t="s">
        <v>2814</v>
      </c>
      <c r="D1075" s="10" t="s">
        <v>442</v>
      </c>
      <c r="E1075" s="10" t="s">
        <v>0</v>
      </c>
      <c r="F1075" s="11" t="s">
        <v>0</v>
      </c>
      <c r="G1075" s="11"/>
      <c r="H1075" s="11"/>
      <c r="I1075" s="11" t="s">
        <v>836</v>
      </c>
      <c r="J1075" s="11" t="s">
        <v>2016</v>
      </c>
      <c r="K1075" s="15" t="str">
        <f>HYPERLINK("https://drive.google.com/open?id=1NDvr0vu80IIwRY2k-kYSYk4ErtrruV_6","ХПІ.00015")</f>
        <v>ХПІ.00015</v>
      </c>
      <c r="L1075" s="15" t="str">
        <f>HYPERLINK("https://drive.google.com/open?id=1SNVh24b69LzfBMdkcf46Quucb7xwrv3z","Сертифікат")</f>
        <v>Сертифікат</v>
      </c>
      <c r="M1075" s="11" t="s">
        <v>18</v>
      </c>
      <c r="N1075" s="10">
        <v>4039.97</v>
      </c>
      <c r="O1075" s="10">
        <v>12119.92</v>
      </c>
      <c r="P1075" s="10">
        <v>8</v>
      </c>
      <c r="Q1075" s="10">
        <v>83.56</v>
      </c>
      <c r="R1075" s="10" t="s">
        <v>57</v>
      </c>
      <c r="S1075" s="10">
        <v>105.39100000000001</v>
      </c>
      <c r="T1075" s="10">
        <v>21.077999999999999</v>
      </c>
      <c r="U1075" s="29">
        <v>43801</v>
      </c>
      <c r="V1075" s="66">
        <v>47453</v>
      </c>
      <c r="W1075" s="10" t="s">
        <v>13</v>
      </c>
      <c r="X1075" s="10" t="s">
        <v>17</v>
      </c>
    </row>
    <row r="1076" spans="1:24" ht="50.25" customHeight="1" x14ac:dyDescent="0.25">
      <c r="A1076" s="11">
        <f t="shared" si="70"/>
        <v>1073</v>
      </c>
      <c r="B1076" s="11" t="s">
        <v>2824</v>
      </c>
      <c r="C1076" s="10" t="s">
        <v>2768</v>
      </c>
      <c r="D1076" s="10" t="s">
        <v>2825</v>
      </c>
      <c r="E1076" s="10" t="s">
        <v>3</v>
      </c>
      <c r="F1076" s="11" t="s">
        <v>2826</v>
      </c>
      <c r="G1076" s="11"/>
      <c r="H1076" s="11"/>
      <c r="I1076" s="11">
        <v>1986</v>
      </c>
      <c r="J1076" s="11" t="s">
        <v>1504</v>
      </c>
      <c r="K1076" s="15" t="str">
        <f t="shared" ref="K1076:K1077" si="75">HYPERLINK("https://drive.google.com/open?id=1cNdHo19T35eklBUZY_qj1BVJ98P3D_u8","АА000071")</f>
        <v>АА000071</v>
      </c>
      <c r="L1076" s="15" t="str">
        <f>HYPERLINK("https://drive.google.com/open?id=1hrg6fZWc7rGcdnikq1dZaEij4tfQpQC5","Сертифікат")</f>
        <v>Сертифікат</v>
      </c>
      <c r="M1076" s="11" t="s">
        <v>26</v>
      </c>
      <c r="N1076" s="10">
        <v>2422.5</v>
      </c>
      <c r="O1076" s="10">
        <v>17279</v>
      </c>
      <c r="P1076" s="10">
        <v>2</v>
      </c>
      <c r="Q1076" s="10">
        <v>67.400000000000006</v>
      </c>
      <c r="R1076" s="10" t="s">
        <v>66</v>
      </c>
      <c r="S1076" s="10">
        <v>671.8</v>
      </c>
      <c r="T1076" s="10">
        <v>185</v>
      </c>
      <c r="U1076" s="29">
        <v>43802</v>
      </c>
      <c r="V1076" s="66">
        <v>47454</v>
      </c>
      <c r="W1076" s="10" t="s">
        <v>10</v>
      </c>
      <c r="X1076" s="10" t="s">
        <v>17</v>
      </c>
    </row>
    <row r="1077" spans="1:24" ht="50.25" customHeight="1" x14ac:dyDescent="0.25">
      <c r="A1077" s="11">
        <f t="shared" si="70"/>
        <v>1074</v>
      </c>
      <c r="B1077" s="11" t="s">
        <v>2827</v>
      </c>
      <c r="C1077" s="10" t="s">
        <v>2828</v>
      </c>
      <c r="D1077" s="10" t="s">
        <v>2825</v>
      </c>
      <c r="E1077" s="10" t="s">
        <v>3</v>
      </c>
      <c r="F1077" s="11" t="s">
        <v>2829</v>
      </c>
      <c r="G1077" s="11"/>
      <c r="H1077" s="11"/>
      <c r="I1077" s="11">
        <v>1963</v>
      </c>
      <c r="J1077" s="11" t="s">
        <v>1504</v>
      </c>
      <c r="K1077" s="15" t="str">
        <f t="shared" si="75"/>
        <v>АА000071</v>
      </c>
      <c r="L1077" s="15" t="str">
        <f>HYPERLINK("https://drive.google.com/open?id=1IoQGWI9CWOZMejpfaYd6OajYSXRL-7Eu","Сертифікат")</f>
        <v>Сертифікат</v>
      </c>
      <c r="M1077" s="11" t="s">
        <v>26</v>
      </c>
      <c r="N1077" s="10">
        <v>950</v>
      </c>
      <c r="O1077" s="10">
        <v>3515</v>
      </c>
      <c r="P1077" s="10">
        <v>1</v>
      </c>
      <c r="Q1077" s="10">
        <v>80.599999999999994</v>
      </c>
      <c r="R1077" s="10" t="s">
        <v>66</v>
      </c>
      <c r="S1077" s="10">
        <v>711.4</v>
      </c>
      <c r="T1077" s="10">
        <v>298.8</v>
      </c>
      <c r="U1077" s="29">
        <v>43802</v>
      </c>
      <c r="V1077" s="66">
        <v>47454</v>
      </c>
      <c r="W1077" s="10" t="s">
        <v>10</v>
      </c>
      <c r="X1077" s="10" t="s">
        <v>17</v>
      </c>
    </row>
    <row r="1078" spans="1:24" ht="50.25" customHeight="1" x14ac:dyDescent="0.25">
      <c r="A1078" s="11">
        <f t="shared" si="70"/>
        <v>1075</v>
      </c>
      <c r="B1078" s="11" t="s">
        <v>2830</v>
      </c>
      <c r="C1078" s="10" t="s">
        <v>243</v>
      </c>
      <c r="D1078" s="10" t="s">
        <v>238</v>
      </c>
      <c r="E1078" s="10" t="s">
        <v>0</v>
      </c>
      <c r="F1078" s="11" t="s">
        <v>2831</v>
      </c>
      <c r="G1078" s="11"/>
      <c r="H1078" s="11"/>
      <c r="I1078" s="11" t="s">
        <v>836</v>
      </c>
      <c r="J1078" s="11" t="s">
        <v>209</v>
      </c>
      <c r="K1078" s="15" t="str">
        <f>HYPERLINK("https://drive.google.com/open?id=1nFSy5k_5dEpHD1r7NrzhyR0bvCdUEIlN","СБ-0033")</f>
        <v>СБ-0033</v>
      </c>
      <c r="L1078" s="15" t="str">
        <f>HYPERLINK("https://drive.google.com/open?id=1MZhIT36Y2TZT1I1SdApfwJHZz8IKZwLv","Сертифікат")</f>
        <v>Сертифікат</v>
      </c>
      <c r="M1078" s="11" t="s">
        <v>18</v>
      </c>
      <c r="N1078" s="10">
        <v>9574</v>
      </c>
      <c r="O1078" s="10">
        <v>28723</v>
      </c>
      <c r="P1078" s="10">
        <v>17</v>
      </c>
      <c r="Q1078" s="10">
        <v>86</v>
      </c>
      <c r="R1078" s="10" t="s">
        <v>57</v>
      </c>
      <c r="S1078" s="10">
        <v>145</v>
      </c>
      <c r="T1078" s="10">
        <v>28</v>
      </c>
      <c r="U1078" s="29">
        <v>43801</v>
      </c>
      <c r="V1078" s="66">
        <v>47453</v>
      </c>
      <c r="W1078" s="10" t="s">
        <v>10</v>
      </c>
      <c r="X1078" s="10" t="s">
        <v>17</v>
      </c>
    </row>
    <row r="1079" spans="1:24" ht="50.25" customHeight="1" x14ac:dyDescent="0.25">
      <c r="A1079" s="11">
        <f t="shared" si="70"/>
        <v>1076</v>
      </c>
      <c r="B1079" s="11" t="s">
        <v>2832</v>
      </c>
      <c r="C1079" s="10" t="s">
        <v>2833</v>
      </c>
      <c r="D1079" s="10" t="s">
        <v>485</v>
      </c>
      <c r="E1079" s="10" t="s">
        <v>3</v>
      </c>
      <c r="F1079" s="11" t="s">
        <v>2834</v>
      </c>
      <c r="G1079" s="11"/>
      <c r="H1079" s="11"/>
      <c r="I1079" s="11">
        <v>1940</v>
      </c>
      <c r="J1079" s="11" t="s">
        <v>1391</v>
      </c>
      <c r="K1079" s="15" t="str">
        <f>HYPERLINK("https://drive.google.com/open?id=1UKZILe7TQdXokj4t4AKCley6c2DMIFTf","ТР-ЕЕ")</f>
        <v>ТР-ЕЕ</v>
      </c>
      <c r="L1079" s="15" t="str">
        <f>HYPERLINK("https://drive.google.com/open?id=1Xfque4TVOwr0nL-7ee16S6elK2UFJxMY","Сертифікат")</f>
        <v>Сертифікат</v>
      </c>
      <c r="M1079" s="11" t="s">
        <v>24</v>
      </c>
      <c r="N1079" s="10">
        <v>3049.7</v>
      </c>
      <c r="O1079" s="10">
        <v>10674</v>
      </c>
      <c r="P1079" s="10">
        <v>3</v>
      </c>
      <c r="Q1079" s="10">
        <v>54.7</v>
      </c>
      <c r="R1079" s="10" t="s">
        <v>66</v>
      </c>
      <c r="S1079" s="10">
        <v>343.56</v>
      </c>
      <c r="T1079" s="10">
        <v>67.41</v>
      </c>
      <c r="U1079" s="29">
        <v>43796</v>
      </c>
      <c r="V1079" s="66">
        <v>47448</v>
      </c>
      <c r="W1079" s="10" t="s">
        <v>10</v>
      </c>
      <c r="X1079" s="10" t="s">
        <v>17</v>
      </c>
    </row>
    <row r="1080" spans="1:24" ht="50.25" customHeight="1" x14ac:dyDescent="0.25">
      <c r="A1080" s="11">
        <f t="shared" si="70"/>
        <v>1077</v>
      </c>
      <c r="B1080" s="11" t="s">
        <v>2835</v>
      </c>
      <c r="C1080" s="10" t="s">
        <v>2836</v>
      </c>
      <c r="D1080" s="10" t="s">
        <v>103</v>
      </c>
      <c r="E1080" s="10" t="s">
        <v>3</v>
      </c>
      <c r="F1080" s="11" t="s">
        <v>2837</v>
      </c>
      <c r="G1080" s="11"/>
      <c r="H1080" s="11"/>
      <c r="I1080" s="11">
        <v>1963</v>
      </c>
      <c r="J1080" s="11" t="s">
        <v>1504</v>
      </c>
      <c r="K1080" s="15" t="str">
        <f t="shared" ref="K1080:K1081" si="76">HYPERLINK("https://drive.google.com/open?id=1cNdHo19T35eklBUZY_qj1BVJ98P3D_u8","АА000071")</f>
        <v>АА000071</v>
      </c>
      <c r="L1080" s="15" t="str">
        <f>HYPERLINK("https://drive.google.com/open?id=18GL4qYxViVX25Ew3b28oLcjjurfsqF11","Сертифікат")</f>
        <v>Сертифікат</v>
      </c>
      <c r="M1080" s="11" t="s">
        <v>26</v>
      </c>
      <c r="N1080" s="10">
        <v>1253.8</v>
      </c>
      <c r="O1080" s="10">
        <v>4551</v>
      </c>
      <c r="P1080" s="10">
        <v>2</v>
      </c>
      <c r="Q1080" s="10">
        <v>81.2</v>
      </c>
      <c r="R1080" s="10" t="s">
        <v>66</v>
      </c>
      <c r="S1080" s="10">
        <v>748.9</v>
      </c>
      <c r="T1080" s="10">
        <v>314.5</v>
      </c>
      <c r="U1080" s="29">
        <v>43802</v>
      </c>
      <c r="V1080" s="66">
        <v>47454</v>
      </c>
      <c r="W1080" s="10" t="s">
        <v>10</v>
      </c>
      <c r="X1080" s="10" t="s">
        <v>17</v>
      </c>
    </row>
    <row r="1081" spans="1:24" ht="50.25" customHeight="1" x14ac:dyDescent="0.25">
      <c r="A1081" s="11">
        <f t="shared" si="70"/>
        <v>1078</v>
      </c>
      <c r="B1081" s="11" t="s">
        <v>2838</v>
      </c>
      <c r="C1081" s="10" t="s">
        <v>2839</v>
      </c>
      <c r="D1081" s="10" t="s">
        <v>103</v>
      </c>
      <c r="E1081" s="10" t="s">
        <v>3</v>
      </c>
      <c r="F1081" s="11" t="s">
        <v>2840</v>
      </c>
      <c r="G1081" s="11"/>
      <c r="H1081" s="11"/>
      <c r="I1081" s="11">
        <v>1938</v>
      </c>
      <c r="J1081" s="11" t="s">
        <v>1504</v>
      </c>
      <c r="K1081" s="15" t="str">
        <f t="shared" si="76"/>
        <v>АА000071</v>
      </c>
      <c r="L1081" s="15" t="str">
        <f>HYPERLINK("https://drive.google.com/open?id=1moqXhgoE8Ri7MZTaY5_tgrKdSR4nOGqS","Сертифікат")</f>
        <v>Сертифікат</v>
      </c>
      <c r="M1081" s="11" t="s">
        <v>26</v>
      </c>
      <c r="N1081" s="10">
        <v>1771.7</v>
      </c>
      <c r="O1081" s="10">
        <v>7120</v>
      </c>
      <c r="P1081" s="10">
        <v>2</v>
      </c>
      <c r="Q1081" s="10">
        <v>144.5</v>
      </c>
      <c r="R1081" s="10" t="s">
        <v>66</v>
      </c>
      <c r="S1081" s="10">
        <v>827.8</v>
      </c>
      <c r="T1081" s="10">
        <v>304.3</v>
      </c>
      <c r="U1081" s="29">
        <v>43802</v>
      </c>
      <c r="V1081" s="66">
        <v>47454</v>
      </c>
      <c r="W1081" s="10" t="s">
        <v>10</v>
      </c>
      <c r="X1081" s="10" t="s">
        <v>17</v>
      </c>
    </row>
    <row r="1082" spans="1:24" ht="50.25" customHeight="1" x14ac:dyDescent="0.25">
      <c r="A1082" s="11">
        <f t="shared" si="70"/>
        <v>1079</v>
      </c>
      <c r="B1082" s="11" t="s">
        <v>2841</v>
      </c>
      <c r="C1082" s="10" t="s">
        <v>2747</v>
      </c>
      <c r="D1082" s="10" t="s">
        <v>442</v>
      </c>
      <c r="E1082" s="10" t="s">
        <v>5</v>
      </c>
      <c r="F1082" s="11" t="s">
        <v>2842</v>
      </c>
      <c r="G1082" s="11"/>
      <c r="H1082" s="11"/>
      <c r="I1082" s="11">
        <v>1985</v>
      </c>
      <c r="J1082" s="11" t="s">
        <v>1544</v>
      </c>
      <c r="K1082" s="15" t="str">
        <f t="shared" ref="K1082:K1083" si="77">HYPERLINK("https://drive.google.com/open?id=12fBzNpIyVa6z7CSyxAovcoan-4BQIWDo","ОД №000060")</f>
        <v>ОД №000060</v>
      </c>
      <c r="L1082" s="15" t="str">
        <f>HYPERLINK("https://drive.google.com/open?id=1B-CKyCFrfJXGDGIRp4ynCAb_9sTPA11L","Сертифікат")</f>
        <v>Сертифікат</v>
      </c>
      <c r="M1082" s="11" t="s">
        <v>24</v>
      </c>
      <c r="N1082" s="10">
        <v>2296.3000000000002</v>
      </c>
      <c r="O1082" s="10">
        <v>8175</v>
      </c>
      <c r="P1082" s="31">
        <v>43497</v>
      </c>
      <c r="Q1082" s="10">
        <v>98.02</v>
      </c>
      <c r="R1082" s="10" t="s">
        <v>66</v>
      </c>
      <c r="S1082" s="10">
        <v>447.6</v>
      </c>
      <c r="T1082" s="10">
        <v>88.1</v>
      </c>
      <c r="U1082" s="29">
        <v>43803</v>
      </c>
      <c r="V1082" s="66">
        <v>47455</v>
      </c>
      <c r="W1082" s="10" t="s">
        <v>10</v>
      </c>
      <c r="X1082" s="10" t="s">
        <v>17</v>
      </c>
    </row>
    <row r="1083" spans="1:24" ht="50.25" customHeight="1" x14ac:dyDescent="0.25">
      <c r="A1083" s="11">
        <f t="shared" si="70"/>
        <v>1080</v>
      </c>
      <c r="B1083" s="11" t="s">
        <v>2841</v>
      </c>
      <c r="C1083" s="10" t="s">
        <v>2747</v>
      </c>
      <c r="D1083" s="10" t="s">
        <v>442</v>
      </c>
      <c r="E1083" s="10" t="s">
        <v>5</v>
      </c>
      <c r="F1083" s="11" t="s">
        <v>2843</v>
      </c>
      <c r="G1083" s="11"/>
      <c r="H1083" s="11"/>
      <c r="I1083" s="11">
        <v>1970</v>
      </c>
      <c r="J1083" s="11" t="s">
        <v>1544</v>
      </c>
      <c r="K1083" s="15" t="str">
        <f t="shared" si="77"/>
        <v>ОД №000060</v>
      </c>
      <c r="L1083" s="15" t="str">
        <f>HYPERLINK("https://drive.google.com/open?id=1OZFQU5CR8BIQ0zaxWmC2SoL9_b9Y4wGX","Сертифікат")</f>
        <v>Сертифікат</v>
      </c>
      <c r="M1083" s="11" t="s">
        <v>24</v>
      </c>
      <c r="N1083" s="10">
        <v>1794.9</v>
      </c>
      <c r="O1083" s="10">
        <v>6282</v>
      </c>
      <c r="P1083" s="10">
        <v>1</v>
      </c>
      <c r="Q1083" s="10">
        <v>92.17</v>
      </c>
      <c r="R1083" s="10" t="s">
        <v>66</v>
      </c>
      <c r="S1083" s="10">
        <v>419.1</v>
      </c>
      <c r="T1083" s="10">
        <v>82.3</v>
      </c>
      <c r="U1083" s="29">
        <v>43803</v>
      </c>
      <c r="V1083" s="66">
        <v>47455</v>
      </c>
      <c r="W1083" s="10" t="s">
        <v>10</v>
      </c>
      <c r="X1083" s="10" t="s">
        <v>17</v>
      </c>
    </row>
    <row r="1084" spans="1:24" ht="50.25" customHeight="1" x14ac:dyDescent="0.25">
      <c r="A1084" s="11">
        <f t="shared" si="70"/>
        <v>1081</v>
      </c>
      <c r="B1084" s="11" t="s">
        <v>2844</v>
      </c>
      <c r="C1084" s="24" t="s">
        <v>2845</v>
      </c>
      <c r="D1084" s="10" t="s">
        <v>75</v>
      </c>
      <c r="E1084" s="10" t="s">
        <v>2</v>
      </c>
      <c r="F1084" s="11" t="s">
        <v>2846</v>
      </c>
      <c r="G1084" s="11"/>
      <c r="H1084" s="11"/>
      <c r="I1084" s="11">
        <v>1970</v>
      </c>
      <c r="J1084" s="11" t="s">
        <v>1950</v>
      </c>
      <c r="K1084" s="15" t="str">
        <f>HYPERLINK("https://drive.google.com/open?id=1VJQzachoPV6RuQQdauZ7MVrxqnU4ohmt","ЕЕ-004-10-18")</f>
        <v>ЕЕ-004-10-18</v>
      </c>
      <c r="L1084" s="15" t="str">
        <f>HYPERLINK("https://drive.google.com/open?id=1qCtdsrsnmlQwddnu4DH2piAqUywi31WF","Сертифікат")</f>
        <v>Сертифікат</v>
      </c>
      <c r="M1084" s="11" t="s">
        <v>24</v>
      </c>
      <c r="N1084" s="10">
        <v>853.3</v>
      </c>
      <c r="O1084" s="10">
        <v>2666.6</v>
      </c>
      <c r="P1084" s="10">
        <v>2</v>
      </c>
      <c r="Q1084" s="10">
        <v>91.2</v>
      </c>
      <c r="R1084" s="10" t="s">
        <v>66</v>
      </c>
      <c r="S1084" s="10">
        <v>504.3</v>
      </c>
      <c r="T1084" s="10">
        <v>96.5</v>
      </c>
      <c r="U1084" s="29">
        <v>43801</v>
      </c>
      <c r="V1084" s="66">
        <v>47453</v>
      </c>
      <c r="W1084" s="10" t="s">
        <v>10</v>
      </c>
      <c r="X1084" s="10" t="s">
        <v>17</v>
      </c>
    </row>
    <row r="1085" spans="1:24" ht="50.25" customHeight="1" x14ac:dyDescent="0.25">
      <c r="A1085" s="11">
        <f t="shared" si="70"/>
        <v>1082</v>
      </c>
      <c r="B1085" s="11" t="s">
        <v>2847</v>
      </c>
      <c r="C1085" s="10" t="s">
        <v>2848</v>
      </c>
      <c r="D1085" s="10" t="s">
        <v>103</v>
      </c>
      <c r="E1085" s="10" t="s">
        <v>3</v>
      </c>
      <c r="F1085" s="11" t="s">
        <v>2849</v>
      </c>
      <c r="G1085" s="11"/>
      <c r="H1085" s="11"/>
      <c r="I1085" s="11">
        <v>1972</v>
      </c>
      <c r="J1085" s="11" t="s">
        <v>1504</v>
      </c>
      <c r="K1085" s="15" t="str">
        <f>HYPERLINK("https://drive.google.com/open?id=1cNdHo19T35eklBUZY_qj1BVJ98P3D_u8","АА000071")</f>
        <v>АА000071</v>
      </c>
      <c r="L1085" s="15" t="str">
        <f>HYPERLINK("https://drive.google.com/open?id=1mI7wuYe2sJNJcniTOAI5hL904tJMDlnI","Сертифікат")</f>
        <v>Сертифікат</v>
      </c>
      <c r="M1085" s="11" t="s">
        <v>26</v>
      </c>
      <c r="N1085" s="10">
        <v>639.6</v>
      </c>
      <c r="O1085" s="10">
        <v>2480</v>
      </c>
      <c r="P1085" s="10">
        <v>1</v>
      </c>
      <c r="Q1085" s="10">
        <v>229.6</v>
      </c>
      <c r="R1085" s="10" t="s">
        <v>66</v>
      </c>
      <c r="S1085" s="10">
        <v>1003.2</v>
      </c>
      <c r="T1085" s="10">
        <v>355</v>
      </c>
      <c r="U1085" s="29">
        <v>43802</v>
      </c>
      <c r="V1085" s="66">
        <v>47454</v>
      </c>
      <c r="W1085" s="10" t="s">
        <v>10</v>
      </c>
      <c r="X1085" s="10" t="s">
        <v>17</v>
      </c>
    </row>
    <row r="1086" spans="1:24" ht="50.25" customHeight="1" x14ac:dyDescent="0.25">
      <c r="A1086" s="11">
        <f t="shared" si="70"/>
        <v>1083</v>
      </c>
      <c r="B1086" s="11" t="s">
        <v>2850</v>
      </c>
      <c r="C1086" s="47" t="s">
        <v>2851</v>
      </c>
      <c r="D1086" s="10" t="s">
        <v>442</v>
      </c>
      <c r="E1086" s="10" t="s">
        <v>2</v>
      </c>
      <c r="F1086" s="11" t="s">
        <v>2852</v>
      </c>
      <c r="G1086" s="11"/>
      <c r="H1086" s="11"/>
      <c r="I1086" s="11" t="s">
        <v>2853</v>
      </c>
      <c r="J1086" s="11" t="s">
        <v>2375</v>
      </c>
      <c r="K1086" s="15" t="str">
        <f>HYPERLINK("https://drive.google.com/open?id=1h3wLwUYHwf857lwScZLOmOLIVIxXl176","ОРІ-АВ00004")</f>
        <v>ОРІ-АВ00004</v>
      </c>
      <c r="L1086" s="15" t="str">
        <f>HYPERLINK("https://drive.google.com/open?id=1JUWvejG31XCT4xRrvH618b55XZH9NvJM","Сертифікат")</f>
        <v>Сертифікат</v>
      </c>
      <c r="M1086" s="11" t="s">
        <v>15</v>
      </c>
      <c r="N1086" s="10">
        <v>3326</v>
      </c>
      <c r="O1086" s="10">
        <v>13790</v>
      </c>
      <c r="P1086" s="10">
        <v>2</v>
      </c>
      <c r="Q1086" s="10">
        <v>38.200000000000003</v>
      </c>
      <c r="R1086" s="10" t="s">
        <v>66</v>
      </c>
      <c r="S1086" s="10">
        <v>308.60000000000002</v>
      </c>
      <c r="T1086" s="10">
        <v>59</v>
      </c>
      <c r="U1086" s="29">
        <v>43798</v>
      </c>
      <c r="V1086" s="66">
        <v>47450</v>
      </c>
      <c r="W1086" s="10" t="s">
        <v>13</v>
      </c>
      <c r="X1086" s="10" t="s">
        <v>17</v>
      </c>
    </row>
    <row r="1087" spans="1:24" ht="50.25" customHeight="1" x14ac:dyDescent="0.25">
      <c r="A1087" s="11">
        <f t="shared" si="70"/>
        <v>1084</v>
      </c>
      <c r="B1087" s="11" t="s">
        <v>2854</v>
      </c>
      <c r="C1087" s="10" t="s">
        <v>2855</v>
      </c>
      <c r="D1087" s="10" t="s">
        <v>103</v>
      </c>
      <c r="E1087" s="10" t="s">
        <v>3</v>
      </c>
      <c r="F1087" s="11" t="s">
        <v>2856</v>
      </c>
      <c r="G1087" s="11"/>
      <c r="H1087" s="11"/>
      <c r="I1087" s="11">
        <v>1974</v>
      </c>
      <c r="J1087" s="11" t="s">
        <v>1504</v>
      </c>
      <c r="K1087" s="15" t="str">
        <f>HYPERLINK("https://drive.google.com/open?id=1cNdHo19T35eklBUZY_qj1BVJ98P3D_u8","АА000071")</f>
        <v>АА000071</v>
      </c>
      <c r="L1087" s="15" t="str">
        <f>HYPERLINK("https://drive.google.com/open?id=1kiXo1lmchFATP2E6hG8MudbECalnTjuT","Сертифікат")</f>
        <v>Сертифікат</v>
      </c>
      <c r="M1087" s="11" t="s">
        <v>26</v>
      </c>
      <c r="N1087" s="10">
        <v>2670.1</v>
      </c>
      <c r="O1087" s="10">
        <v>9088</v>
      </c>
      <c r="P1087" s="10">
        <v>3</v>
      </c>
      <c r="Q1087" s="10">
        <v>143.5</v>
      </c>
      <c r="R1087" s="10" t="s">
        <v>66</v>
      </c>
      <c r="S1087" s="10">
        <v>598.5</v>
      </c>
      <c r="T1087" s="10">
        <v>214.9</v>
      </c>
      <c r="U1087" s="29">
        <v>43802</v>
      </c>
      <c r="V1087" s="66">
        <v>47454</v>
      </c>
      <c r="W1087" s="10" t="s">
        <v>10</v>
      </c>
      <c r="X1087" s="10" t="s">
        <v>17</v>
      </c>
    </row>
    <row r="1088" spans="1:24" ht="50.25" customHeight="1" x14ac:dyDescent="0.25">
      <c r="A1088" s="11">
        <f t="shared" si="70"/>
        <v>1085</v>
      </c>
      <c r="B1088" s="11" t="s">
        <v>2857</v>
      </c>
      <c r="C1088" s="10" t="s">
        <v>2858</v>
      </c>
      <c r="D1088" s="10" t="s">
        <v>2859</v>
      </c>
      <c r="E1088" s="10" t="s">
        <v>5</v>
      </c>
      <c r="F1088" s="11" t="s">
        <v>2860</v>
      </c>
      <c r="G1088" s="11"/>
      <c r="H1088" s="11"/>
      <c r="I1088" s="11" t="s">
        <v>2861</v>
      </c>
      <c r="J1088" s="11" t="s">
        <v>2217</v>
      </c>
      <c r="K1088" s="15" t="str">
        <f>HYPERLINK("https://drive.google.com/open?id=1OzYN2u1j9VdmpTJ38VYqUYLqHZqnxRmI","АА000118")</f>
        <v>АА000118</v>
      </c>
      <c r="L1088" s="15" t="str">
        <f>HYPERLINK("https://drive.google.com/open?id=143tckNE9fSaHqxdE2evKyzAJKTDEsTZU","Сертифікат")</f>
        <v>Сертифікат</v>
      </c>
      <c r="M1088" s="11" t="s">
        <v>26</v>
      </c>
      <c r="N1088" s="10">
        <v>1677.4</v>
      </c>
      <c r="O1088" s="10">
        <v>5099</v>
      </c>
      <c r="P1088" s="10">
        <v>3</v>
      </c>
      <c r="Q1088" s="10">
        <v>143.30000000000001</v>
      </c>
      <c r="R1088" s="10" t="s">
        <v>66</v>
      </c>
      <c r="S1088" s="10">
        <v>770</v>
      </c>
      <c r="T1088" s="10">
        <v>243.8</v>
      </c>
      <c r="U1088" s="29">
        <v>43801</v>
      </c>
      <c r="V1088" s="66">
        <v>47453</v>
      </c>
      <c r="W1088" s="10" t="s">
        <v>10</v>
      </c>
      <c r="X1088" s="10" t="s">
        <v>17</v>
      </c>
    </row>
    <row r="1089" spans="1:24" ht="50.25" customHeight="1" x14ac:dyDescent="0.25">
      <c r="A1089" s="11">
        <f t="shared" si="70"/>
        <v>1086</v>
      </c>
      <c r="B1089" s="11" t="s">
        <v>2862</v>
      </c>
      <c r="C1089" s="10" t="s">
        <v>2863</v>
      </c>
      <c r="D1089" s="10" t="s">
        <v>2864</v>
      </c>
      <c r="E1089" s="10" t="s">
        <v>7</v>
      </c>
      <c r="F1089" s="11" t="s">
        <v>2865</v>
      </c>
      <c r="G1089" s="11"/>
      <c r="H1089" s="11"/>
      <c r="I1089" s="11" t="s">
        <v>1962</v>
      </c>
      <c r="J1089" s="11" t="s">
        <v>1520</v>
      </c>
      <c r="K1089" s="15" t="str">
        <f>HYPERLINK("https://drive.google.com/open?id=1h7SxjX8kLI3GcDpujJYP0DlexJilmQJ7","АР №000071")</f>
        <v>АР №000071</v>
      </c>
      <c r="L1089" s="15" t="str">
        <f>HYPERLINK("https://drive.google.com/open?id=17Uddj8mRpDeCDLo7pjbibKznw2eWJ76r","Сертифікат")</f>
        <v>Сертифікат</v>
      </c>
      <c r="M1089" s="11" t="s">
        <v>18</v>
      </c>
      <c r="N1089" s="10">
        <v>907.66</v>
      </c>
      <c r="O1089" s="10">
        <v>2587</v>
      </c>
      <c r="P1089" s="10">
        <v>3</v>
      </c>
      <c r="Q1089" s="10">
        <v>59.66</v>
      </c>
      <c r="R1089" s="10" t="s">
        <v>66</v>
      </c>
      <c r="S1089" s="10">
        <v>129</v>
      </c>
      <c r="T1089" s="10">
        <v>24.4</v>
      </c>
      <c r="U1089" s="66">
        <v>43803</v>
      </c>
      <c r="V1089" s="66">
        <v>47455</v>
      </c>
      <c r="W1089" s="10" t="s">
        <v>10</v>
      </c>
      <c r="X1089" s="10" t="s">
        <v>17</v>
      </c>
    </row>
    <row r="1090" spans="1:24" ht="50.25" customHeight="1" x14ac:dyDescent="0.25">
      <c r="A1090" s="11">
        <f t="shared" si="70"/>
        <v>1087</v>
      </c>
      <c r="B1090" s="11" t="s">
        <v>2866</v>
      </c>
      <c r="C1090" s="10" t="s">
        <v>517</v>
      </c>
      <c r="D1090" s="10" t="s">
        <v>518</v>
      </c>
      <c r="E1090" s="10" t="s">
        <v>0</v>
      </c>
      <c r="F1090" s="11" t="s">
        <v>2867</v>
      </c>
      <c r="G1090" s="11"/>
      <c r="H1090" s="11"/>
      <c r="I1090" s="11" t="s">
        <v>1962</v>
      </c>
      <c r="J1090" s="11" t="s">
        <v>1875</v>
      </c>
      <c r="K1090" s="15" t="str">
        <f>HYPERLINK("https://drive.google.com/open?id=1qRTmAaTopabII0GXgNzXtX1Xc9SNMihg","АА000067")</f>
        <v>АА000067</v>
      </c>
      <c r="L1090" s="15" t="str">
        <f>HYPERLINK("https://drive.google.com/open?id=1NZX9WPcFs3VDbup-sneuPW1FZg7I2fPm","Сертифікат")</f>
        <v>Сертифікат</v>
      </c>
      <c r="M1090" s="11" t="s">
        <v>18</v>
      </c>
      <c r="N1090" s="10">
        <v>8978</v>
      </c>
      <c r="O1090" s="10">
        <v>24241</v>
      </c>
      <c r="P1090" s="10">
        <v>11</v>
      </c>
      <c r="Q1090" s="10">
        <v>84.5</v>
      </c>
      <c r="R1090" s="10" t="s">
        <v>57</v>
      </c>
      <c r="S1090" s="10">
        <v>132.30000000000001</v>
      </c>
      <c r="T1090" s="10">
        <v>25.6</v>
      </c>
      <c r="U1090" s="66">
        <v>43801</v>
      </c>
      <c r="V1090" s="66">
        <v>47453</v>
      </c>
      <c r="W1090" s="10" t="s">
        <v>10</v>
      </c>
      <c r="X1090" s="10" t="s">
        <v>17</v>
      </c>
    </row>
    <row r="1091" spans="1:24" ht="50.25" customHeight="1" x14ac:dyDescent="0.25">
      <c r="A1091" s="11">
        <f t="shared" si="70"/>
        <v>1088</v>
      </c>
      <c r="B1091" s="11" t="s">
        <v>2868</v>
      </c>
      <c r="C1091" s="10" t="s">
        <v>2175</v>
      </c>
      <c r="D1091" s="10" t="s">
        <v>142</v>
      </c>
      <c r="E1091" s="10" t="s">
        <v>2</v>
      </c>
      <c r="F1091" s="11" t="s">
        <v>2869</v>
      </c>
      <c r="G1091" s="11"/>
      <c r="H1091" s="11"/>
      <c r="I1091" s="11">
        <v>2019</v>
      </c>
      <c r="J1091" s="11" t="s">
        <v>158</v>
      </c>
      <c r="K1091" s="15" t="str">
        <f>HYPERLINK("https://drive.google.com/open?id=1pEg5agn5jdMhfl4Pa1dRPaxDB2kT59cP","ЕЕ-005-10-18")</f>
        <v>ЕЕ-005-10-18</v>
      </c>
      <c r="L1091" s="15" t="str">
        <f>HYPERLINK("https://drive.google.com/open?id=1McHi96jKpldIc7oe53CvLeOQk5uLLlPy","Сертифікат")</f>
        <v>Сертифікат</v>
      </c>
      <c r="M1091" s="11" t="s">
        <v>18</v>
      </c>
      <c r="N1091" s="10">
        <v>5061.2</v>
      </c>
      <c r="O1091" s="10">
        <v>19422</v>
      </c>
      <c r="P1091" s="10">
        <v>3</v>
      </c>
      <c r="Q1091" s="10">
        <v>59.5</v>
      </c>
      <c r="R1091" s="10" t="s">
        <v>66</v>
      </c>
      <c r="S1091" s="10">
        <v>268</v>
      </c>
      <c r="T1091" s="10">
        <v>50</v>
      </c>
      <c r="U1091" s="29">
        <v>43790</v>
      </c>
      <c r="V1091" s="66">
        <v>47442</v>
      </c>
      <c r="W1091" s="10" t="s">
        <v>10</v>
      </c>
      <c r="X1091" s="10" t="s">
        <v>17</v>
      </c>
    </row>
    <row r="1092" spans="1:24" ht="50.25" customHeight="1" x14ac:dyDescent="0.25">
      <c r="A1092" s="11">
        <f t="shared" si="70"/>
        <v>1089</v>
      </c>
      <c r="B1092" s="11" t="s">
        <v>2870</v>
      </c>
      <c r="C1092" s="10" t="s">
        <v>2814</v>
      </c>
      <c r="D1092" s="10" t="s">
        <v>442</v>
      </c>
      <c r="E1092" s="10" t="s">
        <v>0</v>
      </c>
      <c r="F1092" s="11" t="s">
        <v>0</v>
      </c>
      <c r="G1092" s="11"/>
      <c r="H1092" s="11"/>
      <c r="I1092" s="11" t="s">
        <v>1962</v>
      </c>
      <c r="J1092" s="11" t="s">
        <v>2016</v>
      </c>
      <c r="K1092" s="15" t="str">
        <f>HYPERLINK("https://drive.google.com/open?id=1NDvr0vu80IIwRY2k-kYSYk4ErtrruV_6","ХПІ.00015")</f>
        <v>ХПІ.00015</v>
      </c>
      <c r="L1092" s="15" t="str">
        <f>HYPERLINK("https://drive.google.com/open?id=1m8eMcSD9iG_W5Pw6_hjn9NcB4GbJBKiN","Сертифікат")</f>
        <v>Сертифікат</v>
      </c>
      <c r="M1092" s="11" t="s">
        <v>15</v>
      </c>
      <c r="N1092" s="10">
        <v>4719.5600000000004</v>
      </c>
      <c r="O1092" s="10">
        <v>14475.2</v>
      </c>
      <c r="P1092" s="10">
        <v>8</v>
      </c>
      <c r="Q1092" s="10">
        <v>72.149000000000001</v>
      </c>
      <c r="R1092" s="10" t="s">
        <v>57</v>
      </c>
      <c r="S1092" s="10">
        <v>92.838999999999999</v>
      </c>
      <c r="T1092" s="10">
        <v>18.568000000000001</v>
      </c>
      <c r="U1092" s="66">
        <v>43801</v>
      </c>
      <c r="V1092" s="66">
        <v>47453</v>
      </c>
      <c r="W1092" s="10" t="s">
        <v>13</v>
      </c>
      <c r="X1092" s="10" t="s">
        <v>17</v>
      </c>
    </row>
    <row r="1093" spans="1:24" ht="50.25" customHeight="1" x14ac:dyDescent="0.25">
      <c r="A1093" s="11">
        <f t="shared" si="70"/>
        <v>1090</v>
      </c>
      <c r="B1093" s="11" t="s">
        <v>2871</v>
      </c>
      <c r="C1093" s="10" t="s">
        <v>2768</v>
      </c>
      <c r="D1093" s="10" t="s">
        <v>103</v>
      </c>
      <c r="E1093" s="10" t="s">
        <v>3</v>
      </c>
      <c r="F1093" s="11" t="s">
        <v>2872</v>
      </c>
      <c r="G1093" s="11"/>
      <c r="H1093" s="11"/>
      <c r="I1093" s="11">
        <v>1886</v>
      </c>
      <c r="J1093" s="11" t="s">
        <v>1504</v>
      </c>
      <c r="K1093" s="15" t="str">
        <f t="shared" ref="K1093:K1094" si="78">HYPERLINK("https://drive.google.com/open?id=1cNdHo19T35eklBUZY_qj1BVJ98P3D_u8","АА000071")</f>
        <v>АА000071</v>
      </c>
      <c r="L1093" s="15" t="str">
        <f>HYPERLINK("https://drive.google.com/open?id=1yicEXDipbVkWd7sG-vH8cq7Emm6YQIzn","Сертифікат")</f>
        <v>Сертифікат</v>
      </c>
      <c r="M1093" s="11" t="s">
        <v>26</v>
      </c>
      <c r="N1093" s="10">
        <v>2377</v>
      </c>
      <c r="O1093" s="10">
        <v>645</v>
      </c>
      <c r="P1093" s="10">
        <v>1</v>
      </c>
      <c r="Q1093" s="10">
        <v>124.9</v>
      </c>
      <c r="R1093" s="10" t="s">
        <v>66</v>
      </c>
      <c r="S1093" s="10">
        <v>513.4</v>
      </c>
      <c r="T1093" s="10">
        <v>182</v>
      </c>
      <c r="U1093" s="66">
        <v>43802</v>
      </c>
      <c r="V1093" s="66">
        <v>47454</v>
      </c>
      <c r="W1093" s="10" t="s">
        <v>10</v>
      </c>
      <c r="X1093" s="10" t="s">
        <v>17</v>
      </c>
    </row>
    <row r="1094" spans="1:24" ht="50.25" customHeight="1" x14ac:dyDescent="0.25">
      <c r="A1094" s="11">
        <f t="shared" si="70"/>
        <v>1091</v>
      </c>
      <c r="B1094" s="11" t="s">
        <v>2873</v>
      </c>
      <c r="C1094" s="10" t="s">
        <v>2874</v>
      </c>
      <c r="D1094" s="10" t="s">
        <v>69</v>
      </c>
      <c r="E1094" s="10" t="s">
        <v>3</v>
      </c>
      <c r="F1094" s="11" t="s">
        <v>2875</v>
      </c>
      <c r="G1094" s="11"/>
      <c r="H1094" s="11"/>
      <c r="I1094" s="11">
        <v>1979</v>
      </c>
      <c r="J1094" s="11" t="s">
        <v>1504</v>
      </c>
      <c r="K1094" s="15" t="str">
        <f t="shared" si="78"/>
        <v>АА000071</v>
      </c>
      <c r="L1094" s="15" t="str">
        <f>HYPERLINK("https://drive.google.com/open?id=1Fo1itQlMe5swPRAd0eys9zF3pJQhscI2","Сертифікат")</f>
        <v>Сертифікат</v>
      </c>
      <c r="M1094" s="11" t="s">
        <v>26</v>
      </c>
      <c r="N1094" s="10">
        <v>1037.9000000000001</v>
      </c>
      <c r="O1094" s="10">
        <v>3221</v>
      </c>
      <c r="P1094" s="10">
        <v>2</v>
      </c>
      <c r="Q1094" s="10">
        <v>146.1</v>
      </c>
      <c r="R1094" s="10" t="s">
        <v>66</v>
      </c>
      <c r="S1094" s="10">
        <v>545.79999999999995</v>
      </c>
      <c r="T1094" s="10">
        <v>195.6</v>
      </c>
      <c r="U1094" s="66">
        <v>43804</v>
      </c>
      <c r="V1094" s="66">
        <v>47456</v>
      </c>
      <c r="W1094" s="10" t="s">
        <v>10</v>
      </c>
      <c r="X1094" s="10" t="s">
        <v>17</v>
      </c>
    </row>
    <row r="1095" spans="1:24" ht="50.25" customHeight="1" x14ac:dyDescent="0.25">
      <c r="A1095" s="11">
        <f t="shared" si="70"/>
        <v>1092</v>
      </c>
      <c r="B1095" s="11" t="s">
        <v>2876</v>
      </c>
      <c r="C1095" s="10" t="s">
        <v>2877</v>
      </c>
      <c r="D1095" s="10" t="s">
        <v>75</v>
      </c>
      <c r="E1095" s="10" t="s">
        <v>3</v>
      </c>
      <c r="F1095" s="11" t="s">
        <v>1311</v>
      </c>
      <c r="G1095" s="11"/>
      <c r="H1095" s="11"/>
      <c r="I1095" s="11" t="s">
        <v>2878</v>
      </c>
      <c r="J1095" s="11" t="s">
        <v>2879</v>
      </c>
      <c r="K1095" s="15" t="str">
        <f>HYPERLINK("https://drive.google.com/open?id=1Vf5tgeSApVdx5VyxxSqGvKJIgzOG3IW6","ЕЕ00056")</f>
        <v>ЕЕ00056</v>
      </c>
      <c r="L1095" s="15" t="str">
        <f>HYPERLINK("https://drive.google.com/open?id=1xSJST3xo2EIhvlHEi0OTj_yRf-zeShIH","Сертифікат")</f>
        <v>Сертифікат</v>
      </c>
      <c r="M1095" s="11" t="s">
        <v>20</v>
      </c>
      <c r="N1095" s="10">
        <v>543.13</v>
      </c>
      <c r="O1095" s="10">
        <v>1629.39</v>
      </c>
      <c r="P1095" s="10">
        <v>1</v>
      </c>
      <c r="Q1095" s="10">
        <v>36.08</v>
      </c>
      <c r="R1095" s="10" t="s">
        <v>66</v>
      </c>
      <c r="S1095" s="10">
        <v>253.9</v>
      </c>
      <c r="T1095" s="10">
        <v>46.4</v>
      </c>
      <c r="U1095" s="66">
        <v>43798</v>
      </c>
      <c r="V1095" s="66">
        <v>47450</v>
      </c>
      <c r="W1095" s="10" t="s">
        <v>13</v>
      </c>
      <c r="X1095" s="10" t="s">
        <v>17</v>
      </c>
    </row>
    <row r="1096" spans="1:24" ht="50.25" customHeight="1" x14ac:dyDescent="0.25">
      <c r="A1096" s="11">
        <f t="shared" si="70"/>
        <v>1093</v>
      </c>
      <c r="B1096" s="11" t="s">
        <v>1180</v>
      </c>
      <c r="C1096" s="10" t="s">
        <v>68</v>
      </c>
      <c r="D1096" s="10" t="s">
        <v>69</v>
      </c>
      <c r="E1096" s="10" t="s">
        <v>0</v>
      </c>
      <c r="F1096" s="11" t="s">
        <v>2880</v>
      </c>
      <c r="G1096" s="11"/>
      <c r="H1096" s="11"/>
      <c r="I1096" s="11">
        <v>1990</v>
      </c>
      <c r="J1096" s="11" t="s">
        <v>1057</v>
      </c>
      <c r="K1096" s="15" t="str">
        <f>HYPERLINK("https://drive.google.com/open?id=1jOJ8C4qs2yVEI7j7G_2k_QwYSBK43oV5","ЕЕ-024-02-19")</f>
        <v>ЕЕ-024-02-19</v>
      </c>
      <c r="L1096" s="15" t="str">
        <f>HYPERLINK("https://drive.google.com/open?id=11rx83RhJG-QaGShHN4Uisj69rdwQ_xDx","Сертифікат")</f>
        <v>Сертифікат</v>
      </c>
      <c r="M1096" s="11" t="s">
        <v>26</v>
      </c>
      <c r="N1096" s="21" t="s">
        <v>2881</v>
      </c>
      <c r="O1096" s="10">
        <v>3130.7</v>
      </c>
      <c r="P1096" s="10">
        <v>5</v>
      </c>
      <c r="Q1096" s="10">
        <v>287.2</v>
      </c>
      <c r="R1096" s="10" t="s">
        <v>66</v>
      </c>
      <c r="S1096" s="10">
        <v>412.3</v>
      </c>
      <c r="T1096" s="10">
        <v>81.8</v>
      </c>
      <c r="U1096" s="66">
        <v>43803</v>
      </c>
      <c r="V1096" s="66">
        <v>47455</v>
      </c>
      <c r="W1096" s="10" t="s">
        <v>10</v>
      </c>
      <c r="X1096" s="10" t="s">
        <v>17</v>
      </c>
    </row>
    <row r="1097" spans="1:24" ht="50.25" customHeight="1" x14ac:dyDescent="0.25">
      <c r="A1097" s="11">
        <f t="shared" si="70"/>
        <v>1094</v>
      </c>
      <c r="B1097" s="11" t="s">
        <v>2882</v>
      </c>
      <c r="C1097" s="10" t="s">
        <v>243</v>
      </c>
      <c r="D1097" s="10" t="s">
        <v>238</v>
      </c>
      <c r="E1097" s="10" t="s">
        <v>0</v>
      </c>
      <c r="F1097" s="11" t="s">
        <v>1009</v>
      </c>
      <c r="G1097" s="11"/>
      <c r="H1097" s="11"/>
      <c r="I1097" s="11" t="s">
        <v>1394</v>
      </c>
      <c r="J1097" s="11" t="s">
        <v>2217</v>
      </c>
      <c r="K1097" s="15" t="str">
        <f>HYPERLINK("https://drive.google.com/open?id=1OzYN2u1j9VdmpTJ38VYqUYLqHZqnxRmI","АА000118")</f>
        <v>АА000118</v>
      </c>
      <c r="L1097" s="15" t="str">
        <f>HYPERLINK("https://drive.google.com/open?id=1gNe0xARFB26-17RHiYJ7EE11spRW7WjL","Сертифікат")</f>
        <v>Сертифікат</v>
      </c>
      <c r="M1097" s="11" t="s">
        <v>18</v>
      </c>
      <c r="N1097" s="10">
        <v>10046.299999999999</v>
      </c>
      <c r="O1097" s="10">
        <v>32952</v>
      </c>
      <c r="P1097" s="10" t="s">
        <v>2883</v>
      </c>
      <c r="Q1097" s="10">
        <v>85.8</v>
      </c>
      <c r="R1097" s="10" t="s">
        <v>57</v>
      </c>
      <c r="S1097" s="10">
        <v>184</v>
      </c>
      <c r="T1097" s="10">
        <v>66.2</v>
      </c>
      <c r="U1097" s="66">
        <v>43803</v>
      </c>
      <c r="V1097" s="66">
        <v>47455</v>
      </c>
      <c r="W1097" s="10" t="s">
        <v>10</v>
      </c>
      <c r="X1097" s="10" t="s">
        <v>17</v>
      </c>
    </row>
    <row r="1098" spans="1:24" ht="50.25" customHeight="1" x14ac:dyDescent="0.25">
      <c r="A1098" s="11">
        <f t="shared" si="70"/>
        <v>1095</v>
      </c>
      <c r="B1098" s="11" t="s">
        <v>2884</v>
      </c>
      <c r="C1098" s="10" t="s">
        <v>1589</v>
      </c>
      <c r="D1098" s="10" t="s">
        <v>485</v>
      </c>
      <c r="E1098" s="10" t="s">
        <v>3</v>
      </c>
      <c r="F1098" s="11" t="s">
        <v>2885</v>
      </c>
      <c r="G1098" s="11"/>
      <c r="H1098" s="11"/>
      <c r="I1098" s="11">
        <v>2005</v>
      </c>
      <c r="J1098" s="11" t="s">
        <v>2886</v>
      </c>
      <c r="K1098" s="51" t="str">
        <f>HYPERLINK("https://drive.google.com/open?id=1TE4jVZBZCRbSD2VYoISPLh8Au66nBZh8","ОД 02071010/0933-18")</f>
        <v>ОД 02071010/0933-18</v>
      </c>
      <c r="L1098" s="15" t="str">
        <f>HYPERLINK("https://drive.google.com/open?id=1iG4Z9Fl6LZS82NJux8Th0E4S60CRtY8o","Сертифікат")</f>
        <v>Сертифікат</v>
      </c>
      <c r="M1098" s="11" t="s">
        <v>20</v>
      </c>
      <c r="N1098" s="10">
        <v>6290</v>
      </c>
      <c r="O1098" s="10">
        <v>18867</v>
      </c>
      <c r="P1098" s="10">
        <v>10</v>
      </c>
      <c r="Q1098" s="10">
        <v>37.700000000000003</v>
      </c>
      <c r="R1098" s="10" t="s">
        <v>66</v>
      </c>
      <c r="S1098" s="10">
        <v>209</v>
      </c>
      <c r="T1098" s="10">
        <v>10.3</v>
      </c>
      <c r="U1098" s="66">
        <v>43797</v>
      </c>
      <c r="V1098" s="66">
        <v>47449</v>
      </c>
      <c r="W1098" s="10" t="s">
        <v>13</v>
      </c>
      <c r="X1098" s="10" t="s">
        <v>17</v>
      </c>
    </row>
    <row r="1099" spans="1:24" ht="50.25" customHeight="1" x14ac:dyDescent="0.25">
      <c r="A1099" s="11">
        <f t="shared" si="70"/>
        <v>1096</v>
      </c>
      <c r="B1099" s="11" t="s">
        <v>2887</v>
      </c>
      <c r="C1099" s="10" t="s">
        <v>441</v>
      </c>
      <c r="D1099" s="10" t="s">
        <v>442</v>
      </c>
      <c r="E1099" s="10" t="s">
        <v>0</v>
      </c>
      <c r="F1099" s="11" t="s">
        <v>2888</v>
      </c>
      <c r="G1099" s="11"/>
      <c r="H1099" s="11"/>
      <c r="I1099" s="11" t="s">
        <v>157</v>
      </c>
      <c r="J1099" s="11" t="s">
        <v>732</v>
      </c>
      <c r="K1099" s="51" t="str">
        <f>HYPERLINK("https://drive.google.com/open?id=1YmIUNUHq4P-kOoyLjfDDMpvQv5hFDMTd","ОРІ-АВ00010")</f>
        <v>ОРІ-АВ00010</v>
      </c>
      <c r="L1099" s="15" t="str">
        <f>HYPERLINK("https://drive.google.com/open?id=1m5Ykj0kpyxfqpfxHEN7R1v_JkWEFiEAH","Сертифікат")</f>
        <v>Сертифікат</v>
      </c>
      <c r="M1099" s="11" t="s">
        <v>18</v>
      </c>
      <c r="N1099" s="10">
        <v>8915.69</v>
      </c>
      <c r="O1099" s="10">
        <v>29868.5</v>
      </c>
      <c r="P1099" s="10">
        <v>21</v>
      </c>
      <c r="Q1099" s="10">
        <v>84.6</v>
      </c>
      <c r="R1099" s="10" t="s">
        <v>57</v>
      </c>
      <c r="S1099" s="10">
        <v>153</v>
      </c>
      <c r="T1099" s="10">
        <v>30</v>
      </c>
      <c r="U1099" s="66">
        <v>43804</v>
      </c>
      <c r="V1099" s="66">
        <v>47456</v>
      </c>
      <c r="W1099" s="10" t="s">
        <v>10</v>
      </c>
      <c r="X1099" s="10" t="s">
        <v>17</v>
      </c>
    </row>
    <row r="1100" spans="1:24" ht="50.25" customHeight="1" x14ac:dyDescent="0.25">
      <c r="A1100" s="11">
        <f t="shared" si="70"/>
        <v>1097</v>
      </c>
      <c r="B1100" s="11" t="s">
        <v>2889</v>
      </c>
      <c r="C1100" s="10" t="s">
        <v>243</v>
      </c>
      <c r="D1100" s="10" t="s">
        <v>238</v>
      </c>
      <c r="E1100" s="10" t="s">
        <v>0</v>
      </c>
      <c r="F1100" s="11" t="s">
        <v>1009</v>
      </c>
      <c r="G1100" s="11"/>
      <c r="H1100" s="11"/>
      <c r="I1100" s="11" t="s">
        <v>1336</v>
      </c>
      <c r="J1100" s="11" t="s">
        <v>2217</v>
      </c>
      <c r="K1100" s="15" t="str">
        <f>HYPERLINK("https://drive.google.com/open?id=1OzYN2u1j9VdmpTJ38VYqUYLqHZqnxRmI","АА000118")</f>
        <v>АА000118</v>
      </c>
      <c r="L1100" s="15" t="str">
        <f>HYPERLINK("https://drive.google.com/open?id=1clIjKwp5J76U2-x_ipyPUZBuZSjiFnDw","Сертифікат")</f>
        <v>Сертифікат</v>
      </c>
      <c r="M1100" s="11" t="s">
        <v>18</v>
      </c>
      <c r="N1100" s="10">
        <v>10403.299999999999</v>
      </c>
      <c r="O1100" s="10">
        <v>32458</v>
      </c>
      <c r="P1100" s="10">
        <v>7</v>
      </c>
      <c r="Q1100" s="10">
        <v>85.4</v>
      </c>
      <c r="R1100" s="10" t="s">
        <v>57</v>
      </c>
      <c r="S1100" s="10">
        <v>169.7</v>
      </c>
      <c r="T1100" s="10">
        <v>58.3</v>
      </c>
      <c r="U1100" s="66">
        <v>43803</v>
      </c>
      <c r="V1100" s="66">
        <v>47456</v>
      </c>
      <c r="W1100" s="10" t="s">
        <v>10</v>
      </c>
      <c r="X1100" s="10" t="s">
        <v>17</v>
      </c>
    </row>
    <row r="1101" spans="1:24" ht="50.25" customHeight="1" x14ac:dyDescent="0.25">
      <c r="A1101" s="11">
        <f t="shared" si="70"/>
        <v>1098</v>
      </c>
      <c r="B1101" s="11" t="s">
        <v>2890</v>
      </c>
      <c r="C1101" s="10" t="s">
        <v>2891</v>
      </c>
      <c r="D1101" s="10" t="s">
        <v>1295</v>
      </c>
      <c r="E1101" s="10" t="s">
        <v>2</v>
      </c>
      <c r="F1101" s="11" t="s">
        <v>2892</v>
      </c>
      <c r="G1101" s="11"/>
      <c r="H1101" s="11"/>
      <c r="I1101" s="11" t="s">
        <v>2893</v>
      </c>
      <c r="J1101" s="11" t="s">
        <v>739</v>
      </c>
      <c r="K1101" s="15" t="str">
        <f>HYPERLINK("https://drive.google.com/open?id=1zVrpIuY14Z4qtH7jTtKij9w-zFpVz9Q_","ЕЕ00004")</f>
        <v>ЕЕ00004</v>
      </c>
      <c r="L1101" s="15" t="str">
        <f>HYPERLINK("https://drive.google.com/open?id=1DqUMmHIo3sYGH1bHZsIzSWLFdanrRzkV","Сертифікат")</f>
        <v>Сертифікат</v>
      </c>
      <c r="M1101" s="11" t="s">
        <v>18</v>
      </c>
      <c r="N1101" s="10">
        <v>367.38</v>
      </c>
      <c r="O1101" s="10">
        <v>1221.54</v>
      </c>
      <c r="P1101" s="10">
        <v>2</v>
      </c>
      <c r="Q1101" s="10">
        <v>58.71</v>
      </c>
      <c r="R1101" s="10" t="s">
        <v>66</v>
      </c>
      <c r="S1101" s="10">
        <v>151.08000000000001</v>
      </c>
      <c r="T1101" s="10">
        <v>28.2</v>
      </c>
      <c r="U1101" s="66">
        <v>43798</v>
      </c>
      <c r="V1101" s="66">
        <v>47450</v>
      </c>
      <c r="W1101" s="10" t="s">
        <v>13</v>
      </c>
      <c r="X1101" s="10" t="s">
        <v>17</v>
      </c>
    </row>
    <row r="1102" spans="1:24" ht="50.25" customHeight="1" x14ac:dyDescent="0.25">
      <c r="A1102" s="11">
        <f t="shared" si="70"/>
        <v>1099</v>
      </c>
      <c r="B1102" s="11" t="s">
        <v>2894</v>
      </c>
      <c r="C1102" s="10" t="s">
        <v>2768</v>
      </c>
      <c r="D1102" s="10" t="s">
        <v>103</v>
      </c>
      <c r="E1102" s="10" t="s">
        <v>3</v>
      </c>
      <c r="F1102" s="11" t="s">
        <v>2895</v>
      </c>
      <c r="G1102" s="11"/>
      <c r="H1102" s="11"/>
      <c r="I1102" s="11" t="s">
        <v>2896</v>
      </c>
      <c r="J1102" s="11" t="s">
        <v>1504</v>
      </c>
      <c r="K1102" s="15" t="str">
        <f t="shared" ref="K1102:K1103" si="79">HYPERLINK("https://drive.google.com/open?id=1cNdHo19T35eklBUZY_qj1BVJ98P3D_u8","АА000071")</f>
        <v>АА000071</v>
      </c>
      <c r="L1102" s="15" t="str">
        <f>HYPERLINK("https://drive.google.com/open?id=1UCv-FQGusTiNdzmB6wkBaCGeEXqx2H57","Сертифікат")</f>
        <v>Сертифікат</v>
      </c>
      <c r="M1102" s="11" t="s">
        <v>26</v>
      </c>
      <c r="N1102" s="10">
        <v>6455.5</v>
      </c>
      <c r="O1102" s="10">
        <v>24020</v>
      </c>
      <c r="P1102" s="10" t="s">
        <v>2897</v>
      </c>
      <c r="Q1102" s="10">
        <v>127.5</v>
      </c>
      <c r="R1102" s="10" t="s">
        <v>66</v>
      </c>
      <c r="S1102" s="10">
        <v>671.5</v>
      </c>
      <c r="T1102" s="10">
        <v>187.2</v>
      </c>
      <c r="U1102" s="66">
        <v>43805</v>
      </c>
      <c r="V1102" s="66">
        <v>47457</v>
      </c>
      <c r="W1102" s="10" t="s">
        <v>10</v>
      </c>
      <c r="X1102" s="10" t="s">
        <v>17</v>
      </c>
    </row>
    <row r="1103" spans="1:24" ht="50.25" customHeight="1" x14ac:dyDescent="0.25">
      <c r="A1103" s="11">
        <f t="shared" si="70"/>
        <v>1100</v>
      </c>
      <c r="B1103" s="11" t="s">
        <v>2898</v>
      </c>
      <c r="C1103" s="10" t="s">
        <v>2899</v>
      </c>
      <c r="D1103" s="10" t="s">
        <v>103</v>
      </c>
      <c r="E1103" s="10" t="s">
        <v>3</v>
      </c>
      <c r="F1103" s="11" t="s">
        <v>2900</v>
      </c>
      <c r="G1103" s="11"/>
      <c r="H1103" s="11"/>
      <c r="I1103" s="11">
        <v>1941</v>
      </c>
      <c r="J1103" s="11" t="s">
        <v>1504</v>
      </c>
      <c r="K1103" s="15" t="str">
        <f t="shared" si="79"/>
        <v>АА000071</v>
      </c>
      <c r="L1103" s="15" t="str">
        <f>HYPERLINK("https://drive.google.com/open?id=1NRXkOFlCcikD8xIzG-wMwcecvZMsT4pg","Сертифікат")</f>
        <v>Сертифікат</v>
      </c>
      <c r="M1103" s="11" t="s">
        <v>26</v>
      </c>
      <c r="N1103" s="10">
        <v>1876</v>
      </c>
      <c r="O1103" s="10">
        <v>6590</v>
      </c>
      <c r="P1103" s="10">
        <v>2</v>
      </c>
      <c r="Q1103" s="10">
        <v>207.7</v>
      </c>
      <c r="R1103" s="10" t="s">
        <v>66</v>
      </c>
      <c r="S1103" s="10">
        <v>833.4</v>
      </c>
      <c r="T1103" s="10">
        <v>295.5</v>
      </c>
      <c r="U1103" s="66">
        <v>43804</v>
      </c>
      <c r="V1103" s="66">
        <v>47456</v>
      </c>
      <c r="W1103" s="10" t="s">
        <v>10</v>
      </c>
      <c r="X1103" s="10" t="s">
        <v>17</v>
      </c>
    </row>
    <row r="1104" spans="1:24" ht="50.25" customHeight="1" x14ac:dyDescent="0.25">
      <c r="A1104" s="11">
        <f t="shared" si="70"/>
        <v>1101</v>
      </c>
      <c r="B1104" s="11" t="s">
        <v>2901</v>
      </c>
      <c r="C1104" s="10" t="s">
        <v>182</v>
      </c>
      <c r="D1104" s="10" t="s">
        <v>174</v>
      </c>
      <c r="E1104" s="10" t="s">
        <v>0</v>
      </c>
      <c r="F1104" s="11" t="s">
        <v>2902</v>
      </c>
      <c r="G1104" s="11"/>
      <c r="H1104" s="11"/>
      <c r="I1104" s="11">
        <v>2019</v>
      </c>
      <c r="J1104" s="11" t="s">
        <v>1366</v>
      </c>
      <c r="K1104" s="15" t="str">
        <f>HYPERLINK("https://drive.google.com/open?id=1BbGv4QdH0swgQaFyL0tfO23SD-iBXNqL","АА000054")</f>
        <v>АА000054</v>
      </c>
      <c r="L1104" s="15" t="str">
        <f>HYPERLINK("https://drive.google.com/open?id=1yqel8BQSK44TNPvOp_x89Uo9Efzq0MOY","Сертифікат")</f>
        <v>Сертифікат</v>
      </c>
      <c r="M1104" s="11" t="s">
        <v>18</v>
      </c>
      <c r="N1104" s="10">
        <v>4542.8999999999996</v>
      </c>
      <c r="O1104" s="10">
        <v>13763.95</v>
      </c>
      <c r="P1104" s="10">
        <v>10</v>
      </c>
      <c r="Q1104" s="10">
        <v>74.27</v>
      </c>
      <c r="R1104" s="10" t="s">
        <v>57</v>
      </c>
      <c r="S1104" s="10">
        <v>203.06700000000001</v>
      </c>
      <c r="T1104" s="10">
        <v>37.082000000000001</v>
      </c>
      <c r="U1104" s="66">
        <v>43801</v>
      </c>
      <c r="V1104" s="66">
        <v>47453</v>
      </c>
      <c r="W1104" s="10" t="s">
        <v>13</v>
      </c>
      <c r="X1104" s="10" t="s">
        <v>17</v>
      </c>
    </row>
    <row r="1105" spans="1:24" ht="50.25" customHeight="1" x14ac:dyDescent="0.25">
      <c r="A1105" s="11">
        <f t="shared" si="70"/>
        <v>1102</v>
      </c>
      <c r="B1105" s="11" t="s">
        <v>2903</v>
      </c>
      <c r="C1105" s="10" t="s">
        <v>243</v>
      </c>
      <c r="D1105" s="10" t="s">
        <v>238</v>
      </c>
      <c r="E1105" s="10" t="s">
        <v>0</v>
      </c>
      <c r="F1105" s="11" t="s">
        <v>2904</v>
      </c>
      <c r="G1105" s="11"/>
      <c r="H1105" s="11"/>
      <c r="I1105" s="11" t="s">
        <v>836</v>
      </c>
      <c r="J1105" s="11" t="s">
        <v>209</v>
      </c>
      <c r="K1105" s="15" t="str">
        <f>HYPERLINK("https://drive.google.com/open?id=1nFSy5k_5dEpHD1r7NrzhyR0bvCdUEIlN","СБ-0033")</f>
        <v>СБ-0033</v>
      </c>
      <c r="L1105" s="15" t="str">
        <f>HYPERLINK("https://drive.google.com/open?id=1BTQUlPRpm40tfazcdpRAw7Ai4LEkCRrd","Сертифікат")</f>
        <v>Сертифікат</v>
      </c>
      <c r="M1105" s="11" t="s">
        <v>20</v>
      </c>
      <c r="N1105" s="10">
        <v>9251</v>
      </c>
      <c r="O1105" s="10">
        <v>30552</v>
      </c>
      <c r="P1105" s="10">
        <v>17</v>
      </c>
      <c r="Q1105" s="10">
        <v>104</v>
      </c>
      <c r="R1105" s="10" t="s">
        <v>57</v>
      </c>
      <c r="S1105" s="10">
        <v>172</v>
      </c>
      <c r="T1105" s="10">
        <v>31</v>
      </c>
      <c r="U1105" s="66">
        <v>43803</v>
      </c>
      <c r="V1105" s="66">
        <v>47455</v>
      </c>
      <c r="W1105" s="10" t="s">
        <v>13</v>
      </c>
      <c r="X1105" s="10" t="s">
        <v>17</v>
      </c>
    </row>
    <row r="1106" spans="1:24" ht="50.25" customHeight="1" x14ac:dyDescent="0.25">
      <c r="A1106" s="11">
        <f t="shared" si="70"/>
        <v>1103</v>
      </c>
      <c r="B1106" s="11" t="s">
        <v>2905</v>
      </c>
      <c r="C1106" s="10" t="s">
        <v>2768</v>
      </c>
      <c r="D1106" s="10" t="s">
        <v>103</v>
      </c>
      <c r="E1106" s="10" t="s">
        <v>3</v>
      </c>
      <c r="F1106" s="11" t="s">
        <v>2906</v>
      </c>
      <c r="G1106" s="11"/>
      <c r="H1106" s="11"/>
      <c r="I1106" s="11" t="s">
        <v>2907</v>
      </c>
      <c r="J1106" s="11" t="s">
        <v>1504</v>
      </c>
      <c r="K1106" s="15" t="str">
        <f>HYPERLINK("https://drive.google.com/open?id=1cNdHo19T35eklBUZY_qj1BVJ98P3D_u8","АА000071")</f>
        <v>АА000071</v>
      </c>
      <c r="L1106" s="15" t="str">
        <f>HYPERLINK("https://drive.google.com/open?id=1oO_-BeIib-780cS4PtlsZKAZ8at0sQGZ","Сертифікат")</f>
        <v>Сертифікат</v>
      </c>
      <c r="M1106" s="11" t="s">
        <v>26</v>
      </c>
      <c r="N1106" s="10">
        <v>4084.6</v>
      </c>
      <c r="O1106" s="10">
        <v>13999</v>
      </c>
      <c r="P1106" s="10">
        <v>3</v>
      </c>
      <c r="Q1106" s="10">
        <v>124.2</v>
      </c>
      <c r="R1106" s="10" t="s">
        <v>66</v>
      </c>
      <c r="S1106" s="10">
        <v>163.69999999999999</v>
      </c>
      <c r="T1106" s="10">
        <v>36.799999999999997</v>
      </c>
      <c r="U1106" s="66">
        <v>43804</v>
      </c>
      <c r="V1106" s="66">
        <v>47456</v>
      </c>
      <c r="W1106" s="10" t="s">
        <v>10</v>
      </c>
      <c r="X1106" s="10" t="s">
        <v>17</v>
      </c>
    </row>
    <row r="1107" spans="1:24" ht="50.25" customHeight="1" x14ac:dyDescent="0.25">
      <c r="A1107" s="11">
        <f t="shared" si="70"/>
        <v>1104</v>
      </c>
      <c r="B1107" s="11" t="s">
        <v>2908</v>
      </c>
      <c r="C1107" s="10" t="s">
        <v>2909</v>
      </c>
      <c r="D1107" s="10" t="s">
        <v>75</v>
      </c>
      <c r="E1107" s="10" t="s">
        <v>5</v>
      </c>
      <c r="F1107" s="11" t="s">
        <v>2910</v>
      </c>
      <c r="G1107" s="11"/>
      <c r="H1107" s="11"/>
      <c r="I1107" s="11" t="s">
        <v>2911</v>
      </c>
      <c r="J1107" s="11" t="s">
        <v>1617</v>
      </c>
      <c r="K1107" s="15" t="str">
        <f>HYPERLINK("https://drive.google.com/open?id=1gVjK7Kms_vZzDIaxyBi5Lt_7GawMSOWj","АА000052")</f>
        <v>АА000052</v>
      </c>
      <c r="L1107" s="15" t="str">
        <f>HYPERLINK("https://drive.google.com/open?id=1yfVWtETAItL9Lf35W7rN-VCqFdh7xdcm","Сертифікат")</f>
        <v>Сертифікат</v>
      </c>
      <c r="M1107" s="11" t="s">
        <v>18</v>
      </c>
      <c r="N1107" s="10" t="s">
        <v>2912</v>
      </c>
      <c r="O1107" s="10">
        <v>928.22</v>
      </c>
      <c r="P1107" s="10">
        <v>1</v>
      </c>
      <c r="Q1107" s="10">
        <v>54</v>
      </c>
      <c r="R1107" s="10" t="s">
        <v>66</v>
      </c>
      <c r="S1107" s="10">
        <v>471.9</v>
      </c>
      <c r="T1107" s="10">
        <v>89.6</v>
      </c>
      <c r="U1107" s="66">
        <v>43804</v>
      </c>
      <c r="V1107" s="66">
        <v>47456</v>
      </c>
      <c r="W1107" s="10" t="s">
        <v>10</v>
      </c>
      <c r="X1107" s="10" t="s">
        <v>17</v>
      </c>
    </row>
    <row r="1108" spans="1:24" ht="50.25" customHeight="1" x14ac:dyDescent="0.25">
      <c r="A1108" s="11">
        <f t="shared" si="70"/>
        <v>1105</v>
      </c>
      <c r="B1108" s="11" t="s">
        <v>2913</v>
      </c>
      <c r="C1108" s="10" t="s">
        <v>1507</v>
      </c>
      <c r="D1108" s="10" t="s">
        <v>317</v>
      </c>
      <c r="E1108" s="10" t="s">
        <v>2</v>
      </c>
      <c r="F1108" s="11" t="s">
        <v>2914</v>
      </c>
      <c r="G1108" s="11"/>
      <c r="H1108" s="11"/>
      <c r="I1108" s="11" t="s">
        <v>836</v>
      </c>
      <c r="J1108" s="11" t="s">
        <v>2722</v>
      </c>
      <c r="K1108" s="15" t="str">
        <f>HYPERLINK("https://drive.google.com/open?id=106TiCB86RjqUlX9sxp1smcQ9D-FCH_4I","ЕЕ 00046 ")</f>
        <v xml:space="preserve">ЕЕ 00046 </v>
      </c>
      <c r="L1108" s="15" t="str">
        <f>HYPERLINK("https://drive.google.com/open?id=16iDFQkobBcq2Lkykq8waZmeTjdb5Hdob","Сертифікат")</f>
        <v>Сертифікат</v>
      </c>
      <c r="M1108" s="11" t="s">
        <v>15</v>
      </c>
      <c r="N1108" s="10">
        <v>1775.7</v>
      </c>
      <c r="O1108" s="10">
        <v>5397.5</v>
      </c>
      <c r="P1108" s="10">
        <v>6</v>
      </c>
      <c r="Q1108" s="10">
        <v>42.23</v>
      </c>
      <c r="R1108" s="10" t="s">
        <v>66</v>
      </c>
      <c r="S1108" s="10">
        <v>228.4</v>
      </c>
      <c r="T1108" s="10">
        <v>58.9</v>
      </c>
      <c r="U1108" s="66">
        <v>43796</v>
      </c>
      <c r="V1108" s="66">
        <v>47448</v>
      </c>
      <c r="W1108" s="10" t="s">
        <v>10</v>
      </c>
      <c r="X1108" s="10" t="s">
        <v>17</v>
      </c>
    </row>
    <row r="1109" spans="1:24" ht="50.25" customHeight="1" x14ac:dyDescent="0.25">
      <c r="A1109" s="11">
        <f t="shared" si="70"/>
        <v>1106</v>
      </c>
      <c r="B1109" s="11" t="s">
        <v>2915</v>
      </c>
      <c r="C1109" s="10" t="s">
        <v>2768</v>
      </c>
      <c r="D1109" s="10" t="s">
        <v>103</v>
      </c>
      <c r="E1109" s="10" t="s">
        <v>3</v>
      </c>
      <c r="F1109" s="11" t="s">
        <v>2916</v>
      </c>
      <c r="G1109" s="11"/>
      <c r="H1109" s="11"/>
      <c r="I1109" s="11">
        <v>1970</v>
      </c>
      <c r="J1109" s="11" t="s">
        <v>1504</v>
      </c>
      <c r="K1109" s="15" t="str">
        <f>HYPERLINK("https://drive.google.com/open?id=1cNdHo19T35eklBUZY_qj1BVJ98P3D_u8","АА000071")</f>
        <v>АА000071</v>
      </c>
      <c r="L1109" s="15" t="str">
        <f>HYPERLINK("https://drive.google.com/open?id=1Kl7fLD92V5pHrYmDupJ1E9u1v2QPFocS","Сертифікат")</f>
        <v>Сертифікат</v>
      </c>
      <c r="M1109" s="11" t="s">
        <v>26</v>
      </c>
      <c r="N1109" s="10">
        <v>3828.6</v>
      </c>
      <c r="O1109" s="10">
        <v>13314</v>
      </c>
      <c r="P1109" s="31">
        <v>43526</v>
      </c>
      <c r="Q1109" s="10">
        <v>140.6</v>
      </c>
      <c r="R1109" s="10" t="s">
        <v>66</v>
      </c>
      <c r="S1109" s="10">
        <v>713.9</v>
      </c>
      <c r="T1109" s="10">
        <v>208</v>
      </c>
      <c r="U1109" s="66">
        <v>43804</v>
      </c>
      <c r="V1109" s="66">
        <v>47456</v>
      </c>
      <c r="W1109" s="10" t="s">
        <v>10</v>
      </c>
      <c r="X1109" s="10" t="s">
        <v>17</v>
      </c>
    </row>
    <row r="1110" spans="1:24" ht="50.25" customHeight="1" x14ac:dyDescent="0.25">
      <c r="A1110" s="11">
        <f t="shared" si="70"/>
        <v>1107</v>
      </c>
      <c r="B1110" s="11" t="s">
        <v>2917</v>
      </c>
      <c r="C1110" s="10" t="s">
        <v>243</v>
      </c>
      <c r="D1110" s="10" t="s">
        <v>238</v>
      </c>
      <c r="E1110" s="10" t="s">
        <v>0</v>
      </c>
      <c r="F1110" s="11" t="s">
        <v>2918</v>
      </c>
      <c r="G1110" s="11"/>
      <c r="H1110" s="11"/>
      <c r="I1110" s="11" t="s">
        <v>836</v>
      </c>
      <c r="J1110" s="11" t="s">
        <v>2919</v>
      </c>
      <c r="K1110" s="15" t="str">
        <f>HYPERLINK("https://drive.google.com/open?id=1ehtDZwDQCD7gNv4oaeXXFfuRKNki61Wt","ХПІ-№00004")</f>
        <v>ХПІ-№00004</v>
      </c>
      <c r="L1110" s="15" t="str">
        <f>HYPERLINK("https://drive.google.com/open?id=10d0n2Y-oP6L7WZpboxbVYj1ZjnG5Jl9Q","Сертифікат")</f>
        <v>Сертифікат</v>
      </c>
      <c r="M1110" s="11" t="s">
        <v>18</v>
      </c>
      <c r="N1110" s="10">
        <v>23496</v>
      </c>
      <c r="O1110" s="10">
        <v>70487.7</v>
      </c>
      <c r="P1110" s="10">
        <v>14</v>
      </c>
      <c r="Q1110" s="10">
        <v>85.9</v>
      </c>
      <c r="R1110" s="10" t="s">
        <v>57</v>
      </c>
      <c r="S1110" s="10">
        <v>145.99</v>
      </c>
      <c r="T1110" s="10">
        <v>27.83</v>
      </c>
      <c r="U1110" s="66">
        <v>43805</v>
      </c>
      <c r="V1110" s="66">
        <v>47457</v>
      </c>
      <c r="W1110" s="10" t="s">
        <v>10</v>
      </c>
      <c r="X1110" s="10" t="s">
        <v>17</v>
      </c>
    </row>
    <row r="1111" spans="1:24" ht="50.25" customHeight="1" x14ac:dyDescent="0.25">
      <c r="A1111" s="11">
        <f t="shared" si="70"/>
        <v>1108</v>
      </c>
      <c r="B1111" s="11" t="s">
        <v>2920</v>
      </c>
      <c r="C1111" s="10" t="s">
        <v>246</v>
      </c>
      <c r="D1111" s="10" t="s">
        <v>247</v>
      </c>
      <c r="E1111" s="10" t="s">
        <v>7</v>
      </c>
      <c r="F1111" s="11" t="s">
        <v>2921</v>
      </c>
      <c r="G1111" s="11"/>
      <c r="H1111" s="11"/>
      <c r="I1111" s="11">
        <v>2020</v>
      </c>
      <c r="J1111" s="10" t="s">
        <v>817</v>
      </c>
      <c r="K1111" s="15" t="s">
        <v>818</v>
      </c>
      <c r="L1111" s="15" t="str">
        <f>HYPERLINK("https://drive.google.com/open?id=1tCbO0HWaJ2W37sYNTYS3Zh-PwJX3vk8C","Сертифікат")</f>
        <v>Сертифікат</v>
      </c>
      <c r="M1111" s="11" t="s">
        <v>15</v>
      </c>
      <c r="N1111" s="10">
        <v>1010.41</v>
      </c>
      <c r="O1111" s="10">
        <v>3425.71</v>
      </c>
      <c r="P1111" s="10">
        <v>2</v>
      </c>
      <c r="Q1111" s="10">
        <v>40.18</v>
      </c>
      <c r="R1111" s="10" t="s">
        <v>66</v>
      </c>
      <c r="S1111" s="10">
        <v>859</v>
      </c>
      <c r="T1111" s="10">
        <v>157</v>
      </c>
      <c r="U1111" s="66">
        <v>43805</v>
      </c>
      <c r="V1111" s="66">
        <v>47457</v>
      </c>
      <c r="W1111" s="10" t="s">
        <v>10</v>
      </c>
      <c r="X1111" s="10" t="s">
        <v>17</v>
      </c>
    </row>
    <row r="1112" spans="1:24" ht="50.25" customHeight="1" x14ac:dyDescent="0.25">
      <c r="A1112" s="11">
        <f t="shared" si="70"/>
        <v>1109</v>
      </c>
      <c r="B1112" s="11" t="s">
        <v>2922</v>
      </c>
      <c r="C1112" s="10" t="s">
        <v>2923</v>
      </c>
      <c r="D1112" s="10" t="s">
        <v>103</v>
      </c>
      <c r="E1112" s="10" t="s">
        <v>3</v>
      </c>
      <c r="F1112" s="11" t="s">
        <v>2924</v>
      </c>
      <c r="G1112" s="11"/>
      <c r="H1112" s="11"/>
      <c r="I1112" s="11">
        <v>1990</v>
      </c>
      <c r="J1112" s="11" t="s">
        <v>1504</v>
      </c>
      <c r="K1112" s="15" t="str">
        <f>HYPERLINK("https://drive.google.com/open?id=1cNdHo19T35eklBUZY_qj1BVJ98P3D_u8","АА000071")</f>
        <v>АА000071</v>
      </c>
      <c r="L1112" s="15" t="str">
        <f>HYPERLINK("https://drive.google.com/open?id=1Ezoj91yP5dagsytM2hjB2O7NkeHRl-_s","Сертифікат")</f>
        <v>Сертифікат</v>
      </c>
      <c r="M1112" s="11" t="s">
        <v>26</v>
      </c>
      <c r="N1112" s="10">
        <v>4453.8</v>
      </c>
      <c r="O1112" s="10">
        <v>16600</v>
      </c>
      <c r="P1112" s="10">
        <v>2</v>
      </c>
      <c r="Q1112" s="10">
        <v>104</v>
      </c>
      <c r="R1112" s="10" t="s">
        <v>66</v>
      </c>
      <c r="S1112" s="10">
        <v>477.5</v>
      </c>
      <c r="T1112" s="10">
        <v>172.3</v>
      </c>
      <c r="U1112" s="66">
        <v>43804</v>
      </c>
      <c r="V1112" s="66">
        <v>47456</v>
      </c>
      <c r="W1112" s="10" t="s">
        <v>10</v>
      </c>
      <c r="X1112" s="10" t="s">
        <v>17</v>
      </c>
    </row>
    <row r="1113" spans="1:24" ht="50.25" customHeight="1" x14ac:dyDescent="0.25">
      <c r="A1113" s="11">
        <f t="shared" si="70"/>
        <v>1110</v>
      </c>
      <c r="B1113" s="11" t="s">
        <v>2925</v>
      </c>
      <c r="C1113" s="10" t="s">
        <v>2926</v>
      </c>
      <c r="D1113" s="10" t="s">
        <v>571</v>
      </c>
      <c r="E1113" s="10" t="s">
        <v>2</v>
      </c>
      <c r="F1113" s="11" t="s">
        <v>2927</v>
      </c>
      <c r="G1113" s="11"/>
      <c r="H1113" s="11"/>
      <c r="I1113" s="11" t="s">
        <v>836</v>
      </c>
      <c r="J1113" s="11" t="s">
        <v>209</v>
      </c>
      <c r="K1113" s="15" t="str">
        <f>HYPERLINK("https://drive.google.com/open?id=1nFSy5k_5dEpHD1r7NrzhyR0bvCdUEIlN","СБ-0033")</f>
        <v>СБ-0033</v>
      </c>
      <c r="L1113" s="15" t="str">
        <f>HYPERLINK("https://drive.google.com/open?id=1bFb_u10vmLWDSs9omPakbavbQXHez6f_","Сертифікат")</f>
        <v>Сертифікат</v>
      </c>
      <c r="M1113" s="11" t="s">
        <v>18</v>
      </c>
      <c r="N1113" s="10">
        <v>255</v>
      </c>
      <c r="O1113" s="10">
        <v>796</v>
      </c>
      <c r="P1113" s="10">
        <v>2</v>
      </c>
      <c r="Q1113" s="10">
        <v>58</v>
      </c>
      <c r="R1113" s="10" t="s">
        <v>66</v>
      </c>
      <c r="S1113" s="10">
        <v>484</v>
      </c>
      <c r="T1113" s="10">
        <v>88</v>
      </c>
      <c r="U1113" s="66">
        <v>43804</v>
      </c>
      <c r="V1113" s="66">
        <v>47456</v>
      </c>
      <c r="W1113" s="10" t="s">
        <v>10</v>
      </c>
      <c r="X1113" s="10" t="s">
        <v>17</v>
      </c>
    </row>
    <row r="1114" spans="1:24" ht="50.25" customHeight="1" x14ac:dyDescent="0.25">
      <c r="A1114" s="11">
        <f t="shared" si="70"/>
        <v>1111</v>
      </c>
      <c r="B1114" s="11" t="s">
        <v>2928</v>
      </c>
      <c r="C1114" s="10" t="s">
        <v>2929</v>
      </c>
      <c r="D1114" s="10" t="s">
        <v>103</v>
      </c>
      <c r="E1114" s="10" t="s">
        <v>3</v>
      </c>
      <c r="F1114" s="11" t="s">
        <v>2930</v>
      </c>
      <c r="G1114" s="11"/>
      <c r="H1114" s="11"/>
      <c r="I1114" s="11">
        <v>1974</v>
      </c>
      <c r="J1114" s="11" t="s">
        <v>1504</v>
      </c>
      <c r="K1114" s="15" t="str">
        <f>HYPERLINK("https://drive.google.com/open?id=1cNdHo19T35eklBUZY_qj1BVJ98P3D_u8","АА000071")</f>
        <v>АА000071</v>
      </c>
      <c r="L1114" s="15" t="str">
        <f>HYPERLINK("https://drive.google.com/open?id=1YVAcr1ksIo998G4Eig5OqJ81RDHnfO5u","Сертифікат")</f>
        <v>Сертифікат</v>
      </c>
      <c r="M1114" s="11" t="s">
        <v>26</v>
      </c>
      <c r="N1114" s="10">
        <v>2538.6999999999998</v>
      </c>
      <c r="O1114" s="10">
        <v>8762</v>
      </c>
      <c r="P1114" s="10">
        <v>2</v>
      </c>
      <c r="Q1114" s="10">
        <v>203.8</v>
      </c>
      <c r="R1114" s="10" t="s">
        <v>66</v>
      </c>
      <c r="S1114" s="10">
        <v>859.3</v>
      </c>
      <c r="T1114" s="10">
        <v>308</v>
      </c>
      <c r="U1114" s="66">
        <v>43804</v>
      </c>
      <c r="V1114" s="66">
        <v>47456</v>
      </c>
      <c r="W1114" s="10" t="s">
        <v>10</v>
      </c>
      <c r="X1114" s="10" t="s">
        <v>17</v>
      </c>
    </row>
    <row r="1115" spans="1:24" ht="50.25" customHeight="1" x14ac:dyDescent="0.25">
      <c r="A1115" s="11">
        <f t="shared" si="70"/>
        <v>1112</v>
      </c>
      <c r="B1115" s="11" t="s">
        <v>2931</v>
      </c>
      <c r="C1115" s="10" t="s">
        <v>52</v>
      </c>
      <c r="D1115" s="10" t="s">
        <v>52</v>
      </c>
      <c r="E1115" s="10" t="s">
        <v>0</v>
      </c>
      <c r="F1115" s="11" t="s">
        <v>2932</v>
      </c>
      <c r="G1115" s="11"/>
      <c r="H1115" s="11"/>
      <c r="I1115" s="11" t="s">
        <v>836</v>
      </c>
      <c r="J1115" s="11" t="s">
        <v>1168</v>
      </c>
      <c r="K1115" s="15" t="str">
        <f>HYPERLINK("https://drive.google.com/open?id=1IAlNZe4csuyp8RH-DTYn3L4-p1-qcHtF","ЕЕ-001-10-18")</f>
        <v>ЕЕ-001-10-18</v>
      </c>
      <c r="L1115" s="15" t="str">
        <f>HYPERLINK("https://drive.google.com/open?id=1a4MQGW5mQ_DvG_qdw0MzYuWNPCIrZ7F5","Сертифікат")</f>
        <v>Сертифікат</v>
      </c>
      <c r="M1115" s="11" t="s">
        <v>20</v>
      </c>
      <c r="N1115" s="10">
        <v>16433.3</v>
      </c>
      <c r="O1115" s="10">
        <v>49235</v>
      </c>
      <c r="P1115" s="10">
        <v>25</v>
      </c>
      <c r="Q1115" s="10">
        <v>92.5</v>
      </c>
      <c r="R1115" s="10" t="s">
        <v>57</v>
      </c>
      <c r="S1115" s="10">
        <v>147</v>
      </c>
      <c r="T1115" s="10">
        <v>28</v>
      </c>
      <c r="U1115" s="66">
        <v>43801</v>
      </c>
      <c r="V1115" s="66">
        <v>47453</v>
      </c>
      <c r="W1115" s="10" t="s">
        <v>13</v>
      </c>
      <c r="X1115" s="10" t="s">
        <v>17</v>
      </c>
    </row>
    <row r="1116" spans="1:24" ht="50.25" customHeight="1" x14ac:dyDescent="0.25">
      <c r="A1116" s="11">
        <f t="shared" si="70"/>
        <v>1113</v>
      </c>
      <c r="B1116" s="11" t="s">
        <v>2933</v>
      </c>
      <c r="C1116" s="10" t="s">
        <v>2934</v>
      </c>
      <c r="D1116" s="10" t="s">
        <v>285</v>
      </c>
      <c r="E1116" s="10" t="s">
        <v>4</v>
      </c>
      <c r="F1116" s="11" t="s">
        <v>2935</v>
      </c>
      <c r="G1116" s="11"/>
      <c r="H1116" s="11"/>
      <c r="I1116" s="11">
        <v>1970</v>
      </c>
      <c r="J1116" s="11" t="s">
        <v>732</v>
      </c>
      <c r="K1116" s="15" t="str">
        <f>HYPERLINK("https://drive.google.com/open?id=1YmIUNUHq4P-kOoyLjfDDMpvQv5hFDMTd","ОРІ-АВ00010")</f>
        <v>ОРІ-АВ00010</v>
      </c>
      <c r="L1116" s="15" t="str">
        <f>HYPERLINK("https://drive.google.com/open?id=1REPnBF7sllHlyMhTBk4g_M6ghciGaDln","Сертифікат")</f>
        <v>Сертифікат</v>
      </c>
      <c r="M1116" s="11" t="s">
        <v>24</v>
      </c>
      <c r="N1116" s="10">
        <v>871.61</v>
      </c>
      <c r="O1116" s="10">
        <v>2876.31</v>
      </c>
      <c r="P1116" s="10">
        <v>2</v>
      </c>
      <c r="Q1116" s="10">
        <v>96.1</v>
      </c>
      <c r="R1116" s="10" t="s">
        <v>66</v>
      </c>
      <c r="S1116" s="10">
        <v>533</v>
      </c>
      <c r="T1116" s="10">
        <v>103</v>
      </c>
      <c r="U1116" s="66">
        <v>43805</v>
      </c>
      <c r="V1116" s="66">
        <v>47457</v>
      </c>
      <c r="W1116" s="10" t="s">
        <v>10</v>
      </c>
      <c r="X1116" s="10" t="s">
        <v>17</v>
      </c>
    </row>
    <row r="1117" spans="1:24" ht="50.25" customHeight="1" x14ac:dyDescent="0.25">
      <c r="A1117" s="11">
        <f t="shared" si="70"/>
        <v>1114</v>
      </c>
      <c r="B1117" s="11" t="s">
        <v>2936</v>
      </c>
      <c r="C1117" s="10" t="s">
        <v>2937</v>
      </c>
      <c r="D1117" s="10" t="s">
        <v>86</v>
      </c>
      <c r="E1117" s="10" t="s">
        <v>3</v>
      </c>
      <c r="F1117" s="11" t="s">
        <v>2938</v>
      </c>
      <c r="G1117" s="11"/>
      <c r="H1117" s="11"/>
      <c r="I1117" s="11">
        <v>1974</v>
      </c>
      <c r="J1117" s="11" t="s">
        <v>739</v>
      </c>
      <c r="K1117" s="15" t="str">
        <f>HYPERLINK("https://drive.google.com/open?id=1zVrpIuY14Z4qtH7jTtKij9w-zFpVz9Q_","ЕЕ00004")</f>
        <v>ЕЕ00004</v>
      </c>
      <c r="L1117" s="15" t="str">
        <f>HYPERLINK("https://drive.google.com/open?id=1QIqUSwnlVTEkElYAc2pCQkYTP2WmwaZC","Сертифікат")</f>
        <v>Сертифікат</v>
      </c>
      <c r="M1117" s="11" t="s">
        <v>26</v>
      </c>
      <c r="N1117" s="10">
        <v>2373.4</v>
      </c>
      <c r="O1117" s="10">
        <v>11768</v>
      </c>
      <c r="P1117" s="10">
        <v>2</v>
      </c>
      <c r="Q1117" s="10">
        <v>71.41</v>
      </c>
      <c r="R1117" s="10" t="s">
        <v>66</v>
      </c>
      <c r="S1117" s="10">
        <v>415.91</v>
      </c>
      <c r="T1117" s="10">
        <v>82.7</v>
      </c>
      <c r="U1117" s="66">
        <v>43801</v>
      </c>
      <c r="V1117" s="66">
        <v>47453</v>
      </c>
      <c r="W1117" s="10" t="s">
        <v>10</v>
      </c>
      <c r="X1117" s="10" t="s">
        <v>17</v>
      </c>
    </row>
    <row r="1118" spans="1:24" ht="50.25" customHeight="1" x14ac:dyDescent="0.25">
      <c r="A1118" s="11">
        <f t="shared" si="70"/>
        <v>1115</v>
      </c>
      <c r="B1118" s="11" t="s">
        <v>2939</v>
      </c>
      <c r="C1118" s="10" t="s">
        <v>2940</v>
      </c>
      <c r="D1118" s="10" t="s">
        <v>103</v>
      </c>
      <c r="E1118" s="10" t="s">
        <v>3</v>
      </c>
      <c r="F1118" s="11" t="s">
        <v>2941</v>
      </c>
      <c r="G1118" s="11"/>
      <c r="H1118" s="11"/>
      <c r="I1118" s="11">
        <v>1967</v>
      </c>
      <c r="J1118" s="11" t="s">
        <v>1504</v>
      </c>
      <c r="K1118" s="15" t="str">
        <f>HYPERLINK("https://drive.google.com/open?id=1cNdHo19T35eklBUZY_qj1BVJ98P3D_u8","АА000071")</f>
        <v>АА000071</v>
      </c>
      <c r="L1118" s="15" t="str">
        <f>HYPERLINK("https://drive.google.com/open?id=1RKM2vQ3YdibFKpcxdwbtsrm0fThzD1xY","Сертифікат")</f>
        <v>Сертифікат</v>
      </c>
      <c r="M1118" s="11" t="s">
        <v>26</v>
      </c>
      <c r="N1118" s="10">
        <v>376.8</v>
      </c>
      <c r="O1118" s="10">
        <v>1338</v>
      </c>
      <c r="P1118" s="10">
        <v>1</v>
      </c>
      <c r="Q1118" s="10">
        <v>186.5</v>
      </c>
      <c r="R1118" s="10" t="s">
        <v>66</v>
      </c>
      <c r="S1118" s="10">
        <v>841.5</v>
      </c>
      <c r="T1118" s="10">
        <v>305.2</v>
      </c>
      <c r="U1118" s="66">
        <v>43802</v>
      </c>
      <c r="V1118" s="66">
        <v>47454</v>
      </c>
      <c r="W1118" s="10" t="s">
        <v>10</v>
      </c>
      <c r="X1118" s="10" t="s">
        <v>17</v>
      </c>
    </row>
    <row r="1119" spans="1:24" ht="50.25" customHeight="1" x14ac:dyDescent="0.25">
      <c r="A1119" s="11">
        <f t="shared" si="70"/>
        <v>1116</v>
      </c>
      <c r="B1119" s="11" t="s">
        <v>2942</v>
      </c>
      <c r="C1119" s="10" t="s">
        <v>2943</v>
      </c>
      <c r="D1119" s="10" t="s">
        <v>442</v>
      </c>
      <c r="E1119" s="10" t="s">
        <v>5</v>
      </c>
      <c r="F1119" s="11" t="s">
        <v>2944</v>
      </c>
      <c r="G1119" s="11"/>
      <c r="H1119" s="11"/>
      <c r="I1119" s="11" t="s">
        <v>2945</v>
      </c>
      <c r="J1119" s="11" t="s">
        <v>2946</v>
      </c>
      <c r="K1119" s="15" t="str">
        <f>HYPERLINK("https://drive.google.com/open?id=1zbCYyqy-S5PStc7HnzVCm10NSMMYZ-1Q","ОД № 000006")</f>
        <v>ОД № 000006</v>
      </c>
      <c r="L1119" s="15" t="str">
        <f>HYPERLINK("https://drive.google.com/open?id=1v_3-xivT8ozkTu8eSjeHYLx1veqkCP9X","Сертифікат")</f>
        <v>Сертифікат</v>
      </c>
      <c r="M1119" s="11" t="s">
        <v>15</v>
      </c>
      <c r="N1119" s="10">
        <v>1997.9</v>
      </c>
      <c r="O1119" s="10">
        <v>7792</v>
      </c>
      <c r="P1119" s="10">
        <v>4</v>
      </c>
      <c r="Q1119" s="10">
        <v>29.17</v>
      </c>
      <c r="R1119" s="10" t="s">
        <v>57</v>
      </c>
      <c r="S1119" s="10">
        <v>213.2</v>
      </c>
      <c r="T1119" s="10">
        <v>35.9</v>
      </c>
      <c r="U1119" s="66">
        <v>43805</v>
      </c>
      <c r="V1119" s="66">
        <v>47457</v>
      </c>
      <c r="W1119" s="10" t="s">
        <v>13</v>
      </c>
      <c r="X1119" s="10" t="s">
        <v>17</v>
      </c>
    </row>
    <row r="1120" spans="1:24" ht="50.25" customHeight="1" x14ac:dyDescent="0.25">
      <c r="A1120" s="11">
        <f t="shared" si="70"/>
        <v>1117</v>
      </c>
      <c r="B1120" s="11" t="s">
        <v>2947</v>
      </c>
      <c r="C1120" s="10" t="s">
        <v>1279</v>
      </c>
      <c r="D1120" s="10" t="s">
        <v>442</v>
      </c>
      <c r="E1120" s="10" t="s">
        <v>0</v>
      </c>
      <c r="F1120" s="11" t="s">
        <v>2948</v>
      </c>
      <c r="G1120" s="11"/>
      <c r="H1120" s="11"/>
      <c r="I1120" s="11">
        <v>1996</v>
      </c>
      <c r="J1120" s="27" t="s">
        <v>458</v>
      </c>
      <c r="K1120" s="15" t="str">
        <f>HYPERLINK("https://drive.google.com/open?id=1jNB0dX7vprpk3tel6i4HIfX0MLvbF6X5","СБ-0045")</f>
        <v>СБ-0045</v>
      </c>
      <c r="L1120" s="15" t="str">
        <f>HYPERLINK("https://drive.google.com/open?id=1OorA452t_YXR6kE4NdVdqhoObPeJIoES","Сертифікат")</f>
        <v>Сертифікат</v>
      </c>
      <c r="M1120" s="11" t="s">
        <v>24</v>
      </c>
      <c r="N1120" s="10">
        <v>9567</v>
      </c>
      <c r="O1120" s="10">
        <v>24395</v>
      </c>
      <c r="P1120" s="10">
        <v>9</v>
      </c>
      <c r="Q1120" s="10">
        <v>144</v>
      </c>
      <c r="R1120" s="10" t="s">
        <v>57</v>
      </c>
      <c r="S1120" s="10">
        <v>206</v>
      </c>
      <c r="T1120" s="10">
        <v>41</v>
      </c>
      <c r="U1120" s="66">
        <v>43805</v>
      </c>
      <c r="V1120" s="66">
        <v>47457</v>
      </c>
      <c r="W1120" s="10" t="s">
        <v>10</v>
      </c>
      <c r="X1120" s="10" t="s">
        <v>17</v>
      </c>
    </row>
    <row r="1121" spans="1:24" ht="50.25" customHeight="1" x14ac:dyDescent="0.25">
      <c r="A1121" s="11">
        <f t="shared" si="70"/>
        <v>1118</v>
      </c>
      <c r="B1121" s="11" t="s">
        <v>2949</v>
      </c>
      <c r="C1121" s="10" t="s">
        <v>2950</v>
      </c>
      <c r="D1121" s="10" t="s">
        <v>79</v>
      </c>
      <c r="E1121" s="10" t="s">
        <v>2</v>
      </c>
      <c r="F1121" s="11" t="s">
        <v>2951</v>
      </c>
      <c r="G1121" s="11"/>
      <c r="H1121" s="11"/>
      <c r="I1121" s="11" t="s">
        <v>2952</v>
      </c>
      <c r="J1121" s="11" t="s">
        <v>2370</v>
      </c>
      <c r="K1121" s="15" t="str">
        <f>HYPERLINK("https://drive.google.com/open?id=1S_mRHIaYb8zWMnSOoNl9Y_4r6M6YwqUV","ЕЕ 00039")</f>
        <v>ЕЕ 00039</v>
      </c>
      <c r="L1121" s="15" t="str">
        <f>HYPERLINK("https://drive.google.com/open?id=1KylnBKDf4sLHQ6tpy7q7Vj1H26CBAhK1","Сертифікат")</f>
        <v>Сертифікат</v>
      </c>
      <c r="M1121" s="11" t="s">
        <v>15</v>
      </c>
      <c r="N1121" s="10">
        <v>1195.5</v>
      </c>
      <c r="O1121" s="10">
        <v>6097.05</v>
      </c>
      <c r="P1121" s="10">
        <v>1</v>
      </c>
      <c r="Q1121" s="10">
        <v>38.020000000000003</v>
      </c>
      <c r="R1121" s="10" t="s">
        <v>66</v>
      </c>
      <c r="S1121" s="10">
        <v>594.11</v>
      </c>
      <c r="T1121" s="10">
        <v>108.49</v>
      </c>
      <c r="U1121" s="66">
        <v>43805</v>
      </c>
      <c r="V1121" s="66">
        <v>47457</v>
      </c>
      <c r="W1121" s="10" t="s">
        <v>10</v>
      </c>
      <c r="X1121" s="10" t="s">
        <v>17</v>
      </c>
    </row>
    <row r="1122" spans="1:24" ht="50.25" customHeight="1" x14ac:dyDescent="0.25">
      <c r="A1122" s="11">
        <f t="shared" si="70"/>
        <v>1119</v>
      </c>
      <c r="B1122" s="11" t="s">
        <v>2953</v>
      </c>
      <c r="C1122" s="10" t="s">
        <v>2954</v>
      </c>
      <c r="D1122" s="10" t="s">
        <v>2955</v>
      </c>
      <c r="E1122" s="10" t="s">
        <v>6</v>
      </c>
      <c r="F1122" s="11" t="s">
        <v>2956</v>
      </c>
      <c r="G1122" s="11"/>
      <c r="H1122" s="11"/>
      <c r="I1122" s="11">
        <v>2019</v>
      </c>
      <c r="J1122" s="11" t="s">
        <v>2957</v>
      </c>
      <c r="K1122" s="15" t="str">
        <f>HYPERLINK("https://drive.google.com/open?id=1U8E2QZc2aVkLefu0bMtcU-m1DwZhYzUD","АА000075")</f>
        <v>АА000075</v>
      </c>
      <c r="L1122" s="15" t="str">
        <f>HYPERLINK("https://drive.google.com/open?id=1gShElyCpnxyrNdVIhfGwLMW7VJltQviR","Сертифікат")</f>
        <v>Сертифікат</v>
      </c>
      <c r="M1122" s="11" t="s">
        <v>18</v>
      </c>
      <c r="N1122" s="10">
        <v>179.76</v>
      </c>
      <c r="O1122" s="10">
        <v>497.8</v>
      </c>
      <c r="P1122" s="10">
        <v>2</v>
      </c>
      <c r="Q1122" s="10">
        <v>110</v>
      </c>
      <c r="R1122" s="10" t="s">
        <v>57</v>
      </c>
      <c r="S1122" s="10">
        <v>203.6</v>
      </c>
      <c r="T1122" s="10">
        <v>38.799999999999997</v>
      </c>
      <c r="U1122" s="66">
        <v>43790</v>
      </c>
      <c r="V1122" s="66">
        <v>47442</v>
      </c>
      <c r="W1122" s="10" t="s">
        <v>10</v>
      </c>
      <c r="X1122" s="10" t="s">
        <v>17</v>
      </c>
    </row>
    <row r="1123" spans="1:24" ht="50.25" customHeight="1" x14ac:dyDescent="0.25">
      <c r="A1123" s="11">
        <f t="shared" si="70"/>
        <v>1120</v>
      </c>
      <c r="B1123" s="11" t="s">
        <v>2958</v>
      </c>
      <c r="C1123" s="10" t="s">
        <v>52</v>
      </c>
      <c r="D1123" s="10" t="s">
        <v>52</v>
      </c>
      <c r="E1123" s="10" t="s">
        <v>2</v>
      </c>
      <c r="F1123" s="11" t="s">
        <v>2959</v>
      </c>
      <c r="G1123" s="11"/>
      <c r="H1123" s="11"/>
      <c r="I1123" s="11" t="s">
        <v>2952</v>
      </c>
      <c r="J1123" s="11" t="s">
        <v>1504</v>
      </c>
      <c r="K1123" s="15" t="str">
        <f>HYPERLINK("https://drive.google.com/open?id=1cNdHo19T35eklBUZY_qj1BVJ98P3D_u8","АА000071")</f>
        <v>АА000071</v>
      </c>
      <c r="L1123" s="15" t="str">
        <f>HYPERLINK("https://drive.google.com/open?id=1K3iSn8O9L_wcNVI0nee8m9aXe08MKiOI","Сертифікат")</f>
        <v>Сертифікат</v>
      </c>
      <c r="M1123" s="11" t="s">
        <v>15</v>
      </c>
      <c r="N1123" s="10">
        <v>3206.6</v>
      </c>
      <c r="O1123" s="10">
        <v>10103</v>
      </c>
      <c r="P1123" s="10">
        <v>3</v>
      </c>
      <c r="Q1123" s="10">
        <v>51.7</v>
      </c>
      <c r="R1123" s="10" t="s">
        <v>66</v>
      </c>
      <c r="S1123" s="10">
        <v>298.5</v>
      </c>
      <c r="T1123" s="10">
        <v>92.2</v>
      </c>
      <c r="U1123" s="66">
        <v>43808</v>
      </c>
      <c r="V1123" s="66">
        <v>47460</v>
      </c>
      <c r="W1123" s="10" t="s">
        <v>10</v>
      </c>
      <c r="X1123" s="10" t="s">
        <v>17</v>
      </c>
    </row>
    <row r="1124" spans="1:24" ht="50.25" customHeight="1" x14ac:dyDescent="0.25">
      <c r="A1124" s="11">
        <f t="shared" si="70"/>
        <v>1121</v>
      </c>
      <c r="B1124" s="11" t="s">
        <v>2960</v>
      </c>
      <c r="C1124" s="10" t="s">
        <v>52</v>
      </c>
      <c r="D1124" s="10" t="s">
        <v>52</v>
      </c>
      <c r="E1124" s="10" t="s">
        <v>0</v>
      </c>
      <c r="F1124" s="11" t="s">
        <v>2961</v>
      </c>
      <c r="G1124" s="11"/>
      <c r="H1124" s="11"/>
      <c r="I1124" s="11" t="s">
        <v>836</v>
      </c>
      <c r="J1124" s="11" t="s">
        <v>1168</v>
      </c>
      <c r="K1124" s="15" t="str">
        <f>HYPERLINK("https://drive.google.com/open?id=1IAlNZe4csuyp8RH-DTYn3L4-p1-qcHtF","ЕЕ-001-10-18")</f>
        <v>ЕЕ-001-10-18</v>
      </c>
      <c r="L1124" s="15" t="str">
        <f>HYPERLINK("https://drive.google.com/open?id=1D-EHNlvctsE_j0O7LszAPtopj01dSXp4","Сертифікат")</f>
        <v>Сертифікат</v>
      </c>
      <c r="M1124" s="11" t="s">
        <v>20</v>
      </c>
      <c r="N1124" s="10">
        <v>20601.5</v>
      </c>
      <c r="O1124" s="10">
        <v>61257.2</v>
      </c>
      <c r="P1124" s="10">
        <v>16</v>
      </c>
      <c r="Q1124" s="10">
        <v>95.4</v>
      </c>
      <c r="R1124" s="10" t="s">
        <v>57</v>
      </c>
      <c r="S1124" s="10">
        <v>156</v>
      </c>
      <c r="T1124" s="10">
        <v>30</v>
      </c>
      <c r="U1124" s="66">
        <v>43805</v>
      </c>
      <c r="V1124" s="66">
        <v>47457</v>
      </c>
      <c r="W1124" s="10" t="s">
        <v>13</v>
      </c>
      <c r="X1124" s="10" t="s">
        <v>17</v>
      </c>
    </row>
    <row r="1125" spans="1:24" ht="50.25" customHeight="1" x14ac:dyDescent="0.25">
      <c r="A1125" s="11">
        <f t="shared" si="70"/>
        <v>1122</v>
      </c>
      <c r="B1125" s="11" t="s">
        <v>2962</v>
      </c>
      <c r="C1125" s="10" t="s">
        <v>52</v>
      </c>
      <c r="D1125" s="10" t="s">
        <v>52</v>
      </c>
      <c r="E1125" s="10" t="s">
        <v>2</v>
      </c>
      <c r="F1125" s="11" t="s">
        <v>2963</v>
      </c>
      <c r="G1125" s="11"/>
      <c r="H1125" s="11"/>
      <c r="I1125" s="11" t="s">
        <v>2964</v>
      </c>
      <c r="J1125" s="11" t="s">
        <v>432</v>
      </c>
      <c r="K1125" s="15" t="str">
        <f>HYPERLINK("https://drive.google.com/open?id=1euBM6QoP56NhYkl2g8T2IRU9qquzh3C9","АА000006")</f>
        <v>АА000006</v>
      </c>
      <c r="L1125" s="15" t="str">
        <f>HYPERLINK("https://drive.google.com/open?id=1q9lreCm54Ia3_7hcxkDMclrn_aPCDblt","Сертифікат")</f>
        <v>Сертифікат</v>
      </c>
      <c r="M1125" s="11" t="s">
        <v>15</v>
      </c>
      <c r="N1125" s="10">
        <v>8024.55</v>
      </c>
      <c r="O1125" s="10">
        <v>25692.76</v>
      </c>
      <c r="P1125" s="10">
        <v>7</v>
      </c>
      <c r="Q1125" s="10">
        <v>21.84</v>
      </c>
      <c r="R1125" s="10" t="s">
        <v>66</v>
      </c>
      <c r="S1125" s="10">
        <v>160.82</v>
      </c>
      <c r="T1125" s="10">
        <v>29.37</v>
      </c>
      <c r="U1125" s="66">
        <v>43808</v>
      </c>
      <c r="V1125" s="66">
        <v>47460</v>
      </c>
      <c r="W1125" s="10" t="s">
        <v>13</v>
      </c>
      <c r="X1125" s="10" t="s">
        <v>17</v>
      </c>
    </row>
    <row r="1126" spans="1:24" ht="50.25" customHeight="1" x14ac:dyDescent="0.25">
      <c r="A1126" s="11">
        <f t="shared" si="70"/>
        <v>1123</v>
      </c>
      <c r="B1126" s="11" t="s">
        <v>2965</v>
      </c>
      <c r="C1126" s="10" t="s">
        <v>552</v>
      </c>
      <c r="D1126" s="10" t="s">
        <v>541</v>
      </c>
      <c r="E1126" s="10" t="s">
        <v>5</v>
      </c>
      <c r="F1126" s="11" t="s">
        <v>2966</v>
      </c>
      <c r="G1126" s="11"/>
      <c r="H1126" s="11"/>
      <c r="I1126" s="11">
        <v>1969</v>
      </c>
      <c r="J1126" s="11" t="s">
        <v>1285</v>
      </c>
      <c r="K1126" s="15" t="str">
        <f>HYPERLINK("https://drive.google.com/open?id=1VvGfORJ6L6VwYRUDV8aJ3Nq6jB6_9anA","СБ-0065")</f>
        <v>СБ-0065</v>
      </c>
      <c r="L1126" s="15" t="str">
        <f>HYPERLINK("https://drive.google.com/open?id=1PbVM2KN7zTF9AoM_gnJbAUYKbhaU3wSt","Сертифікат")</f>
        <v>Сертифікат</v>
      </c>
      <c r="M1126" s="11" t="s">
        <v>26</v>
      </c>
      <c r="N1126" s="10">
        <v>1114</v>
      </c>
      <c r="O1126" s="10">
        <v>3342</v>
      </c>
      <c r="P1126" s="10">
        <v>2</v>
      </c>
      <c r="Q1126" s="10">
        <v>139.80000000000001</v>
      </c>
      <c r="R1126" s="10" t="s">
        <v>66</v>
      </c>
      <c r="S1126" s="10">
        <v>666</v>
      </c>
      <c r="T1126" s="10">
        <v>131</v>
      </c>
      <c r="U1126" s="66">
        <v>43801</v>
      </c>
      <c r="V1126" s="66">
        <v>47453</v>
      </c>
      <c r="W1126" s="10" t="s">
        <v>10</v>
      </c>
      <c r="X1126" s="10" t="s">
        <v>17</v>
      </c>
    </row>
    <row r="1127" spans="1:24" ht="50.25" customHeight="1" x14ac:dyDescent="0.25">
      <c r="A1127" s="11">
        <f t="shared" si="70"/>
        <v>1124</v>
      </c>
      <c r="B1127" s="11" t="s">
        <v>2967</v>
      </c>
      <c r="C1127" s="10" t="s">
        <v>243</v>
      </c>
      <c r="D1127" s="10" t="s">
        <v>238</v>
      </c>
      <c r="E1127" s="10" t="s">
        <v>3</v>
      </c>
      <c r="F1127" s="11" t="s">
        <v>2968</v>
      </c>
      <c r="G1127" s="11"/>
      <c r="H1127" s="11"/>
      <c r="I1127" s="11" t="s">
        <v>2969</v>
      </c>
      <c r="J1127" s="11" t="s">
        <v>2347</v>
      </c>
      <c r="K1127" s="15" t="str">
        <f>HYPERLINK("https://drive.google.com/open?id=1tYA6mHoYATC0lpDSlChyx7uxGwMkjZPw","ХПІ.00009")</f>
        <v>ХПІ.00009</v>
      </c>
      <c r="L1127" s="15" t="str">
        <f>HYPERLINK("https://drive.google.com/open?id=1gp1z3sFm1h9YcScPgJCrjmmqZ92mmdHc","Сертифікат")</f>
        <v>Сертифікат</v>
      </c>
      <c r="M1127" s="11" t="s">
        <v>18</v>
      </c>
      <c r="N1127" s="10">
        <v>1291.3</v>
      </c>
      <c r="O1127" s="10">
        <v>4022.37</v>
      </c>
      <c r="P1127" s="31">
        <v>43497</v>
      </c>
      <c r="Q1127" s="10">
        <v>32.119999999999997</v>
      </c>
      <c r="R1127" s="10" t="s">
        <v>66</v>
      </c>
      <c r="S1127" s="10">
        <v>138.07</v>
      </c>
      <c r="T1127" s="10">
        <v>17.47</v>
      </c>
      <c r="U1127" s="66">
        <v>43808</v>
      </c>
      <c r="V1127" s="66">
        <v>47460</v>
      </c>
      <c r="W1127" s="10" t="s">
        <v>13</v>
      </c>
      <c r="X1127" s="10" t="s">
        <v>17</v>
      </c>
    </row>
    <row r="1128" spans="1:24" ht="50.25" customHeight="1" x14ac:dyDescent="0.25">
      <c r="A1128" s="11">
        <f t="shared" si="70"/>
        <v>1125</v>
      </c>
      <c r="B1128" s="11" t="s">
        <v>2970</v>
      </c>
      <c r="C1128" s="10" t="s">
        <v>1145</v>
      </c>
      <c r="D1128" s="10" t="s">
        <v>1295</v>
      </c>
      <c r="E1128" s="10" t="s">
        <v>2</v>
      </c>
      <c r="F1128" s="11" t="s">
        <v>2971</v>
      </c>
      <c r="G1128" s="11"/>
      <c r="H1128" s="11"/>
      <c r="I1128" s="11">
        <v>2019</v>
      </c>
      <c r="J1128" s="11" t="s">
        <v>2298</v>
      </c>
      <c r="K1128" s="15" t="str">
        <f>HYPERLINK("https://drive.google.com/open?id=1HaDqQXAtet_8VgxaBmoxXxADu-bGNCh1","СБ-0053")</f>
        <v>СБ-0053</v>
      </c>
      <c r="L1128" s="15" t="str">
        <f>HYPERLINK("https://drive.google.com/open?id=1qfefag5pXvkqCX9CN5Vda8F8QNGBt-_b","Сертифікат")</f>
        <v>Сертифікат</v>
      </c>
      <c r="M1128" s="11" t="s">
        <v>18</v>
      </c>
      <c r="N1128" s="10">
        <v>5139.6400000000003</v>
      </c>
      <c r="O1128" s="10">
        <v>16960.8</v>
      </c>
      <c r="P1128" s="10">
        <v>8</v>
      </c>
      <c r="Q1128" s="10">
        <v>40.1</v>
      </c>
      <c r="R1128" s="10" t="s">
        <v>66</v>
      </c>
      <c r="S1128" s="10">
        <v>291.3</v>
      </c>
      <c r="T1128" s="10">
        <v>46.3</v>
      </c>
      <c r="U1128" s="66">
        <v>43808</v>
      </c>
      <c r="V1128" s="66">
        <v>47460</v>
      </c>
      <c r="W1128" s="10" t="s">
        <v>10</v>
      </c>
      <c r="X1128" s="10" t="s">
        <v>17</v>
      </c>
    </row>
    <row r="1129" spans="1:24" ht="50.25" customHeight="1" x14ac:dyDescent="0.25">
      <c r="A1129" s="11">
        <f t="shared" si="70"/>
        <v>1126</v>
      </c>
      <c r="B1129" s="11" t="s">
        <v>2972</v>
      </c>
      <c r="C1129" s="10" t="s">
        <v>2973</v>
      </c>
      <c r="D1129" s="10" t="s">
        <v>86</v>
      </c>
      <c r="E1129" s="10" t="s">
        <v>2</v>
      </c>
      <c r="F1129" s="11" t="s">
        <v>2974</v>
      </c>
      <c r="G1129" s="11"/>
      <c r="H1129" s="11"/>
      <c r="I1129" s="11">
        <v>1991</v>
      </c>
      <c r="J1129" s="11" t="s">
        <v>158</v>
      </c>
      <c r="K1129" s="15" t="str">
        <f>HYPERLINK("https://drive.google.com/open?id=1pEg5agn5jdMhfl4Pa1dRPaxDB2kT59cP","ЕЕ-005-10-18")</f>
        <v>ЕЕ-005-10-18</v>
      </c>
      <c r="L1129" s="15" t="str">
        <f>HYPERLINK("https://drive.google.com/open?id=1Y68IBAd2yVUoXAboa9A-MEgiBukEbLNQ","Сертифікат")</f>
        <v>Сертифікат</v>
      </c>
      <c r="M1129" s="11" t="s">
        <v>26</v>
      </c>
      <c r="N1129" s="10">
        <v>2102</v>
      </c>
      <c r="O1129" s="10">
        <v>7015.4</v>
      </c>
      <c r="P1129" s="10">
        <v>4</v>
      </c>
      <c r="Q1129" s="10">
        <v>88.8</v>
      </c>
      <c r="R1129" s="10" t="s">
        <v>66</v>
      </c>
      <c r="S1129" s="10">
        <v>445</v>
      </c>
      <c r="T1129" s="10">
        <v>88</v>
      </c>
      <c r="U1129" s="66">
        <v>43784</v>
      </c>
      <c r="V1129" s="66">
        <v>47436</v>
      </c>
      <c r="W1129" s="10" t="s">
        <v>10</v>
      </c>
      <c r="X1129" s="10" t="s">
        <v>17</v>
      </c>
    </row>
    <row r="1130" spans="1:24" ht="50.25" customHeight="1" x14ac:dyDescent="0.25">
      <c r="A1130" s="11">
        <f t="shared" si="70"/>
        <v>1127</v>
      </c>
      <c r="B1130" s="11" t="s">
        <v>2975</v>
      </c>
      <c r="C1130" s="10" t="s">
        <v>2954</v>
      </c>
      <c r="D1130" s="10" t="s">
        <v>247</v>
      </c>
      <c r="E1130" s="10" t="s">
        <v>2</v>
      </c>
      <c r="F1130" s="11" t="s">
        <v>2976</v>
      </c>
      <c r="G1130" s="11"/>
      <c r="H1130" s="11"/>
      <c r="I1130" s="11">
        <v>2019</v>
      </c>
      <c r="J1130" s="11" t="s">
        <v>2957</v>
      </c>
      <c r="K1130" s="15" t="str">
        <f>HYPERLINK("https://drive.google.com/open?id=1U8E2QZc2aVkLefu0bMtcU-m1DwZhYzUD","АА000075")</f>
        <v>АА000075</v>
      </c>
      <c r="L1130" s="15" t="str">
        <f>HYPERLINK("https://drive.google.com/open?id=1nLAUANXQzW6MFNW5HMLimXSwaRTRAp34","Сертифікат")</f>
        <v>Сертифікат</v>
      </c>
      <c r="M1130" s="11" t="s">
        <v>12</v>
      </c>
      <c r="N1130" s="10">
        <v>821.5</v>
      </c>
      <c r="O1130" s="10">
        <v>3777</v>
      </c>
      <c r="P1130" s="10">
        <v>3</v>
      </c>
      <c r="Q1130" s="10">
        <v>21.9</v>
      </c>
      <c r="R1130" s="10" t="s">
        <v>66</v>
      </c>
      <c r="S1130" s="10">
        <v>288.7</v>
      </c>
      <c r="T1130" s="10">
        <v>52.7</v>
      </c>
      <c r="U1130" s="66">
        <v>43798</v>
      </c>
      <c r="V1130" s="66">
        <v>47450</v>
      </c>
      <c r="W1130" s="10" t="s">
        <v>13</v>
      </c>
      <c r="X1130" s="10" t="s">
        <v>17</v>
      </c>
    </row>
    <row r="1131" spans="1:24" ht="50.25" customHeight="1" x14ac:dyDescent="0.25">
      <c r="A1131" s="11">
        <f t="shared" si="70"/>
        <v>1128</v>
      </c>
      <c r="B1131" s="11" t="s">
        <v>2977</v>
      </c>
      <c r="C1131" s="10" t="s">
        <v>2978</v>
      </c>
      <c r="D1131" s="10" t="s">
        <v>86</v>
      </c>
      <c r="E1131" s="10" t="s">
        <v>5</v>
      </c>
      <c r="F1131" s="11" t="s">
        <v>2979</v>
      </c>
      <c r="G1131" s="11"/>
      <c r="H1131" s="11"/>
      <c r="I1131" s="11" t="s">
        <v>2980</v>
      </c>
      <c r="J1131" s="11" t="s">
        <v>817</v>
      </c>
      <c r="K1131" s="15" t="s">
        <v>818</v>
      </c>
      <c r="L1131" s="15" t="str">
        <f>HYPERLINK("https://drive.google.com/open?id=1tnUnWTqMBBpmDwTVuzqNgqG7AQBeY_Yg","Сертифікат")</f>
        <v>Сертифікат</v>
      </c>
      <c r="M1131" s="11" t="s">
        <v>15</v>
      </c>
      <c r="N1131" s="10">
        <v>1209.42</v>
      </c>
      <c r="O1131" s="10">
        <v>4175.63</v>
      </c>
      <c r="P1131" s="10">
        <v>4</v>
      </c>
      <c r="Q1131" s="10">
        <v>31.9</v>
      </c>
      <c r="R1131" s="10" t="s">
        <v>66</v>
      </c>
      <c r="S1131" s="10">
        <v>270.62</v>
      </c>
      <c r="T1131" s="10">
        <v>51.91</v>
      </c>
      <c r="U1131" s="66">
        <v>43808</v>
      </c>
      <c r="V1131" s="66">
        <v>47460</v>
      </c>
      <c r="W1131" s="10" t="s">
        <v>13</v>
      </c>
      <c r="X1131" s="10" t="s">
        <v>17</v>
      </c>
    </row>
    <row r="1132" spans="1:24" ht="50.25" customHeight="1" x14ac:dyDescent="0.25">
      <c r="A1132" s="11">
        <f t="shared" si="70"/>
        <v>1129</v>
      </c>
      <c r="B1132" s="11" t="s">
        <v>2981</v>
      </c>
      <c r="C1132" s="10" t="s">
        <v>1512</v>
      </c>
      <c r="D1132" s="10" t="s">
        <v>86</v>
      </c>
      <c r="E1132" s="10" t="s">
        <v>2</v>
      </c>
      <c r="F1132" s="11" t="s">
        <v>2982</v>
      </c>
      <c r="G1132" s="11"/>
      <c r="H1132" s="11"/>
      <c r="I1132" s="11">
        <v>1976</v>
      </c>
      <c r="J1132" s="11" t="s">
        <v>158</v>
      </c>
      <c r="K1132" s="15" t="str">
        <f>HYPERLINK("https://drive.google.com/open?id=1pEg5agn5jdMhfl4Pa1dRPaxDB2kT59cP","ЕЕ-005-10-18")</f>
        <v>ЕЕ-005-10-18</v>
      </c>
      <c r="L1132" s="15" t="str">
        <f>HYPERLINK("https://drive.google.com/open?id=1i08PZDUV8ny1CafbmFjuJn11GlQ1l3c-","Сертифікат")</f>
        <v>Сертифікат</v>
      </c>
      <c r="M1132" s="11" t="s">
        <v>24</v>
      </c>
      <c r="N1132" s="10">
        <v>1007.2</v>
      </c>
      <c r="O1132" s="10">
        <v>3149.6</v>
      </c>
      <c r="P1132" s="10">
        <v>3</v>
      </c>
      <c r="Q1132" s="10">
        <v>90</v>
      </c>
      <c r="R1132" s="10" t="s">
        <v>66</v>
      </c>
      <c r="S1132" s="10">
        <v>423</v>
      </c>
      <c r="T1132" s="10">
        <v>84</v>
      </c>
      <c r="U1132" s="66">
        <v>43784</v>
      </c>
      <c r="V1132" s="66">
        <v>47436</v>
      </c>
      <c r="W1132" s="10" t="s">
        <v>10</v>
      </c>
      <c r="X1132" s="10" t="s">
        <v>17</v>
      </c>
    </row>
    <row r="1133" spans="1:24" ht="50.25" customHeight="1" x14ac:dyDescent="0.25">
      <c r="A1133" s="11">
        <f t="shared" si="70"/>
        <v>1130</v>
      </c>
      <c r="B1133" s="11" t="s">
        <v>2983</v>
      </c>
      <c r="C1133" s="10" t="s">
        <v>2984</v>
      </c>
      <c r="D1133" s="10" t="s">
        <v>69</v>
      </c>
      <c r="E1133" s="10" t="s">
        <v>2</v>
      </c>
      <c r="F1133" s="11" t="s">
        <v>1671</v>
      </c>
      <c r="G1133" s="11"/>
      <c r="H1133" s="11"/>
      <c r="I1133" s="11" t="s">
        <v>2985</v>
      </c>
      <c r="J1133" s="11" t="s">
        <v>2986</v>
      </c>
      <c r="K1133" s="15" t="str">
        <f>HYPERLINK("https://drive.google.com/open?id=1cNvlcLpKLQhMXRDEGkMVMn1DbQEPMPEH","ОД 02071010/0438-19")</f>
        <v>ОД 02071010/0438-19</v>
      </c>
      <c r="L1133" s="15" t="str">
        <f>HYPERLINK("https://drive.google.com/open?id=1KY6gecA4jOh7z_0xrBO26RquaPDVYcPh","Сертифікат")</f>
        <v>Сертифікат</v>
      </c>
      <c r="M1133" s="11" t="s">
        <v>24</v>
      </c>
      <c r="N1133" s="10">
        <v>1291.01</v>
      </c>
      <c r="O1133" s="10">
        <v>7187.5</v>
      </c>
      <c r="P1133" s="10">
        <v>2</v>
      </c>
      <c r="Q1133" s="10">
        <v>95</v>
      </c>
      <c r="R1133" s="10" t="s">
        <v>66</v>
      </c>
      <c r="S1133" s="10">
        <v>144.1</v>
      </c>
      <c r="T1133" s="10">
        <v>36.799999999999997</v>
      </c>
      <c r="U1133" s="66">
        <v>43804</v>
      </c>
      <c r="V1133" s="66">
        <v>47456</v>
      </c>
      <c r="W1133" s="10" t="s">
        <v>10</v>
      </c>
      <c r="X1133" s="10" t="s">
        <v>17</v>
      </c>
    </row>
    <row r="1134" spans="1:24" ht="50.25" customHeight="1" x14ac:dyDescent="0.25">
      <c r="A1134" s="11">
        <f t="shared" si="70"/>
        <v>1131</v>
      </c>
      <c r="B1134" s="11" t="s">
        <v>2987</v>
      </c>
      <c r="C1134" s="10" t="s">
        <v>1145</v>
      </c>
      <c r="D1134" s="10" t="s">
        <v>1295</v>
      </c>
      <c r="E1134" s="10" t="s">
        <v>2</v>
      </c>
      <c r="F1134" s="11" t="s">
        <v>2988</v>
      </c>
      <c r="G1134" s="11"/>
      <c r="H1134" s="11"/>
      <c r="I1134" s="11" t="s">
        <v>1394</v>
      </c>
      <c r="J1134" s="11" t="s">
        <v>2298</v>
      </c>
      <c r="K1134" s="15" t="str">
        <f>HYPERLINK("https://drive.google.com/open?id=1HaDqQXAtet_8VgxaBmoxXxADu-bGNCh1","СБ-0053")</f>
        <v>СБ-0053</v>
      </c>
      <c r="L1134" s="15" t="str">
        <f>HYPERLINK("https://drive.google.com/open?id=1LDRqu_8H8qqQzH6VQMcrYMtT7XtudME_","Сертифікат")</f>
        <v>Сертифікат</v>
      </c>
      <c r="M1134" s="11" t="s">
        <v>18</v>
      </c>
      <c r="N1134" s="10">
        <v>2971.2</v>
      </c>
      <c r="O1134" s="10">
        <v>9804.9</v>
      </c>
      <c r="P1134" s="10">
        <v>5</v>
      </c>
      <c r="Q1134" s="10">
        <v>42.7</v>
      </c>
      <c r="R1134" s="10" t="s">
        <v>66</v>
      </c>
      <c r="S1134" s="10">
        <v>316</v>
      </c>
      <c r="T1134" s="10">
        <v>52.1</v>
      </c>
      <c r="U1134" s="66">
        <v>43806</v>
      </c>
      <c r="V1134" s="66">
        <v>47458</v>
      </c>
      <c r="W1134" s="10" t="s">
        <v>10</v>
      </c>
      <c r="X1134" s="10" t="s">
        <v>17</v>
      </c>
    </row>
    <row r="1135" spans="1:24" ht="50.25" customHeight="1" x14ac:dyDescent="0.25">
      <c r="A1135" s="11">
        <f t="shared" si="70"/>
        <v>1132</v>
      </c>
      <c r="B1135" s="11" t="s">
        <v>2989</v>
      </c>
      <c r="C1135" s="10" t="s">
        <v>2611</v>
      </c>
      <c r="D1135" s="10" t="s">
        <v>69</v>
      </c>
      <c r="E1135" s="10" t="s">
        <v>2</v>
      </c>
      <c r="F1135" s="11" t="s">
        <v>2539</v>
      </c>
      <c r="G1135" s="11"/>
      <c r="H1135" s="11"/>
      <c r="I1135" s="11"/>
      <c r="J1135" s="11" t="s">
        <v>817</v>
      </c>
      <c r="K1135" s="15" t="str">
        <f>HYPERLINK("https://drive.google.com/open?id=195Nt2QyFm2vF_nQatQf2cvvhnudkfcTY","ЕЕ 00020")</f>
        <v>ЕЕ 00020</v>
      </c>
      <c r="L1135" s="15" t="str">
        <f>HYPERLINK("https://drive.google.com/open?id=1v37bHXGIFheTVs1z3hTtYhe0zIO0GQEr","Сертифікат")</f>
        <v>Сертифікат</v>
      </c>
      <c r="M1135" s="11" t="s">
        <v>15</v>
      </c>
      <c r="N1135" s="10">
        <v>1117.98</v>
      </c>
      <c r="O1135" s="10">
        <v>5719.62</v>
      </c>
      <c r="P1135" s="10">
        <v>1</v>
      </c>
      <c r="Q1135" s="10">
        <v>35.65</v>
      </c>
      <c r="R1135" s="10" t="s">
        <v>66</v>
      </c>
      <c r="S1135" s="10">
        <v>981</v>
      </c>
      <c r="T1135" s="10">
        <v>179</v>
      </c>
      <c r="U1135" s="66">
        <v>43808</v>
      </c>
      <c r="V1135" s="66">
        <v>47460</v>
      </c>
      <c r="W1135" s="10" t="s">
        <v>13</v>
      </c>
      <c r="X1135" s="10" t="s">
        <v>17</v>
      </c>
    </row>
    <row r="1136" spans="1:24" ht="50.25" customHeight="1" x14ac:dyDescent="0.25">
      <c r="A1136" s="11">
        <f t="shared" si="70"/>
        <v>1133</v>
      </c>
      <c r="B1136" s="11" t="s">
        <v>2990</v>
      </c>
      <c r="C1136" s="10" t="s">
        <v>74</v>
      </c>
      <c r="D1136" s="10" t="s">
        <v>75</v>
      </c>
      <c r="E1136" s="10" t="s">
        <v>0</v>
      </c>
      <c r="F1136" s="11" t="s">
        <v>2991</v>
      </c>
      <c r="G1136" s="11"/>
      <c r="H1136" s="11"/>
      <c r="I1136" s="11" t="s">
        <v>2992</v>
      </c>
      <c r="J1136" s="20" t="s">
        <v>1591</v>
      </c>
      <c r="K1136" s="56" t="str">
        <f>HYPERLINK("https://drive.google.com/open?id=1Eu3b-SQR6QMzDrWPm53uhmGYQaQSos-l","KPI-CE № 000011")</f>
        <v>KPI-CE № 000011</v>
      </c>
      <c r="L1136" s="15" t="str">
        <f>HYPERLINK("https://drive.google.com/open?id=13TKgGgzbbVKBgqJ86WONujIQa-Gjh_cE","Сертифікат")</f>
        <v>Сертифікат</v>
      </c>
      <c r="M1136" s="11" t="s">
        <v>26</v>
      </c>
      <c r="N1136" s="10">
        <v>3140</v>
      </c>
      <c r="O1136" s="10">
        <v>9421</v>
      </c>
      <c r="P1136" s="10">
        <v>5</v>
      </c>
      <c r="Q1136" s="10">
        <v>199.48</v>
      </c>
      <c r="R1136" s="10" t="s">
        <v>57</v>
      </c>
      <c r="S1136" s="10">
        <v>307.98</v>
      </c>
      <c r="T1136" s="10">
        <v>99.4</v>
      </c>
      <c r="U1136" s="66">
        <v>43806</v>
      </c>
      <c r="V1136" s="66">
        <v>47458</v>
      </c>
      <c r="W1136" s="10" t="s">
        <v>10</v>
      </c>
      <c r="X1136" s="10" t="s">
        <v>17</v>
      </c>
    </row>
    <row r="1137" spans="1:24" ht="50.25" customHeight="1" x14ac:dyDescent="0.25">
      <c r="A1137" s="11">
        <f t="shared" si="70"/>
        <v>1134</v>
      </c>
      <c r="B1137" s="11" t="s">
        <v>2993</v>
      </c>
      <c r="C1137" s="10" t="s">
        <v>2994</v>
      </c>
      <c r="D1137" s="10" t="s">
        <v>86</v>
      </c>
      <c r="E1137" s="10" t="s">
        <v>2</v>
      </c>
      <c r="F1137" s="11" t="s">
        <v>2995</v>
      </c>
      <c r="G1137" s="11"/>
      <c r="H1137" s="11"/>
      <c r="I1137" s="11">
        <v>1939</v>
      </c>
      <c r="J1137" s="11" t="s">
        <v>158</v>
      </c>
      <c r="K1137" s="15" t="s">
        <v>159</v>
      </c>
      <c r="L1137" s="15" t="str">
        <f>HYPERLINK("https://drive.google.com/open?id=17s93AMttH89y1eRCAApd0XPU9FSCTmAf","Сертифікат")</f>
        <v>Сертифікат</v>
      </c>
      <c r="M1137" s="11" t="s">
        <v>26</v>
      </c>
      <c r="N1137" s="10">
        <v>1066.4000000000001</v>
      </c>
      <c r="O1137" s="10">
        <v>3449.3</v>
      </c>
      <c r="P1137" s="10">
        <v>2</v>
      </c>
      <c r="Q1137" s="10">
        <v>122.2</v>
      </c>
      <c r="R1137" s="10" t="s">
        <v>66</v>
      </c>
      <c r="S1137" s="10">
        <v>495</v>
      </c>
      <c r="T1137" s="10">
        <v>98</v>
      </c>
      <c r="U1137" s="66">
        <v>43784</v>
      </c>
      <c r="V1137" s="66">
        <v>47436</v>
      </c>
      <c r="W1137" s="10" t="s">
        <v>10</v>
      </c>
      <c r="X1137" s="10" t="s">
        <v>17</v>
      </c>
    </row>
    <row r="1138" spans="1:24" ht="50.25" customHeight="1" x14ac:dyDescent="0.25">
      <c r="A1138" s="11">
        <f t="shared" si="70"/>
        <v>1135</v>
      </c>
      <c r="B1138" s="11" t="s">
        <v>2996</v>
      </c>
      <c r="C1138" s="10" t="s">
        <v>552</v>
      </c>
      <c r="D1138" s="10" t="s">
        <v>541</v>
      </c>
      <c r="E1138" s="10" t="s">
        <v>5</v>
      </c>
      <c r="F1138" s="11" t="s">
        <v>2997</v>
      </c>
      <c r="G1138" s="11"/>
      <c r="H1138" s="11"/>
      <c r="I1138" s="11">
        <v>1959</v>
      </c>
      <c r="J1138" s="11" t="s">
        <v>1285</v>
      </c>
      <c r="K1138" s="15" t="s">
        <v>1286</v>
      </c>
      <c r="L1138" s="15" t="str">
        <f>HYPERLINK("https://drive.google.com/open?id=1bkTMnenAckH8wMcYeeDD_uwYJaQ7b5IX","Сертифікат")</f>
        <v>Сертифікат</v>
      </c>
      <c r="M1138" s="11" t="s">
        <v>26</v>
      </c>
      <c r="N1138" s="10">
        <v>822</v>
      </c>
      <c r="O1138" s="10">
        <v>2549</v>
      </c>
      <c r="P1138" s="10">
        <v>2</v>
      </c>
      <c r="Q1138" s="10">
        <v>137.5</v>
      </c>
      <c r="R1138" s="10" t="s">
        <v>66</v>
      </c>
      <c r="S1138" s="10">
        <v>668</v>
      </c>
      <c r="T1138" s="10">
        <v>131</v>
      </c>
      <c r="U1138" s="66">
        <v>43801</v>
      </c>
      <c r="V1138" s="66">
        <v>47453</v>
      </c>
      <c r="W1138" s="10" t="s">
        <v>10</v>
      </c>
      <c r="X1138" s="10" t="s">
        <v>17</v>
      </c>
    </row>
    <row r="1139" spans="1:24" ht="50.25" customHeight="1" x14ac:dyDescent="0.25">
      <c r="A1139" s="11">
        <f t="shared" si="70"/>
        <v>1136</v>
      </c>
      <c r="B1139" s="11" t="s">
        <v>2998</v>
      </c>
      <c r="C1139" s="10" t="s">
        <v>2999</v>
      </c>
      <c r="D1139" s="10" t="s">
        <v>3000</v>
      </c>
      <c r="E1139" s="10" t="s">
        <v>3</v>
      </c>
      <c r="F1139" s="11" t="s">
        <v>3001</v>
      </c>
      <c r="G1139" s="11"/>
      <c r="H1139" s="11"/>
      <c r="I1139" s="11" t="s">
        <v>3002</v>
      </c>
      <c r="J1139" s="11" t="s">
        <v>3003</v>
      </c>
      <c r="K1139" s="15" t="str">
        <f>HYPERLINK("https://drive.google.com/open?id=1-Dka79y6K0_5yoNg3NjyfIBJt_V9Ts_P","КРІ-СЕ 000060")</f>
        <v>КРІ-СЕ 000060</v>
      </c>
      <c r="L1139" s="15" t="str">
        <f>HYPERLINK("https://drive.google.com/open?id=1uXmUQ3t7Vxz77-S51VfH9HUbHbJxnez_","Сертифікат")</f>
        <v>Сертифікат</v>
      </c>
      <c r="M1139" s="11" t="s">
        <v>18</v>
      </c>
      <c r="N1139" s="10">
        <v>501.7</v>
      </c>
      <c r="O1139" s="10">
        <v>1997.18</v>
      </c>
      <c r="P1139" s="10">
        <v>1</v>
      </c>
      <c r="Q1139" s="10">
        <v>32</v>
      </c>
      <c r="R1139" s="10" t="s">
        <v>66</v>
      </c>
      <c r="S1139" s="10">
        <v>212</v>
      </c>
      <c r="T1139" s="10">
        <v>40.5</v>
      </c>
      <c r="U1139" s="66">
        <v>43808</v>
      </c>
      <c r="V1139" s="66">
        <v>47460</v>
      </c>
      <c r="W1139" s="10" t="s">
        <v>13</v>
      </c>
      <c r="X1139" s="10" t="s">
        <v>17</v>
      </c>
    </row>
    <row r="1140" spans="1:24" ht="50.25" customHeight="1" x14ac:dyDescent="0.25">
      <c r="A1140" s="11">
        <f t="shared" si="70"/>
        <v>1137</v>
      </c>
      <c r="B1140" s="11" t="s">
        <v>3004</v>
      </c>
      <c r="C1140" s="10" t="s">
        <v>792</v>
      </c>
      <c r="D1140" s="10" t="s">
        <v>69</v>
      </c>
      <c r="E1140" s="10" t="s">
        <v>0</v>
      </c>
      <c r="F1140" s="11" t="s">
        <v>3005</v>
      </c>
      <c r="G1140" s="11"/>
      <c r="H1140" s="11"/>
      <c r="I1140" s="11" t="s">
        <v>3006</v>
      </c>
      <c r="J1140" s="11" t="s">
        <v>2986</v>
      </c>
      <c r="K1140" s="61" t="str">
        <f>HYPERLINK("https://drive.google.com/open?id=1cNvlcLpKLQhMXRDEGkMVMn1DbQEPMPEH","ОД02071010/0302-19")</f>
        <v>ОД02071010/0302-19</v>
      </c>
      <c r="L1140" s="15" t="str">
        <f>HYPERLINK("https://drive.google.com/open?id=1-EyOaU3joXN9bn38xtZqOruU0t-f8Gal","Сертифікат")</f>
        <v>Сертифікат</v>
      </c>
      <c r="M1140" s="11" t="s">
        <v>26</v>
      </c>
      <c r="N1140" s="10">
        <v>1610.8</v>
      </c>
      <c r="O1140" s="10">
        <v>3865.92</v>
      </c>
      <c r="P1140" s="10">
        <v>2</v>
      </c>
      <c r="Q1140" s="10">
        <v>281.8</v>
      </c>
      <c r="R1140" s="10" t="s">
        <v>57</v>
      </c>
      <c r="S1140" s="10">
        <v>352.1</v>
      </c>
      <c r="T1140" s="10">
        <v>110.3</v>
      </c>
      <c r="U1140" s="66">
        <v>43805</v>
      </c>
      <c r="V1140" s="66">
        <v>47457</v>
      </c>
      <c r="W1140" s="10" t="s">
        <v>10</v>
      </c>
      <c r="X1140" s="10" t="s">
        <v>17</v>
      </c>
    </row>
    <row r="1141" spans="1:24" ht="50.25" customHeight="1" x14ac:dyDescent="0.25">
      <c r="A1141" s="11">
        <f t="shared" si="70"/>
        <v>1138</v>
      </c>
      <c r="B1141" s="11" t="s">
        <v>3007</v>
      </c>
      <c r="C1141" s="10" t="s">
        <v>1454</v>
      </c>
      <c r="D1141" s="10" t="s">
        <v>86</v>
      </c>
      <c r="E1141" s="10" t="s">
        <v>7</v>
      </c>
      <c r="F1141" s="11" t="s">
        <v>1663</v>
      </c>
      <c r="G1141" s="11"/>
      <c r="H1141" s="11"/>
      <c r="I1141" s="11" t="s">
        <v>2724</v>
      </c>
      <c r="J1141" s="11" t="s">
        <v>2078</v>
      </c>
      <c r="K1141" s="15" t="str">
        <f>HYPERLINK("https://drive.google.com/open?id=1Dy7TR5-TW7HHFgoURAEWFg2CT6g-sR4I","ЕА 02070766/15-19 ")</f>
        <v xml:space="preserve">ЕА 02070766/15-19 </v>
      </c>
      <c r="L1141" s="15" t="str">
        <f>HYPERLINK("https://drive.google.com/open?id=1O_sBOy4wv1gmfRlwTKZD5G1uEPp1kkVI","Сертифікат")</f>
        <v>Сертифікат</v>
      </c>
      <c r="M1141" s="11" t="s">
        <v>15</v>
      </c>
      <c r="N1141" s="10">
        <v>1192.8599999999999</v>
      </c>
      <c r="O1141" s="10">
        <v>6042.14</v>
      </c>
      <c r="P1141" s="10">
        <v>2</v>
      </c>
      <c r="Q1141" s="10">
        <v>40.200000000000003</v>
      </c>
      <c r="R1141" s="10" t="s">
        <v>66</v>
      </c>
      <c r="S1141" s="10">
        <v>650.9</v>
      </c>
      <c r="T1141" s="10">
        <v>78.2</v>
      </c>
      <c r="U1141" s="66">
        <v>43808</v>
      </c>
      <c r="V1141" s="66">
        <v>47460</v>
      </c>
      <c r="W1141" s="10" t="s">
        <v>10</v>
      </c>
      <c r="X1141" s="10" t="s">
        <v>17</v>
      </c>
    </row>
    <row r="1142" spans="1:24" ht="50.25" customHeight="1" x14ac:dyDescent="0.25">
      <c r="A1142" s="11">
        <f t="shared" si="70"/>
        <v>1139</v>
      </c>
      <c r="B1142" s="11" t="s">
        <v>3008</v>
      </c>
      <c r="C1142" s="10" t="s">
        <v>552</v>
      </c>
      <c r="D1142" s="10" t="s">
        <v>541</v>
      </c>
      <c r="E1142" s="10" t="s">
        <v>2</v>
      </c>
      <c r="F1142" s="11" t="s">
        <v>3009</v>
      </c>
      <c r="G1142" s="11"/>
      <c r="H1142" s="11"/>
      <c r="I1142" s="11">
        <v>1995</v>
      </c>
      <c r="J1142" s="11" t="s">
        <v>1285</v>
      </c>
      <c r="K1142" s="15" t="s">
        <v>1286</v>
      </c>
      <c r="L1142" s="15" t="str">
        <f>HYPERLINK("https://drive.google.com/open?id=1_pQ5uA7d4QuWjKwZ6AUqZb-4Kb9St354","Сертифікат")</f>
        <v>Сертифікат</v>
      </c>
      <c r="M1142" s="11" t="s">
        <v>26</v>
      </c>
      <c r="N1142" s="10">
        <v>581</v>
      </c>
      <c r="O1142" s="10">
        <v>1744</v>
      </c>
      <c r="P1142" s="10">
        <v>2</v>
      </c>
      <c r="Q1142" s="10">
        <v>180.7</v>
      </c>
      <c r="R1142" s="10" t="s">
        <v>66</v>
      </c>
      <c r="S1142" s="10">
        <v>774</v>
      </c>
      <c r="T1142" s="10">
        <v>153</v>
      </c>
      <c r="U1142" s="66">
        <v>43801</v>
      </c>
      <c r="V1142" s="66">
        <v>47453</v>
      </c>
      <c r="W1142" s="10" t="s">
        <v>10</v>
      </c>
      <c r="X1142" s="10" t="s">
        <v>17</v>
      </c>
    </row>
    <row r="1143" spans="1:24" ht="50.25" customHeight="1" x14ac:dyDescent="0.25">
      <c r="A1143" s="11">
        <f t="shared" si="70"/>
        <v>1140</v>
      </c>
      <c r="B1143" s="11" t="s">
        <v>3010</v>
      </c>
      <c r="C1143" s="10" t="s">
        <v>3011</v>
      </c>
      <c r="D1143" s="10" t="s">
        <v>69</v>
      </c>
      <c r="E1143" s="10" t="s">
        <v>3</v>
      </c>
      <c r="F1143" s="11" t="s">
        <v>3012</v>
      </c>
      <c r="G1143" s="11"/>
      <c r="H1143" s="11"/>
      <c r="I1143" s="11">
        <v>1984</v>
      </c>
      <c r="J1143" s="11" t="s">
        <v>1504</v>
      </c>
      <c r="K1143" s="15" t="str">
        <f>HYPERLINK("https://drive.google.com/open?id=1cNdHo19T35eklBUZY_qj1BVJ98P3D_u8","АА000071")</f>
        <v>АА000071</v>
      </c>
      <c r="L1143" s="15" t="str">
        <f>HYPERLINK("https://drive.google.com/open?id=10H-BJnur8ZimmlQ6hZNyvEto__VIU4c7","Сертифікат")</f>
        <v>Сертифікат</v>
      </c>
      <c r="M1143" s="11" t="s">
        <v>26</v>
      </c>
      <c r="N1143" s="10">
        <v>2766.9</v>
      </c>
      <c r="O1143" s="10">
        <v>9914</v>
      </c>
      <c r="P1143" s="10">
        <v>2</v>
      </c>
      <c r="Q1143" s="10">
        <v>112.3</v>
      </c>
      <c r="R1143" s="10" t="s">
        <v>66</v>
      </c>
      <c r="S1143" s="10">
        <v>491.7</v>
      </c>
      <c r="T1143" s="10">
        <v>176.2</v>
      </c>
      <c r="U1143" s="66">
        <v>43774</v>
      </c>
      <c r="V1143" s="66">
        <v>47426</v>
      </c>
      <c r="W1143" s="10" t="s">
        <v>10</v>
      </c>
      <c r="X1143" s="10" t="s">
        <v>17</v>
      </c>
    </row>
    <row r="1144" spans="1:24" ht="50.25" customHeight="1" x14ac:dyDescent="0.25">
      <c r="A1144" s="11">
        <f t="shared" si="70"/>
        <v>1141</v>
      </c>
      <c r="B1144" s="11" t="s">
        <v>3013</v>
      </c>
      <c r="C1144" s="10" t="s">
        <v>52</v>
      </c>
      <c r="D1144" s="10" t="s">
        <v>52</v>
      </c>
      <c r="E1144" s="10" t="s">
        <v>4</v>
      </c>
      <c r="F1144" s="11" t="s">
        <v>3014</v>
      </c>
      <c r="G1144" s="11"/>
      <c r="H1144" s="11"/>
      <c r="I1144" s="11" t="s">
        <v>836</v>
      </c>
      <c r="J1144" s="11" t="s">
        <v>1168</v>
      </c>
      <c r="K1144" s="15" t="str">
        <f>HYPERLINK("https://drive.google.com/open?id=1IAlNZe4csuyp8RH-DTYn3L4-p1-qcHtF","ЕЕ-001-10-18")</f>
        <v>ЕЕ-001-10-18</v>
      </c>
      <c r="L1144" s="15" t="str">
        <f>HYPERLINK("https://drive.google.com/open?id=1YKDvb6xxW1jtT1GJgS450YuZrIrv2pyh","Сертифікат")</f>
        <v>Сертифікат</v>
      </c>
      <c r="M1144" s="11" t="s">
        <v>15</v>
      </c>
      <c r="N1144" s="10">
        <v>2379.6</v>
      </c>
      <c r="O1144" s="10">
        <v>7615</v>
      </c>
      <c r="P1144" s="10">
        <v>3</v>
      </c>
      <c r="Q1144" s="10">
        <v>32</v>
      </c>
      <c r="R1144" s="10" t="s">
        <v>66</v>
      </c>
      <c r="S1144" s="10">
        <v>184</v>
      </c>
      <c r="T1144" s="10">
        <v>36</v>
      </c>
      <c r="U1144" s="66">
        <v>43804</v>
      </c>
      <c r="V1144" s="66">
        <v>47456</v>
      </c>
      <c r="W1144" s="10" t="s">
        <v>13</v>
      </c>
      <c r="X1144" s="10" t="s">
        <v>17</v>
      </c>
    </row>
    <row r="1145" spans="1:24" ht="50.25" customHeight="1" x14ac:dyDescent="0.25">
      <c r="A1145" s="11">
        <f t="shared" si="70"/>
        <v>1142</v>
      </c>
      <c r="B1145" s="11" t="s">
        <v>3015</v>
      </c>
      <c r="C1145" s="10" t="s">
        <v>68</v>
      </c>
      <c r="D1145" s="10" t="s">
        <v>69</v>
      </c>
      <c r="E1145" s="10" t="s">
        <v>0</v>
      </c>
      <c r="F1145" s="11" t="s">
        <v>3016</v>
      </c>
      <c r="G1145" s="11"/>
      <c r="H1145" s="11"/>
      <c r="I1145" s="11">
        <v>2019</v>
      </c>
      <c r="J1145" s="11" t="s">
        <v>438</v>
      </c>
      <c r="K1145" s="15" t="str">
        <f>HYPERLINK("https://drive.google.com/open?id=1pQzRPvBj_zLUQF1x327A_Ozsrhj7_hqF","ОД 02071010/0994-18")</f>
        <v>ОД 02071010/0994-18</v>
      </c>
      <c r="L1145" s="15" t="str">
        <f>HYPERLINK("https://drive.google.com/open?id=1kbN_eoJ7ubmtM3ierUQxOc7_N-P5rYuB","Сертифікат")</f>
        <v>Сертифікат</v>
      </c>
      <c r="M1145" s="11" t="s">
        <v>15</v>
      </c>
      <c r="N1145" s="10">
        <v>11103</v>
      </c>
      <c r="O1145" s="10">
        <v>32975.9</v>
      </c>
      <c r="P1145" s="10">
        <v>10</v>
      </c>
      <c r="Q1145" s="10">
        <v>78.5</v>
      </c>
      <c r="R1145" s="10" t="s">
        <v>57</v>
      </c>
      <c r="S1145" s="10">
        <v>224</v>
      </c>
      <c r="T1145" s="10">
        <v>42.4</v>
      </c>
      <c r="U1145" s="66">
        <v>43808</v>
      </c>
      <c r="V1145" s="66">
        <v>47460</v>
      </c>
      <c r="W1145" s="10" t="s">
        <v>10</v>
      </c>
      <c r="X1145" s="10" t="s">
        <v>17</v>
      </c>
    </row>
    <row r="1146" spans="1:24" ht="50.25" customHeight="1" x14ac:dyDescent="0.25">
      <c r="A1146" s="11">
        <f t="shared" si="70"/>
        <v>1143</v>
      </c>
      <c r="B1146" s="11" t="s">
        <v>3017</v>
      </c>
      <c r="C1146" s="10" t="s">
        <v>52</v>
      </c>
      <c r="D1146" s="10" t="s">
        <v>52</v>
      </c>
      <c r="E1146" s="10" t="s">
        <v>0</v>
      </c>
      <c r="F1146" s="11" t="s">
        <v>3018</v>
      </c>
      <c r="G1146" s="11"/>
      <c r="H1146" s="11"/>
      <c r="I1146" s="75">
        <v>43800</v>
      </c>
      <c r="J1146" s="11" t="s">
        <v>3019</v>
      </c>
      <c r="K1146" s="15" t="str">
        <f>HYPERLINK("https://drive.google.com/open?id=1giAOnTRB-UkXbRlixELkaggF5bShRRYV","АА 000031 ")</f>
        <v xml:space="preserve">АА 000031 </v>
      </c>
      <c r="L1146" s="15" t="str">
        <f>HYPERLINK("https://drive.google.com/open?id=1dbTKC5O9dxcTQDpJwZjO0AJtf1r3F0E6","Сертифікат")</f>
        <v>Сертифікат</v>
      </c>
      <c r="M1146" s="11" t="s">
        <v>18</v>
      </c>
      <c r="N1146" s="10">
        <v>91975.4</v>
      </c>
      <c r="O1146" s="10">
        <v>257531.12</v>
      </c>
      <c r="P1146" s="10">
        <v>25</v>
      </c>
      <c r="Q1146" s="10">
        <v>81.260000000000005</v>
      </c>
      <c r="R1146" s="10" t="s">
        <v>57</v>
      </c>
      <c r="S1146" s="10">
        <v>147.06</v>
      </c>
      <c r="T1146" s="10">
        <v>28.02</v>
      </c>
      <c r="U1146" s="66">
        <v>43808</v>
      </c>
      <c r="V1146" s="66">
        <v>47460</v>
      </c>
      <c r="W1146" s="10" t="s">
        <v>10</v>
      </c>
      <c r="X1146" s="10" t="s">
        <v>17</v>
      </c>
    </row>
    <row r="1147" spans="1:24" ht="50.25" customHeight="1" x14ac:dyDescent="0.25">
      <c r="A1147" s="11">
        <f t="shared" si="70"/>
        <v>1144</v>
      </c>
      <c r="B1147" s="11" t="s">
        <v>3020</v>
      </c>
      <c r="C1147" s="10" t="s">
        <v>3021</v>
      </c>
      <c r="D1147" s="47" t="s">
        <v>485</v>
      </c>
      <c r="E1147" s="10" t="s">
        <v>5</v>
      </c>
      <c r="F1147" s="11" t="s">
        <v>3022</v>
      </c>
      <c r="G1147" s="11"/>
      <c r="H1147" s="11"/>
      <c r="I1147" s="11">
        <v>1985</v>
      </c>
      <c r="J1147" s="11" t="s">
        <v>753</v>
      </c>
      <c r="K1147" s="15" t="str">
        <f>HYPERLINK("https://drive.google.com/open?id=17tvViNqObmYfXRY5necXiEkbeVWZdxpV","№CБ-0050")</f>
        <v>№CБ-0050</v>
      </c>
      <c r="L1147" s="15" t="str">
        <f>HYPERLINK("https://drive.google.com/open?id=1z6lcUhE9mhenOkLjhxjeNw6GZFs8zA7w","Сертифікат")</f>
        <v>Сертифікат</v>
      </c>
      <c r="M1147" s="11" t="s">
        <v>26</v>
      </c>
      <c r="N1147" s="10">
        <v>2065.5</v>
      </c>
      <c r="O1147" s="10">
        <v>6731.3</v>
      </c>
      <c r="P1147" s="10">
        <v>3</v>
      </c>
      <c r="Q1147" s="10">
        <v>124.5</v>
      </c>
      <c r="R1147" s="10" t="s">
        <v>66</v>
      </c>
      <c r="S1147" s="10">
        <v>303.29000000000002</v>
      </c>
      <c r="T1147" s="10">
        <v>58.78</v>
      </c>
      <c r="U1147" s="66">
        <v>43805</v>
      </c>
      <c r="V1147" s="66">
        <v>47457</v>
      </c>
      <c r="W1147" s="10" t="s">
        <v>10</v>
      </c>
      <c r="X1147" s="10" t="s">
        <v>17</v>
      </c>
    </row>
    <row r="1148" spans="1:24" ht="50.25" customHeight="1" x14ac:dyDescent="0.25">
      <c r="A1148" s="11">
        <f t="shared" si="70"/>
        <v>1145</v>
      </c>
      <c r="B1148" s="11" t="s">
        <v>3023</v>
      </c>
      <c r="C1148" s="10" t="s">
        <v>1589</v>
      </c>
      <c r="D1148" s="10" t="s">
        <v>485</v>
      </c>
      <c r="E1148" s="10" t="s">
        <v>5</v>
      </c>
      <c r="F1148" s="11" t="s">
        <v>3024</v>
      </c>
      <c r="G1148" s="11"/>
      <c r="H1148" s="11"/>
      <c r="I1148" s="11">
        <v>2004</v>
      </c>
      <c r="J1148" s="11" t="s">
        <v>110</v>
      </c>
      <c r="K1148" s="15" t="str">
        <f>HYPERLINK("https://drive.google.com/open?id=1hysLLNyTDspucV_3Tt8ScCWEgMedd8bv","0/010")</f>
        <v>0/010</v>
      </c>
      <c r="L1148" s="15" t="str">
        <f>HYPERLINK("https://drive.google.com/open?id=1pZhi3Ufzpn_YLJTHhORWUIF9U-VoyCko","Сертифікат")</f>
        <v>Сертифікат</v>
      </c>
      <c r="M1148" s="11" t="s">
        <v>26</v>
      </c>
      <c r="N1148" s="10">
        <v>11857.3</v>
      </c>
      <c r="O1148" s="10">
        <v>35572</v>
      </c>
      <c r="P1148" s="10">
        <v>6</v>
      </c>
      <c r="Q1148" s="10">
        <v>102.64</v>
      </c>
      <c r="R1148" s="10" t="s">
        <v>66</v>
      </c>
      <c r="S1148" s="10">
        <v>531.39</v>
      </c>
      <c r="T1148" s="10">
        <v>95.51</v>
      </c>
      <c r="U1148" s="66">
        <v>43809</v>
      </c>
      <c r="V1148" s="66">
        <v>47461</v>
      </c>
      <c r="W1148" s="10" t="s">
        <v>10</v>
      </c>
      <c r="X1148" s="10" t="s">
        <v>17</v>
      </c>
    </row>
    <row r="1149" spans="1:24" ht="50.25" customHeight="1" x14ac:dyDescent="0.25">
      <c r="A1149" s="11">
        <f t="shared" si="70"/>
        <v>1146</v>
      </c>
      <c r="B1149" s="11" t="s">
        <v>2841</v>
      </c>
      <c r="C1149" s="10" t="s">
        <v>2747</v>
      </c>
      <c r="D1149" s="10" t="s">
        <v>442</v>
      </c>
      <c r="E1149" s="10" t="s">
        <v>5</v>
      </c>
      <c r="F1149" s="11" t="s">
        <v>3025</v>
      </c>
      <c r="G1149" s="11"/>
      <c r="H1149" s="11"/>
      <c r="I1149" s="11">
        <v>1960</v>
      </c>
      <c r="J1149" s="11" t="s">
        <v>1544</v>
      </c>
      <c r="K1149" s="15" t="str">
        <f>HYPERLINK("https://drive.google.com/open?id=12fBzNpIyVa6z7CSyxAovcoan-4BQIWDo","ОД№000060")</f>
        <v>ОД№000060</v>
      </c>
      <c r="L1149" s="15" t="str">
        <f>HYPERLINK("https://drive.google.com/open?id=1HszrzQE7Xipc48-_c_gdsdB9-JMgUXDq","Сертифікат")</f>
        <v>Сертифікат</v>
      </c>
      <c r="M1149" s="11" t="s">
        <v>26</v>
      </c>
      <c r="N1149" s="10">
        <v>309.7</v>
      </c>
      <c r="O1149" s="10">
        <v>1149</v>
      </c>
      <c r="P1149" s="10">
        <v>1</v>
      </c>
      <c r="Q1149" s="10">
        <v>136.19999999999999</v>
      </c>
      <c r="R1149" s="10" t="s">
        <v>66</v>
      </c>
      <c r="S1149" s="10">
        <v>616.29999999999995</v>
      </c>
      <c r="T1149" s="10">
        <v>122.1</v>
      </c>
      <c r="U1149" s="66">
        <v>43809</v>
      </c>
      <c r="V1149" s="66">
        <v>47461</v>
      </c>
      <c r="W1149" s="10" t="s">
        <v>10</v>
      </c>
      <c r="X1149" s="10" t="s">
        <v>17</v>
      </c>
    </row>
    <row r="1150" spans="1:24" ht="50.25" customHeight="1" x14ac:dyDescent="0.25">
      <c r="A1150" s="11">
        <f t="shared" si="70"/>
        <v>1147</v>
      </c>
      <c r="B1150" s="11" t="s">
        <v>3026</v>
      </c>
      <c r="C1150" s="10" t="s">
        <v>3027</v>
      </c>
      <c r="D1150" s="10" t="s">
        <v>541</v>
      </c>
      <c r="E1150" s="10" t="s">
        <v>2</v>
      </c>
      <c r="F1150" s="11" t="s">
        <v>3028</v>
      </c>
      <c r="G1150" s="11"/>
      <c r="H1150" s="11"/>
      <c r="I1150" s="11">
        <v>1974</v>
      </c>
      <c r="J1150" s="11" t="s">
        <v>209</v>
      </c>
      <c r="K1150" s="15" t="str">
        <f>HYPERLINK("https://drive.google.com/open?id=1nFSy5k_5dEpHD1r7NrzhyR0bvCdUEIlN","СБ-0033")</f>
        <v>СБ-0033</v>
      </c>
      <c r="L1150" s="15" t="str">
        <f>HYPERLINK("https://drive.google.com/open?id=1dEV3Hhel1_x7H-m6tKghmUYWtHutvato","Сертифікат")</f>
        <v>Сертифікат</v>
      </c>
      <c r="M1150" s="11" t="s">
        <v>26</v>
      </c>
      <c r="N1150" s="10">
        <v>86</v>
      </c>
      <c r="O1150" s="10">
        <v>242</v>
      </c>
      <c r="P1150" s="10">
        <v>1</v>
      </c>
      <c r="Q1150" s="10">
        <v>318</v>
      </c>
      <c r="R1150" s="10" t="s">
        <v>66</v>
      </c>
      <c r="S1150" s="10">
        <v>261</v>
      </c>
      <c r="T1150" s="10">
        <v>51</v>
      </c>
      <c r="U1150" s="66">
        <v>43808</v>
      </c>
      <c r="V1150" s="66">
        <v>47460</v>
      </c>
      <c r="W1150" s="10" t="s">
        <v>13</v>
      </c>
      <c r="X1150" s="10" t="s">
        <v>17</v>
      </c>
    </row>
    <row r="1151" spans="1:24" ht="50.25" customHeight="1" x14ac:dyDescent="0.25">
      <c r="A1151" s="11">
        <f t="shared" si="70"/>
        <v>1148</v>
      </c>
      <c r="B1151" s="11" t="s">
        <v>3023</v>
      </c>
      <c r="C1151" s="10" t="s">
        <v>1589</v>
      </c>
      <c r="D1151" s="10" t="s">
        <v>485</v>
      </c>
      <c r="E1151" s="10" t="s">
        <v>5</v>
      </c>
      <c r="F1151" s="11" t="s">
        <v>3029</v>
      </c>
      <c r="G1151" s="11"/>
      <c r="H1151" s="11"/>
      <c r="I1151" s="11">
        <v>1978</v>
      </c>
      <c r="J1151" s="11" t="s">
        <v>110</v>
      </c>
      <c r="K1151" s="15" t="str">
        <f>HYPERLINK("https://drive.google.com/open?id=1hysLLNyTDspucV_3Tt8ScCWEgMedd8bv","0/010")</f>
        <v>0/010</v>
      </c>
      <c r="L1151" s="15" t="str">
        <f>HYPERLINK("https://drive.google.com/open?id=1CQhPIQoPu13WwlVoZG8lSUeTEdgAdmd1","Сертифікат")</f>
        <v>Сертифікат</v>
      </c>
      <c r="M1151" s="11" t="s">
        <v>26</v>
      </c>
      <c r="N1151" s="10">
        <v>6949.5</v>
      </c>
      <c r="O1151" s="10">
        <v>20848.400000000001</v>
      </c>
      <c r="P1151" s="10">
        <v>5</v>
      </c>
      <c r="Q1151" s="10">
        <v>103.41</v>
      </c>
      <c r="R1151" s="10" t="s">
        <v>66</v>
      </c>
      <c r="S1151" s="10">
        <v>533.66999999999996</v>
      </c>
      <c r="T1151" s="10">
        <v>95.94</v>
      </c>
      <c r="U1151" s="66">
        <v>43809</v>
      </c>
      <c r="V1151" s="66">
        <v>47461</v>
      </c>
      <c r="W1151" s="10" t="s">
        <v>10</v>
      </c>
      <c r="X1151" s="10" t="s">
        <v>17</v>
      </c>
    </row>
    <row r="1152" spans="1:24" ht="50.25" customHeight="1" x14ac:dyDescent="0.25">
      <c r="A1152" s="11">
        <f t="shared" si="70"/>
        <v>1149</v>
      </c>
      <c r="B1152" s="11" t="s">
        <v>3030</v>
      </c>
      <c r="C1152" s="10" t="s">
        <v>102</v>
      </c>
      <c r="D1152" s="10" t="s">
        <v>103</v>
      </c>
      <c r="E1152" s="10" t="s">
        <v>2</v>
      </c>
      <c r="F1152" s="11" t="s">
        <v>3031</v>
      </c>
      <c r="G1152" s="11"/>
      <c r="H1152" s="11"/>
      <c r="I1152" s="11">
        <v>1986</v>
      </c>
      <c r="J1152" s="11" t="s">
        <v>3032</v>
      </c>
      <c r="K1152" s="15" t="str">
        <f>HYPERLINK("https://drive.google.com/open?id=1XZMs8muxxyCJnFYFunkIQJy5QGpCXlLt","АР 000020")</f>
        <v>АР 000020</v>
      </c>
      <c r="L1152" s="15" t="str">
        <f>HYPERLINK("https://drive.google.com/open?id=1xwbfGol9NhOG0M3rT1AWV1H_rM0IUtzB","Сертифікат")</f>
        <v>Сертифікат</v>
      </c>
      <c r="M1152" s="11" t="s">
        <v>18</v>
      </c>
      <c r="N1152" s="10">
        <v>7842</v>
      </c>
      <c r="O1152" s="10">
        <v>32894</v>
      </c>
      <c r="P1152" s="10">
        <v>3</v>
      </c>
      <c r="Q1152" s="10">
        <v>58.4</v>
      </c>
      <c r="R1152" s="10" t="s">
        <v>66</v>
      </c>
      <c r="S1152" s="10">
        <v>350.01</v>
      </c>
      <c r="T1152" s="10">
        <v>69.45</v>
      </c>
      <c r="U1152" s="66">
        <v>43809</v>
      </c>
      <c r="V1152" s="66">
        <v>47461</v>
      </c>
      <c r="W1152" s="10" t="s">
        <v>10</v>
      </c>
      <c r="X1152" s="10" t="s">
        <v>17</v>
      </c>
    </row>
    <row r="1153" spans="1:24" ht="50.25" customHeight="1" x14ac:dyDescent="0.25">
      <c r="A1153" s="11">
        <f t="shared" si="70"/>
        <v>1150</v>
      </c>
      <c r="B1153" s="11" t="s">
        <v>3033</v>
      </c>
      <c r="C1153" s="10" t="s">
        <v>3034</v>
      </c>
      <c r="D1153" s="10" t="s">
        <v>3035</v>
      </c>
      <c r="E1153" s="10" t="s">
        <v>3</v>
      </c>
      <c r="F1153" s="11" t="s">
        <v>3036</v>
      </c>
      <c r="G1153" s="11"/>
      <c r="H1153" s="11"/>
      <c r="I1153" s="11">
        <v>1990</v>
      </c>
      <c r="J1153" s="11" t="s">
        <v>438</v>
      </c>
      <c r="K1153" s="15" t="str">
        <f>HYPERLINK("https://drive.google.com/open?id=1pQzRPvBj_zLUQF1x327A_Ozsrhj7_hqF","ОД 02071010/0994-18")</f>
        <v>ОД 02071010/0994-18</v>
      </c>
      <c r="L1153" s="15" t="str">
        <f>HYPERLINK("https://drive.google.com/open?id=1uh-_qxTys0-q02b0cKUFj6ol9Dg_es0Y","Сертифікат")</f>
        <v>Сертифікат</v>
      </c>
      <c r="M1153" s="11" t="s">
        <v>26</v>
      </c>
      <c r="N1153" s="10">
        <v>4251.3999999999996</v>
      </c>
      <c r="O1153" s="10">
        <v>13604.5</v>
      </c>
      <c r="P1153" s="10">
        <v>2</v>
      </c>
      <c r="Q1153" s="10">
        <v>71.5</v>
      </c>
      <c r="R1153" s="10" t="s">
        <v>66</v>
      </c>
      <c r="S1153" s="10">
        <v>352.7</v>
      </c>
      <c r="T1153" s="10">
        <v>69.099999999999994</v>
      </c>
      <c r="U1153" s="66">
        <v>43808</v>
      </c>
      <c r="V1153" s="66">
        <v>47460</v>
      </c>
      <c r="W1153" s="10" t="s">
        <v>13</v>
      </c>
      <c r="X1153" s="10" t="s">
        <v>17</v>
      </c>
    </row>
    <row r="1154" spans="1:24" ht="50.25" customHeight="1" x14ac:dyDescent="0.25">
      <c r="A1154" s="11">
        <f t="shared" si="70"/>
        <v>1151</v>
      </c>
      <c r="B1154" s="11" t="s">
        <v>3037</v>
      </c>
      <c r="C1154" s="10" t="s">
        <v>52</v>
      </c>
      <c r="D1154" s="10" t="s">
        <v>52</v>
      </c>
      <c r="E1154" s="10" t="s">
        <v>4</v>
      </c>
      <c r="F1154" s="11" t="s">
        <v>3038</v>
      </c>
      <c r="G1154" s="11"/>
      <c r="H1154" s="11"/>
      <c r="I1154" s="11" t="s">
        <v>3039</v>
      </c>
      <c r="J1154" s="20" t="s">
        <v>126</v>
      </c>
      <c r="K1154" s="15" t="s">
        <v>127</v>
      </c>
      <c r="L1154" s="15" t="str">
        <f>HYPERLINK("https://drive.google.com/open?id=1jXhY8aUaxK0JAEQ88OopW6ij38f8ErJs","Сертифікат")</f>
        <v>Сертифікат</v>
      </c>
      <c r="M1154" s="11" t="s">
        <v>18</v>
      </c>
      <c r="N1154" s="10">
        <v>3546</v>
      </c>
      <c r="O1154" s="10">
        <v>11230</v>
      </c>
      <c r="P1154" s="31">
        <v>43526</v>
      </c>
      <c r="Q1154" s="10">
        <v>54.8</v>
      </c>
      <c r="R1154" s="10" t="s">
        <v>66</v>
      </c>
      <c r="S1154" s="10">
        <v>357.1</v>
      </c>
      <c r="T1154" s="10">
        <v>69</v>
      </c>
      <c r="U1154" s="66">
        <v>43808</v>
      </c>
      <c r="V1154" s="66">
        <v>47460</v>
      </c>
      <c r="W1154" s="10" t="s">
        <v>10</v>
      </c>
      <c r="X1154" s="10" t="s">
        <v>17</v>
      </c>
    </row>
    <row r="1155" spans="1:24" ht="50.25" customHeight="1" x14ac:dyDescent="0.25">
      <c r="A1155" s="11">
        <f t="shared" si="70"/>
        <v>1152</v>
      </c>
      <c r="B1155" s="11" t="s">
        <v>3040</v>
      </c>
      <c r="C1155" s="10" t="s">
        <v>3041</v>
      </c>
      <c r="D1155" s="10" t="s">
        <v>442</v>
      </c>
      <c r="E1155" s="10" t="s">
        <v>5</v>
      </c>
      <c r="F1155" s="11" t="s">
        <v>3042</v>
      </c>
      <c r="G1155" s="11"/>
      <c r="H1155" s="11"/>
      <c r="I1155" s="11">
        <v>1952</v>
      </c>
      <c r="J1155" s="11" t="s">
        <v>1544</v>
      </c>
      <c r="K1155" s="15" t="str">
        <f>HYPERLINK("https://drive.google.com/open?id=12fBzNpIyVa6z7CSyxAovcoan-4BQIWDo","ОД№000060")</f>
        <v>ОД№000060</v>
      </c>
      <c r="L1155" s="15" t="str">
        <f>HYPERLINK("https://drive.google.com/open?id=1ncu8UnHHKe9uWRRq4ZSOC2c_lvXr4VIy","Сертифікат")</f>
        <v>Сертифікат</v>
      </c>
      <c r="M1155" s="11" t="s">
        <v>22</v>
      </c>
      <c r="N1155" s="10">
        <v>616.5</v>
      </c>
      <c r="O1155" s="10">
        <v>2288</v>
      </c>
      <c r="P1155" s="10">
        <v>1</v>
      </c>
      <c r="Q1155" s="10">
        <v>79.19</v>
      </c>
      <c r="R1155" s="10" t="s">
        <v>66</v>
      </c>
      <c r="S1155" s="10">
        <v>385.3</v>
      </c>
      <c r="T1155" s="10">
        <v>75.599999999999994</v>
      </c>
      <c r="U1155" s="66">
        <v>43809</v>
      </c>
      <c r="V1155" s="66">
        <v>47461</v>
      </c>
      <c r="W1155" s="10" t="s">
        <v>10</v>
      </c>
      <c r="X1155" s="10" t="s">
        <v>17</v>
      </c>
    </row>
    <row r="1156" spans="1:24" ht="50.25" customHeight="1" x14ac:dyDescent="0.25">
      <c r="A1156" s="11">
        <f t="shared" si="70"/>
        <v>1153</v>
      </c>
      <c r="B1156" s="11" t="s">
        <v>3043</v>
      </c>
      <c r="C1156" s="10" t="s">
        <v>3044</v>
      </c>
      <c r="D1156" s="10" t="s">
        <v>75</v>
      </c>
      <c r="E1156" s="10" t="s">
        <v>5</v>
      </c>
      <c r="F1156" s="11" t="s">
        <v>3045</v>
      </c>
      <c r="G1156" s="11"/>
      <c r="H1156" s="11"/>
      <c r="I1156" s="11" t="s">
        <v>3046</v>
      </c>
      <c r="J1156" s="11" t="s">
        <v>1617</v>
      </c>
      <c r="K1156" s="15" t="str">
        <f>HYPERLINK("https://drive.google.com/open?id=1gVjK7Kms_vZzDIaxyBi5Lt_7GawMSOWj","АА000052")</f>
        <v>АА000052</v>
      </c>
      <c r="L1156" s="15" t="str">
        <f>HYPERLINK("https://drive.google.com/open?id=1C0bp2AMyFJmaN38ZSix3uhS_j121LqOO","Сертифікат")</f>
        <v>Сертифікат</v>
      </c>
      <c r="M1156" s="11" t="s">
        <v>18</v>
      </c>
      <c r="N1156" s="10">
        <v>497.8</v>
      </c>
      <c r="O1156" s="10">
        <v>1393.84</v>
      </c>
      <c r="P1156" s="10">
        <v>1</v>
      </c>
      <c r="Q1156" s="10">
        <v>51.7</v>
      </c>
      <c r="R1156" s="10" t="s">
        <v>66</v>
      </c>
      <c r="S1156" s="10">
        <v>530.6</v>
      </c>
      <c r="T1156" s="10">
        <v>99.2</v>
      </c>
      <c r="U1156" s="66">
        <v>43809</v>
      </c>
      <c r="V1156" s="66">
        <v>47461</v>
      </c>
      <c r="W1156" s="10" t="s">
        <v>13</v>
      </c>
      <c r="X1156" s="10" t="s">
        <v>17</v>
      </c>
    </row>
    <row r="1157" spans="1:24" ht="50.25" customHeight="1" x14ac:dyDescent="0.25">
      <c r="A1157" s="11">
        <f t="shared" si="70"/>
        <v>1154</v>
      </c>
      <c r="B1157" s="26" t="s">
        <v>3047</v>
      </c>
      <c r="C1157" s="20" t="s">
        <v>3048</v>
      </c>
      <c r="D1157" s="26" t="s">
        <v>1295</v>
      </c>
      <c r="E1157" s="10" t="s">
        <v>0</v>
      </c>
      <c r="F1157" s="26" t="s">
        <v>2013</v>
      </c>
      <c r="G1157" s="11"/>
      <c r="H1157" s="11"/>
      <c r="I1157" s="11" t="s">
        <v>836</v>
      </c>
      <c r="J1157" s="10" t="s">
        <v>2298</v>
      </c>
      <c r="K1157" s="51" t="str">
        <f>HYPERLINK("https://drive.google.com/open?id=1HaDqQXAtet_8VgxaBmoxXxADu-bGNCh1","CБ-0053")</f>
        <v>CБ-0053</v>
      </c>
      <c r="L1157" s="15" t="str">
        <f>HYPERLINK("https://drive.google.com/open?id=1PkdiFOlP3oAIUbbhtl8Qo70mzSOdWi_M","Сертифікат")</f>
        <v>Сертифікат</v>
      </c>
      <c r="M1157" s="11" t="s">
        <v>22</v>
      </c>
      <c r="N1157" s="10">
        <v>5220.2</v>
      </c>
      <c r="O1157" s="10">
        <v>14616.72</v>
      </c>
      <c r="P1157" s="10">
        <v>10</v>
      </c>
      <c r="Q1157" s="10">
        <v>129.80000000000001</v>
      </c>
      <c r="R1157" s="10" t="s">
        <v>57</v>
      </c>
      <c r="S1157" s="10">
        <v>191</v>
      </c>
      <c r="T1157" s="10">
        <v>37.4</v>
      </c>
      <c r="U1157" s="66">
        <v>43809</v>
      </c>
      <c r="V1157" s="66">
        <v>47461</v>
      </c>
      <c r="W1157" s="10" t="s">
        <v>13</v>
      </c>
      <c r="X1157" s="10" t="s">
        <v>17</v>
      </c>
    </row>
    <row r="1158" spans="1:24" ht="50.25" customHeight="1" x14ac:dyDescent="0.25">
      <c r="A1158" s="11">
        <f t="shared" si="70"/>
        <v>1155</v>
      </c>
      <c r="B1158" s="11" t="s">
        <v>3049</v>
      </c>
      <c r="C1158" s="10" t="s">
        <v>3050</v>
      </c>
      <c r="D1158" s="10" t="s">
        <v>86</v>
      </c>
      <c r="E1158" s="10" t="s">
        <v>0</v>
      </c>
      <c r="F1158" s="11" t="s">
        <v>3051</v>
      </c>
      <c r="G1158" s="11"/>
      <c r="H1158" s="11"/>
      <c r="I1158" s="11">
        <v>1962</v>
      </c>
      <c r="J1158" s="20" t="s">
        <v>3052</v>
      </c>
      <c r="K1158" s="15" t="str">
        <f>HYPERLINK("https://drive.google.com/open?id=1EhW_7OWQoZLTQB_XreAEjinLzW9jQpiQ","ОД02071010/0995-18")</f>
        <v>ОД02071010/0995-18</v>
      </c>
      <c r="L1158" s="15" t="str">
        <f>HYPERLINK("https://drive.google.com/open?id=1C1dHGIQp2o-E130lplAsXDfwWSPAzRi3","Сертифікат")</f>
        <v>Сертифікат</v>
      </c>
      <c r="M1158" s="11" t="s">
        <v>26</v>
      </c>
      <c r="N1158" s="10">
        <v>2599</v>
      </c>
      <c r="O1158" s="10">
        <v>7017.3</v>
      </c>
      <c r="P1158" s="10">
        <v>5</v>
      </c>
      <c r="Q1158" s="10">
        <v>323.43</v>
      </c>
      <c r="R1158" s="10" t="s">
        <v>57</v>
      </c>
      <c r="S1158" s="10">
        <v>523.21</v>
      </c>
      <c r="T1158" s="10">
        <v>100.53</v>
      </c>
      <c r="U1158" s="66">
        <v>43809</v>
      </c>
      <c r="V1158" s="66">
        <v>47461</v>
      </c>
      <c r="W1158" s="10" t="s">
        <v>13</v>
      </c>
      <c r="X1158" s="10" t="s">
        <v>17</v>
      </c>
    </row>
    <row r="1159" spans="1:24" ht="50.25" customHeight="1" x14ac:dyDescent="0.25">
      <c r="A1159" s="11">
        <f t="shared" si="70"/>
        <v>1156</v>
      </c>
      <c r="B1159" s="11" t="s">
        <v>2774</v>
      </c>
      <c r="C1159" s="10" t="s">
        <v>258</v>
      </c>
      <c r="D1159" s="10" t="s">
        <v>75</v>
      </c>
      <c r="E1159" s="10" t="s">
        <v>0</v>
      </c>
      <c r="F1159" s="11" t="s">
        <v>3053</v>
      </c>
      <c r="G1159" s="11"/>
      <c r="H1159" s="11"/>
      <c r="I1159" s="11">
        <v>1983</v>
      </c>
      <c r="J1159" s="11" t="s">
        <v>642</v>
      </c>
      <c r="K1159" s="15" t="str">
        <f t="shared" ref="K1159:K1160" si="80">HYPERLINK("https://drive.google.com/open?id=1cxGxrVWMvCNlS6TwjKIt2Jn85z6h57TB","ЕЕ-036-05-19")</f>
        <v>ЕЕ-036-05-19</v>
      </c>
      <c r="L1159" s="15" t="str">
        <f>HYPERLINK("https://drive.google.com/open?id=1wmUTH-fDeemm_C0m8qT0Y4hAJthDWmzI","Сертифікат")</f>
        <v>Сертифікат</v>
      </c>
      <c r="M1159" s="11" t="s">
        <v>26</v>
      </c>
      <c r="N1159" s="10">
        <v>4536.1000000000004</v>
      </c>
      <c r="O1159" s="10">
        <v>12763.7</v>
      </c>
      <c r="P1159" s="10">
        <v>5</v>
      </c>
      <c r="Q1159" s="10">
        <v>423.5</v>
      </c>
      <c r="R1159" s="10" t="s">
        <v>57</v>
      </c>
      <c r="S1159" s="10">
        <v>670</v>
      </c>
      <c r="T1159" s="10">
        <v>130</v>
      </c>
      <c r="U1159" s="66">
        <v>43804</v>
      </c>
      <c r="V1159" s="66">
        <v>47456</v>
      </c>
      <c r="W1159" s="10" t="s">
        <v>13</v>
      </c>
      <c r="X1159" s="10" t="s">
        <v>17</v>
      </c>
    </row>
    <row r="1160" spans="1:24" ht="50.25" customHeight="1" x14ac:dyDescent="0.25">
      <c r="A1160" s="11">
        <f t="shared" si="70"/>
        <v>1157</v>
      </c>
      <c r="B1160" s="11" t="s">
        <v>3054</v>
      </c>
      <c r="C1160" s="10" t="s">
        <v>3055</v>
      </c>
      <c r="D1160" s="10" t="s">
        <v>79</v>
      </c>
      <c r="E1160" s="10" t="s">
        <v>3</v>
      </c>
      <c r="F1160" s="11" t="s">
        <v>3056</v>
      </c>
      <c r="G1160" s="11"/>
      <c r="H1160" s="11"/>
      <c r="I1160" s="11" t="s">
        <v>3057</v>
      </c>
      <c r="J1160" s="11" t="s">
        <v>642</v>
      </c>
      <c r="K1160" s="15" t="str">
        <f t="shared" si="80"/>
        <v>ЕЕ-036-05-19</v>
      </c>
      <c r="L1160" s="15" t="str">
        <f>HYPERLINK("https://drive.google.com/open?id=1e7QfPkRSsMtVAQtsg5fDeIdmS4XUa5wQ","Сертифікат")</f>
        <v>Сертифікат</v>
      </c>
      <c r="M1160" s="11" t="s">
        <v>26</v>
      </c>
      <c r="N1160" s="10">
        <v>846.4</v>
      </c>
      <c r="O1160" s="10">
        <v>2623</v>
      </c>
      <c r="P1160" s="10">
        <v>1</v>
      </c>
      <c r="Q1160" s="10">
        <v>181.6</v>
      </c>
      <c r="R1160" s="10" t="s">
        <v>66</v>
      </c>
      <c r="S1160" s="10">
        <v>785</v>
      </c>
      <c r="T1160" s="10">
        <v>156</v>
      </c>
      <c r="U1160" s="66">
        <v>43808</v>
      </c>
      <c r="V1160" s="66">
        <v>47460</v>
      </c>
      <c r="W1160" s="10" t="s">
        <v>10</v>
      </c>
      <c r="X1160" s="10" t="s">
        <v>17</v>
      </c>
    </row>
    <row r="1161" spans="1:24" ht="50.25" customHeight="1" x14ac:dyDescent="0.25">
      <c r="A1161" s="11">
        <f t="shared" si="70"/>
        <v>1158</v>
      </c>
      <c r="B1161" s="11" t="s">
        <v>3058</v>
      </c>
      <c r="C1161" s="10" t="s">
        <v>284</v>
      </c>
      <c r="D1161" s="10" t="s">
        <v>285</v>
      </c>
      <c r="E1161" s="10" t="s">
        <v>0</v>
      </c>
      <c r="F1161" s="11" t="s">
        <v>3059</v>
      </c>
      <c r="G1161" s="11"/>
      <c r="H1161" s="11"/>
      <c r="I1161" s="11" t="s">
        <v>1336</v>
      </c>
      <c r="J1161" s="11" t="s">
        <v>732</v>
      </c>
      <c r="K1161" s="15" t="str">
        <f>HYPERLINK("https://drive.google.com/open?id=1YmIUNUHq4P-kOoyLjfDDMpvQv5hFDMTd","ОРІ-АВ00010")</f>
        <v>ОРІ-АВ00010</v>
      </c>
      <c r="L1161" s="15" t="str">
        <f>HYPERLINK("https://drive.google.com/open?id=1nstm_RXMD5NoGmLXqN8Zc6seTy8UifqO","Сертифікат")</f>
        <v>Сертифікат</v>
      </c>
      <c r="M1161" s="11" t="s">
        <v>18</v>
      </c>
      <c r="N1161" s="10">
        <v>4387.5</v>
      </c>
      <c r="O1161" s="10">
        <v>13162.5</v>
      </c>
      <c r="P1161" s="10">
        <v>9</v>
      </c>
      <c r="Q1161" s="10">
        <v>85.9</v>
      </c>
      <c r="R1161" s="10" t="s">
        <v>57</v>
      </c>
      <c r="S1161" s="10">
        <v>138</v>
      </c>
      <c r="T1161" s="10">
        <v>27</v>
      </c>
      <c r="U1161" s="66">
        <v>43810</v>
      </c>
      <c r="V1161" s="66">
        <v>47462</v>
      </c>
      <c r="W1161" s="10" t="s">
        <v>13</v>
      </c>
      <c r="X1161" s="10" t="s">
        <v>17</v>
      </c>
    </row>
    <row r="1162" spans="1:24" ht="50.25" customHeight="1" x14ac:dyDescent="0.25">
      <c r="A1162" s="11">
        <f t="shared" si="70"/>
        <v>1159</v>
      </c>
      <c r="B1162" s="11" t="s">
        <v>3060</v>
      </c>
      <c r="C1162" s="10" t="s">
        <v>2628</v>
      </c>
      <c r="D1162" s="10" t="s">
        <v>541</v>
      </c>
      <c r="E1162" s="10" t="s">
        <v>3</v>
      </c>
      <c r="F1162" s="11" t="s">
        <v>3061</v>
      </c>
      <c r="G1162" s="11"/>
      <c r="H1162" s="11"/>
      <c r="I1162" s="11">
        <v>1910</v>
      </c>
      <c r="J1162" s="11" t="s">
        <v>1285</v>
      </c>
      <c r="K1162" s="15" t="s">
        <v>1286</v>
      </c>
      <c r="L1162" s="15" t="str">
        <f>HYPERLINK("https://drive.google.com/open?id=1Vsxznd_svdTGdy9Sthq75x4s2Y_5JRGT","Сертифікат")</f>
        <v>Сертифікат</v>
      </c>
      <c r="M1162" s="11" t="s">
        <v>26</v>
      </c>
      <c r="N1162" s="10">
        <v>2319</v>
      </c>
      <c r="O1162" s="10">
        <v>8388</v>
      </c>
      <c r="P1162" s="10">
        <v>2</v>
      </c>
      <c r="Q1162" s="10">
        <v>62.5</v>
      </c>
      <c r="R1162" s="10" t="s">
        <v>66</v>
      </c>
      <c r="S1162" s="10">
        <v>340</v>
      </c>
      <c r="T1162" s="10">
        <v>67</v>
      </c>
      <c r="U1162" s="66">
        <v>43801</v>
      </c>
      <c r="V1162" s="66">
        <v>47453</v>
      </c>
      <c r="W1162" s="10" t="s">
        <v>10</v>
      </c>
      <c r="X1162" s="10" t="s">
        <v>17</v>
      </c>
    </row>
    <row r="1163" spans="1:24" ht="50.25" customHeight="1" x14ac:dyDescent="0.25">
      <c r="A1163" s="11">
        <f t="shared" si="70"/>
        <v>1160</v>
      </c>
      <c r="B1163" s="11" t="s">
        <v>3008</v>
      </c>
      <c r="C1163" s="10" t="s">
        <v>552</v>
      </c>
      <c r="D1163" s="10" t="s">
        <v>541</v>
      </c>
      <c r="E1163" s="10" t="s">
        <v>5</v>
      </c>
      <c r="F1163" s="11" t="s">
        <v>3062</v>
      </c>
      <c r="G1163" s="11"/>
      <c r="H1163" s="11"/>
      <c r="I1163" s="11">
        <v>1978</v>
      </c>
      <c r="J1163" s="11" t="s">
        <v>1285</v>
      </c>
      <c r="K1163" s="15" t="s">
        <v>1286</v>
      </c>
      <c r="L1163" s="15" t="str">
        <f>HYPERLINK("https://drive.google.com/open?id=190g8scjgUulR6Jbfc-ws-HArwTZIL_Sj","Сертифікат")</f>
        <v>Сертифікат</v>
      </c>
      <c r="M1163" s="11" t="s">
        <v>26</v>
      </c>
      <c r="N1163" s="10">
        <v>5357</v>
      </c>
      <c r="O1163" s="10">
        <v>16070</v>
      </c>
      <c r="P1163" s="10">
        <v>6</v>
      </c>
      <c r="Q1163" s="10">
        <v>119.8</v>
      </c>
      <c r="R1163" s="10" t="s">
        <v>66</v>
      </c>
      <c r="S1163" s="10">
        <v>539</v>
      </c>
      <c r="T1163" s="10">
        <v>106</v>
      </c>
      <c r="U1163" s="66">
        <v>43802</v>
      </c>
      <c r="V1163" s="66">
        <v>47454</v>
      </c>
      <c r="W1163" s="10" t="s">
        <v>10</v>
      </c>
      <c r="X1163" s="10" t="s">
        <v>17</v>
      </c>
    </row>
    <row r="1164" spans="1:24" ht="50.25" customHeight="1" x14ac:dyDescent="0.25">
      <c r="A1164" s="11">
        <f t="shared" si="70"/>
        <v>1161</v>
      </c>
      <c r="B1164" s="11" t="s">
        <v>3063</v>
      </c>
      <c r="C1164" s="10" t="s">
        <v>85</v>
      </c>
      <c r="D1164" s="10" t="s">
        <v>86</v>
      </c>
      <c r="E1164" s="10" t="s">
        <v>2</v>
      </c>
      <c r="F1164" s="11" t="s">
        <v>3064</v>
      </c>
      <c r="G1164" s="11"/>
      <c r="H1164" s="11"/>
      <c r="I1164" s="11" t="s">
        <v>3065</v>
      </c>
      <c r="J1164" s="11" t="s">
        <v>240</v>
      </c>
      <c r="K1164" s="15" t="str">
        <f>HYPERLINK("https://drive.google.com/open?id=1bdfPcoVY7gGnfSqAUR9FcOU1nrSE71tH","АА 000020")</f>
        <v>АА 000020</v>
      </c>
      <c r="L1164" s="15" t="str">
        <f>HYPERLINK("https://drive.google.com/open?id=1_QrDxaILs3xcrbsMS8L5fYCZdF9bqbfK","Сертифікат")</f>
        <v>Сертифікат</v>
      </c>
      <c r="M1164" s="11" t="s">
        <v>20</v>
      </c>
      <c r="N1164" s="10" t="s">
        <v>3066</v>
      </c>
      <c r="O1164" s="10">
        <v>3535.8510000000001</v>
      </c>
      <c r="P1164" s="10">
        <v>2</v>
      </c>
      <c r="Q1164" s="10">
        <v>62.71</v>
      </c>
      <c r="R1164" s="10" t="s">
        <v>66</v>
      </c>
      <c r="S1164" s="10">
        <v>230.22</v>
      </c>
      <c r="T1164" s="10">
        <v>51.63</v>
      </c>
      <c r="U1164" s="66">
        <v>43788</v>
      </c>
      <c r="V1164" s="66">
        <v>47440</v>
      </c>
      <c r="W1164" s="10" t="s">
        <v>10</v>
      </c>
      <c r="X1164" s="10" t="s">
        <v>17</v>
      </c>
    </row>
    <row r="1165" spans="1:24" ht="50.25" customHeight="1" x14ac:dyDescent="0.25">
      <c r="A1165" s="11">
        <f t="shared" si="70"/>
        <v>1162</v>
      </c>
      <c r="B1165" s="11" t="s">
        <v>3067</v>
      </c>
      <c r="C1165" s="10" t="s">
        <v>182</v>
      </c>
      <c r="D1165" s="10" t="s">
        <v>174</v>
      </c>
      <c r="E1165" s="10" t="s">
        <v>7</v>
      </c>
      <c r="F1165" s="11" t="s">
        <v>2865</v>
      </c>
      <c r="G1165" s="11"/>
      <c r="H1165" s="11"/>
      <c r="I1165" s="11" t="s">
        <v>3068</v>
      </c>
      <c r="J1165" s="11" t="s">
        <v>218</v>
      </c>
      <c r="K1165" s="15" t="str">
        <f>HYPERLINK("https://drive.google.com/open?id=1ygYQvthyyxeWohHOi9U2fiYjQP-ijA78","АР 000048")</f>
        <v>АР 000048</v>
      </c>
      <c r="L1165" s="15" t="str">
        <f>HYPERLINK("https://drive.google.com/open?id=1WPVTxkuQHtxZRbzXcjpweIjdtLbqaIrW","Сертифікат")</f>
        <v>Сертифікат</v>
      </c>
      <c r="M1165" s="11" t="s">
        <v>15</v>
      </c>
      <c r="N1165" s="10" t="s">
        <v>3069</v>
      </c>
      <c r="O1165" s="10">
        <v>32547.040000000001</v>
      </c>
      <c r="P1165" s="10">
        <v>2</v>
      </c>
      <c r="Q1165" s="10">
        <v>30.311</v>
      </c>
      <c r="R1165" s="10" t="s">
        <v>66</v>
      </c>
      <c r="S1165" s="10" t="s">
        <v>3070</v>
      </c>
      <c r="T1165" s="10" t="s">
        <v>3071</v>
      </c>
      <c r="U1165" s="66">
        <v>43804</v>
      </c>
      <c r="V1165" s="66">
        <v>47456</v>
      </c>
      <c r="W1165" s="10" t="s">
        <v>13</v>
      </c>
      <c r="X1165" s="10" t="s">
        <v>17</v>
      </c>
    </row>
    <row r="1166" spans="1:24" ht="50.25" customHeight="1" x14ac:dyDescent="0.25">
      <c r="A1166" s="11">
        <f t="shared" si="70"/>
        <v>1163</v>
      </c>
      <c r="B1166" s="11" t="s">
        <v>3072</v>
      </c>
      <c r="C1166" s="10" t="s">
        <v>3027</v>
      </c>
      <c r="D1166" s="10" t="s">
        <v>541</v>
      </c>
      <c r="E1166" s="10" t="s">
        <v>5</v>
      </c>
      <c r="F1166" s="11" t="s">
        <v>3073</v>
      </c>
      <c r="G1166" s="11"/>
      <c r="H1166" s="11"/>
      <c r="I1166" s="11">
        <v>1962</v>
      </c>
      <c r="J1166" s="11" t="s">
        <v>209</v>
      </c>
      <c r="K1166" s="15" t="str">
        <f>HYPERLINK("https://drive.google.com/open?id=1nFSy5k_5dEpHD1r7NrzhyR0bvCdUEIlN","СБ-0033")</f>
        <v>СБ-0033</v>
      </c>
      <c r="L1166" s="15" t="str">
        <f>HYPERLINK("https://drive.google.com/open?id=1rZPs23EmublNqaBHbbooiBRo4GEXcGmJ","Сертифікат")</f>
        <v>Сертифікат</v>
      </c>
      <c r="M1166" s="11" t="s">
        <v>26</v>
      </c>
      <c r="N1166" s="10">
        <v>245</v>
      </c>
      <c r="O1166" s="10">
        <v>734</v>
      </c>
      <c r="P1166" s="10">
        <v>1</v>
      </c>
      <c r="Q1166" s="10">
        <v>210</v>
      </c>
      <c r="R1166" s="10" t="s">
        <v>66</v>
      </c>
      <c r="S1166" s="10">
        <v>881</v>
      </c>
      <c r="T1166" s="10">
        <v>175</v>
      </c>
      <c r="U1166" s="66">
        <v>43809</v>
      </c>
      <c r="V1166" s="66">
        <v>47461</v>
      </c>
      <c r="W1166" s="10" t="s">
        <v>10</v>
      </c>
      <c r="X1166" s="10" t="s">
        <v>17</v>
      </c>
    </row>
    <row r="1167" spans="1:24" ht="50.25" customHeight="1" x14ac:dyDescent="0.25">
      <c r="A1167" s="11">
        <f t="shared" si="70"/>
        <v>1164</v>
      </c>
      <c r="B1167" s="11" t="s">
        <v>3074</v>
      </c>
      <c r="C1167" s="10" t="s">
        <v>3075</v>
      </c>
      <c r="D1167" s="10" t="s">
        <v>3076</v>
      </c>
      <c r="E1167" s="10" t="s">
        <v>0</v>
      </c>
      <c r="F1167" s="27" t="s">
        <v>0</v>
      </c>
      <c r="G1167" s="11"/>
      <c r="H1167" s="11"/>
      <c r="I1167" s="27" t="s">
        <v>1010</v>
      </c>
      <c r="J1167" s="11" t="s">
        <v>3077</v>
      </c>
      <c r="K1167" s="15" t="str">
        <f>HYPERLINK("https://drive.google.com/open?id=1WcOmHe7BkZ0JXVkb0m0s81wXaTRzu2B4","OPI-AB00007")</f>
        <v>OPI-AB00007</v>
      </c>
      <c r="L1167" s="15" t="str">
        <f>HYPERLINK("https://drive.google.com/open?id=10SaVqlA6QW9tTGeoJaNktqFoWQJNm-jl","Сертифікат")</f>
        <v>Сертифікат</v>
      </c>
      <c r="M1167" s="11" t="s">
        <v>18</v>
      </c>
      <c r="N1167" s="57">
        <v>6680.9</v>
      </c>
      <c r="O1167" s="10">
        <v>19863</v>
      </c>
      <c r="P1167" s="10">
        <v>9</v>
      </c>
      <c r="Q1167" s="10">
        <v>80.3</v>
      </c>
      <c r="R1167" s="10" t="s">
        <v>57</v>
      </c>
      <c r="S1167" s="10">
        <v>198.4</v>
      </c>
      <c r="T1167" s="10">
        <v>50.7</v>
      </c>
      <c r="U1167" s="66">
        <v>43810</v>
      </c>
      <c r="V1167" s="66">
        <v>47462</v>
      </c>
      <c r="W1167" s="10" t="s">
        <v>10</v>
      </c>
      <c r="X1167" s="10" t="s">
        <v>17</v>
      </c>
    </row>
    <row r="1168" spans="1:24" ht="50.25" customHeight="1" x14ac:dyDescent="0.25">
      <c r="A1168" s="11">
        <f t="shared" si="70"/>
        <v>1165</v>
      </c>
      <c r="B1168" s="11" t="s">
        <v>3078</v>
      </c>
      <c r="C1168" s="10" t="s">
        <v>3079</v>
      </c>
      <c r="D1168" s="10" t="s">
        <v>317</v>
      </c>
      <c r="E1168" s="10" t="s">
        <v>0</v>
      </c>
      <c r="F1168" s="11" t="s">
        <v>3080</v>
      </c>
      <c r="G1168" s="11"/>
      <c r="H1168" s="11"/>
      <c r="I1168" s="11" t="s">
        <v>836</v>
      </c>
      <c r="J1168" s="11" t="s">
        <v>2722</v>
      </c>
      <c r="K1168" s="15" t="str">
        <f>HYPERLINK("https://drive.google.com/open?id=106TiCB86RjqUlX9sxp1smcQ9D-FCH_4I","ЕЕ 00046 ")</f>
        <v xml:space="preserve">ЕЕ 00046 </v>
      </c>
      <c r="L1168" s="15" t="str">
        <f>HYPERLINK("https://drive.google.com/open?id=1biAMKneDKpFAT9_k8LDjRLbKbksmP0Oz","Сертифікат")</f>
        <v>Сертифікат</v>
      </c>
      <c r="M1168" s="11" t="s">
        <v>18</v>
      </c>
      <c r="N1168" s="10">
        <v>5937</v>
      </c>
      <c r="O1168" s="10">
        <v>17042.5</v>
      </c>
      <c r="P1168" s="10">
        <v>4</v>
      </c>
      <c r="Q1168" s="10">
        <v>86.36</v>
      </c>
      <c r="R1168" s="10" t="s">
        <v>57</v>
      </c>
      <c r="S1168" s="10">
        <v>224</v>
      </c>
      <c r="T1168" s="10">
        <v>40.9</v>
      </c>
      <c r="U1168" s="66">
        <v>43794</v>
      </c>
      <c r="V1168" s="66">
        <v>47446</v>
      </c>
      <c r="W1168" s="10" t="s">
        <v>10</v>
      </c>
      <c r="X1168" s="10" t="s">
        <v>17</v>
      </c>
    </row>
    <row r="1169" spans="1:24" ht="50.25" customHeight="1" x14ac:dyDescent="0.25">
      <c r="A1169" s="11">
        <f t="shared" si="70"/>
        <v>1166</v>
      </c>
      <c r="B1169" s="11" t="s">
        <v>3081</v>
      </c>
      <c r="C1169" s="10" t="s">
        <v>3082</v>
      </c>
      <c r="D1169" s="10" t="s">
        <v>75</v>
      </c>
      <c r="E1169" s="10" t="s">
        <v>4</v>
      </c>
      <c r="F1169" s="11" t="s">
        <v>3083</v>
      </c>
      <c r="G1169" s="11"/>
      <c r="H1169" s="11"/>
      <c r="I1169" s="11">
        <v>1985</v>
      </c>
      <c r="J1169" s="11" t="s">
        <v>2054</v>
      </c>
      <c r="K1169" s="15" t="str">
        <f>HYPERLINK("https://drive.google.com/open?id=15mzOVo5DzvZRYSFkEsMp5jV14CeCYhNn","АЕ00007")</f>
        <v>АЕ00007</v>
      </c>
      <c r="L1169" s="15" t="str">
        <f>HYPERLINK("https://drive.google.com/open?id=1H_OoVJHyq6krpJ4xqoSyFvMbF81JTWem","Сертифікат")</f>
        <v>Сертифікат</v>
      </c>
      <c r="M1169" s="11" t="s">
        <v>26</v>
      </c>
      <c r="N1169" s="10">
        <v>385.1</v>
      </c>
      <c r="O1169" s="10">
        <v>1203.53</v>
      </c>
      <c r="P1169" s="10">
        <v>1</v>
      </c>
      <c r="Q1169" s="10">
        <v>205.6</v>
      </c>
      <c r="R1169" s="10" t="s">
        <v>66</v>
      </c>
      <c r="S1169" s="10">
        <v>144.6</v>
      </c>
      <c r="T1169" s="10">
        <v>16.2</v>
      </c>
      <c r="U1169" s="66">
        <v>43810</v>
      </c>
      <c r="V1169" s="66">
        <v>47462</v>
      </c>
      <c r="W1169" s="10" t="s">
        <v>13</v>
      </c>
      <c r="X1169" s="10" t="s">
        <v>17</v>
      </c>
    </row>
    <row r="1170" spans="1:24" ht="50.25" customHeight="1" x14ac:dyDescent="0.25">
      <c r="A1170" s="11">
        <f t="shared" si="70"/>
        <v>1167</v>
      </c>
      <c r="B1170" s="11" t="s">
        <v>3060</v>
      </c>
      <c r="C1170" s="10" t="s">
        <v>2628</v>
      </c>
      <c r="D1170" s="10" t="s">
        <v>541</v>
      </c>
      <c r="E1170" s="10" t="s">
        <v>3</v>
      </c>
      <c r="F1170" s="11" t="s">
        <v>3084</v>
      </c>
      <c r="G1170" s="11"/>
      <c r="H1170" s="11"/>
      <c r="I1170" s="11">
        <v>1984</v>
      </c>
      <c r="J1170" s="11" t="s">
        <v>1285</v>
      </c>
      <c r="K1170" s="15" t="s">
        <v>1286</v>
      </c>
      <c r="L1170" s="15" t="str">
        <f>HYPERLINK("https://drive.google.com/open?id=1y5c0xktcOvSszYObhqz1VXmZpZJ4_NAx","Сертифікат")</f>
        <v>Сертифікат</v>
      </c>
      <c r="M1170" s="11" t="s">
        <v>26</v>
      </c>
      <c r="N1170" s="10">
        <v>815</v>
      </c>
      <c r="O1170" s="10">
        <v>2240</v>
      </c>
      <c r="P1170" s="10">
        <v>1</v>
      </c>
      <c r="Q1170" s="10">
        <v>98.6</v>
      </c>
      <c r="R1170" s="10" t="s">
        <v>66</v>
      </c>
      <c r="S1170" s="10">
        <v>404</v>
      </c>
      <c r="T1170" s="10">
        <v>80</v>
      </c>
      <c r="U1170" s="66">
        <v>43801</v>
      </c>
      <c r="V1170" s="66">
        <v>47453</v>
      </c>
      <c r="W1170" s="10" t="s">
        <v>10</v>
      </c>
      <c r="X1170" s="10" t="s">
        <v>17</v>
      </c>
    </row>
    <row r="1171" spans="1:24" ht="50.25" customHeight="1" x14ac:dyDescent="0.25">
      <c r="A1171" s="11">
        <f t="shared" si="70"/>
        <v>1168</v>
      </c>
      <c r="B1171" s="11" t="s">
        <v>3085</v>
      </c>
      <c r="C1171" s="10" t="s">
        <v>3086</v>
      </c>
      <c r="D1171" s="10" t="s">
        <v>142</v>
      </c>
      <c r="E1171" s="10" t="s">
        <v>0</v>
      </c>
      <c r="F1171" s="11" t="s">
        <v>3087</v>
      </c>
      <c r="G1171" s="11"/>
      <c r="H1171" s="11"/>
      <c r="I1171" s="11" t="s">
        <v>1336</v>
      </c>
      <c r="J1171" s="10" t="s">
        <v>93</v>
      </c>
      <c r="K1171" s="15" t="s">
        <v>94</v>
      </c>
      <c r="L1171" s="15" t="str">
        <f>HYPERLINK("https://drive.google.com/open?id=1SDEysaL4C05l48sfcLruN1_Oy1NvGnc3","Сертифікат")</f>
        <v>Сертифікат</v>
      </c>
      <c r="M1171" s="11" t="s">
        <v>18</v>
      </c>
      <c r="N1171" s="10">
        <v>10784.7</v>
      </c>
      <c r="O1171" s="10">
        <v>31220.5</v>
      </c>
      <c r="P1171" s="10">
        <v>12</v>
      </c>
      <c r="Q1171" s="10">
        <v>86.6</v>
      </c>
      <c r="R1171" s="10" t="s">
        <v>57</v>
      </c>
      <c r="S1171" s="10">
        <v>127</v>
      </c>
      <c r="T1171" s="10">
        <v>25</v>
      </c>
      <c r="U1171" s="66">
        <v>43802</v>
      </c>
      <c r="V1171" s="66">
        <v>47454</v>
      </c>
      <c r="W1171" s="10" t="s">
        <v>13</v>
      </c>
      <c r="X1171" s="10" t="s">
        <v>17</v>
      </c>
    </row>
    <row r="1172" spans="1:24" ht="50.25" customHeight="1" x14ac:dyDescent="0.25">
      <c r="A1172" s="11">
        <f t="shared" si="70"/>
        <v>1169</v>
      </c>
      <c r="B1172" s="11" t="s">
        <v>3088</v>
      </c>
      <c r="C1172" s="10" t="s">
        <v>814</v>
      </c>
      <c r="D1172" s="10" t="s">
        <v>815</v>
      </c>
      <c r="E1172" s="10" t="s">
        <v>0</v>
      </c>
      <c r="F1172" s="11" t="s">
        <v>3089</v>
      </c>
      <c r="G1172" s="11"/>
      <c r="H1172" s="11"/>
      <c r="I1172" s="11" t="s">
        <v>1010</v>
      </c>
      <c r="J1172" s="11" t="s">
        <v>2041</v>
      </c>
      <c r="K1172" s="15" t="str">
        <f>HYPERLINK("https://drive.google.com/open?id=1Au8E_bZbjxLFzKqIuTi9p7_Ogz2fLbnG","АА000030")</f>
        <v>АА000030</v>
      </c>
      <c r="L1172" s="15" t="str">
        <f>HYPERLINK("https://drive.google.com/open?id=1HYcmTdjRJHZKoWsXNiYS5zC9Rtq-PjDO","Сертифікат")</f>
        <v>Сертифікат</v>
      </c>
      <c r="M1172" s="11" t="s">
        <v>18</v>
      </c>
      <c r="N1172" s="10">
        <v>873</v>
      </c>
      <c r="O1172" s="10">
        <v>2575</v>
      </c>
      <c r="P1172" s="10">
        <v>2</v>
      </c>
      <c r="Q1172" s="10">
        <v>129.9</v>
      </c>
      <c r="R1172" s="10" t="s">
        <v>57</v>
      </c>
      <c r="S1172" s="10">
        <v>187.7</v>
      </c>
      <c r="T1172" s="10">
        <v>51</v>
      </c>
      <c r="U1172" s="66">
        <v>43810</v>
      </c>
      <c r="V1172" s="66">
        <v>47462</v>
      </c>
      <c r="W1172" s="10" t="s">
        <v>10</v>
      </c>
      <c r="X1172" s="10" t="s">
        <v>17</v>
      </c>
    </row>
    <row r="1173" spans="1:24" ht="50.25" customHeight="1" x14ac:dyDescent="0.25">
      <c r="A1173" s="11">
        <f t="shared" si="70"/>
        <v>1170</v>
      </c>
      <c r="B1173" s="11" t="s">
        <v>3090</v>
      </c>
      <c r="C1173" s="10" t="s">
        <v>297</v>
      </c>
      <c r="D1173" s="10" t="s">
        <v>298</v>
      </c>
      <c r="E1173" s="10" t="s">
        <v>0</v>
      </c>
      <c r="F1173" s="11" t="s">
        <v>3091</v>
      </c>
      <c r="G1173" s="11"/>
      <c r="H1173" s="11"/>
      <c r="I1173" s="11">
        <v>2019</v>
      </c>
      <c r="J1173" s="11" t="s">
        <v>604</v>
      </c>
      <c r="K1173" s="15" t="str">
        <f>HYPERLINK("https://drive.google.com/open?id=1g78kGff23T6IlvseLmZ-m-rWpiIjiHQE","ЕЕ00007")</f>
        <v>ЕЕ00007</v>
      </c>
      <c r="L1173" s="15" t="str">
        <f>HYPERLINK("https://drive.google.com/open?id=126BlayoZKuchq_PGtj3E1Fz-U1uXW4ml","Сертифікат")</f>
        <v>Сертифікат</v>
      </c>
      <c r="M1173" s="11" t="s">
        <v>18</v>
      </c>
      <c r="N1173" s="10">
        <v>5812</v>
      </c>
      <c r="O1173" s="10">
        <v>17436</v>
      </c>
      <c r="P1173" s="10">
        <v>9</v>
      </c>
      <c r="Q1173" s="10">
        <v>87</v>
      </c>
      <c r="R1173" s="10" t="s">
        <v>57</v>
      </c>
      <c r="S1173" s="10">
        <v>121</v>
      </c>
      <c r="T1173" s="10">
        <v>24</v>
      </c>
      <c r="U1173" s="66">
        <v>43808</v>
      </c>
      <c r="V1173" s="66">
        <v>47460</v>
      </c>
      <c r="W1173" s="10" t="s">
        <v>13</v>
      </c>
      <c r="X1173" s="10" t="s">
        <v>17</v>
      </c>
    </row>
    <row r="1174" spans="1:24" ht="50.25" customHeight="1" x14ac:dyDescent="0.25">
      <c r="A1174" s="11">
        <f t="shared" si="70"/>
        <v>1171</v>
      </c>
      <c r="B1174" s="11" t="s">
        <v>3092</v>
      </c>
      <c r="C1174" s="10" t="s">
        <v>3093</v>
      </c>
      <c r="D1174" s="10" t="s">
        <v>442</v>
      </c>
      <c r="E1174" s="10" t="s">
        <v>0</v>
      </c>
      <c r="F1174" s="11" t="s">
        <v>0</v>
      </c>
      <c r="G1174" s="11"/>
      <c r="H1174" s="11"/>
      <c r="I1174" s="11" t="s">
        <v>1010</v>
      </c>
      <c r="J1174" s="11" t="s">
        <v>3077</v>
      </c>
      <c r="K1174" s="15" t="str">
        <f>HYPERLINK("https://drive.google.com/open?id=1WcOmHe7BkZ0JXVkb0m0s81wXaTRzu2B4","ОРІ-АВ00007")</f>
        <v>ОРІ-АВ00007</v>
      </c>
      <c r="L1174" s="15" t="str">
        <f>HYPERLINK("https://drive.google.com/open?id=12biLklfMuhaF-UK-fQF_3h4QI4fZpZof","Сертифікат")</f>
        <v>Сертифікат</v>
      </c>
      <c r="M1174" s="11" t="s">
        <v>18</v>
      </c>
      <c r="N1174" s="10">
        <v>6680.9</v>
      </c>
      <c r="O1174" s="10">
        <v>19863</v>
      </c>
      <c r="P1174" s="10">
        <v>9</v>
      </c>
      <c r="Q1174" s="10">
        <v>79.599999999999994</v>
      </c>
      <c r="R1174" s="10" t="s">
        <v>57</v>
      </c>
      <c r="S1174" s="10">
        <v>198.5</v>
      </c>
      <c r="T1174" s="10">
        <v>50.6</v>
      </c>
      <c r="U1174" s="66">
        <v>43810</v>
      </c>
      <c r="V1174" s="66">
        <v>47462</v>
      </c>
      <c r="W1174" s="10" t="s">
        <v>13</v>
      </c>
      <c r="X1174" s="10" t="s">
        <v>17</v>
      </c>
    </row>
    <row r="1175" spans="1:24" ht="50.25" customHeight="1" x14ac:dyDescent="0.25">
      <c r="A1175" s="11">
        <f t="shared" si="70"/>
        <v>1172</v>
      </c>
      <c r="B1175" s="11" t="s">
        <v>3094</v>
      </c>
      <c r="C1175" s="10" t="s">
        <v>3095</v>
      </c>
      <c r="D1175" s="10" t="s">
        <v>541</v>
      </c>
      <c r="E1175" s="10" t="s">
        <v>3</v>
      </c>
      <c r="F1175" s="11" t="s">
        <v>3096</v>
      </c>
      <c r="G1175" s="11"/>
      <c r="H1175" s="11"/>
      <c r="I1175" s="11">
        <v>1910</v>
      </c>
      <c r="J1175" s="11" t="s">
        <v>1285</v>
      </c>
      <c r="K1175" s="15" t="str">
        <f>HYPERLINK("https://drive.google.com/open?id=1VvGfORJ6L6VwYRUDV8aJ3Nq6jB6_9anA","СБ-0065")</f>
        <v>СБ-0065</v>
      </c>
      <c r="L1175" s="15" t="str">
        <f>HYPERLINK("https://drive.google.com/open?id=16_OJFmFTgYxxtg6nNy85LwLTGMc8njxf","Сертифікат")</f>
        <v>Сертифікат</v>
      </c>
      <c r="M1175" s="11" t="s">
        <v>26</v>
      </c>
      <c r="N1175" s="10">
        <v>240</v>
      </c>
      <c r="O1175" s="10">
        <v>794</v>
      </c>
      <c r="P1175" s="10">
        <v>1</v>
      </c>
      <c r="Q1175" s="10">
        <v>132.6</v>
      </c>
      <c r="R1175" s="10" t="s">
        <v>66</v>
      </c>
      <c r="S1175" s="10">
        <v>625</v>
      </c>
      <c r="T1175" s="10">
        <v>123</v>
      </c>
      <c r="U1175" s="66">
        <v>43803</v>
      </c>
      <c r="V1175" s="66">
        <v>47455</v>
      </c>
      <c r="W1175" s="10" t="s">
        <v>10</v>
      </c>
      <c r="X1175" s="10" t="s">
        <v>17</v>
      </c>
    </row>
    <row r="1176" spans="1:24" ht="50.25" customHeight="1" x14ac:dyDescent="0.25">
      <c r="A1176" s="11">
        <f t="shared" si="70"/>
        <v>1173</v>
      </c>
      <c r="B1176" s="11" t="s">
        <v>3097</v>
      </c>
      <c r="C1176" s="10" t="s">
        <v>441</v>
      </c>
      <c r="D1176" s="10" t="s">
        <v>442</v>
      </c>
      <c r="E1176" s="10" t="s">
        <v>0</v>
      </c>
      <c r="F1176" s="11" t="s">
        <v>3098</v>
      </c>
      <c r="G1176" s="11"/>
      <c r="H1176" s="11"/>
      <c r="I1176" s="11" t="s">
        <v>836</v>
      </c>
      <c r="J1176" s="11" t="s">
        <v>732</v>
      </c>
      <c r="K1176" s="15" t="str">
        <f>HYPERLINK("https://drive.google.com/open?id=1YmIUNUHq4P-kOoyLjfDDMpvQv5hFDMTd","ОРІ-АВ00010")</f>
        <v>ОРІ-АВ00010</v>
      </c>
      <c r="L1176" s="15" t="str">
        <f>HYPERLINK("https://drive.google.com/open?id=1BucrH6cURGmNsTECF4bHootZ-4sz4WwK","Сертифікат")</f>
        <v>Сертифікат</v>
      </c>
      <c r="M1176" s="11" t="s">
        <v>18</v>
      </c>
      <c r="N1176" s="10">
        <v>10001.49</v>
      </c>
      <c r="O1176" s="10">
        <v>31504.69</v>
      </c>
      <c r="P1176" s="10">
        <v>21</v>
      </c>
      <c r="Q1176" s="10">
        <v>86.1</v>
      </c>
      <c r="R1176" s="10" t="s">
        <v>57</v>
      </c>
      <c r="S1176" s="10">
        <v>155</v>
      </c>
      <c r="T1176" s="10">
        <v>30</v>
      </c>
      <c r="U1176" s="66">
        <v>43810</v>
      </c>
      <c r="V1176" s="66">
        <v>47462</v>
      </c>
      <c r="W1176" s="10" t="s">
        <v>13</v>
      </c>
      <c r="X1176" s="10" t="s">
        <v>17</v>
      </c>
    </row>
    <row r="1177" spans="1:24" ht="50.25" customHeight="1" x14ac:dyDescent="0.25">
      <c r="A1177" s="11">
        <f t="shared" si="70"/>
        <v>1174</v>
      </c>
      <c r="B1177" s="11" t="s">
        <v>3099</v>
      </c>
      <c r="C1177" s="10" t="s">
        <v>2552</v>
      </c>
      <c r="D1177" s="10" t="s">
        <v>69</v>
      </c>
      <c r="E1177" s="10" t="s">
        <v>3</v>
      </c>
      <c r="F1177" s="11" t="s">
        <v>3100</v>
      </c>
      <c r="G1177" s="11"/>
      <c r="H1177" s="11"/>
      <c r="I1177" s="11" t="s">
        <v>3101</v>
      </c>
      <c r="J1177" s="11" t="s">
        <v>2986</v>
      </c>
      <c r="K1177" s="15" t="str">
        <f>HYPERLINK("https://drive.google.com/open?id=1cNvlcLpKLQhMXRDEGkMVMn1DbQEPMPEH","ОД02071010/0438-19")</f>
        <v>ОД02071010/0438-19</v>
      </c>
      <c r="L1177" s="15" t="str">
        <f>HYPERLINK("https://drive.google.com/open?id=1EiANGMP847FBAUbXvcNP0jKs8ewdqDau","Сертифікат")</f>
        <v>Сертифікат</v>
      </c>
      <c r="M1177" s="11" t="s">
        <v>22</v>
      </c>
      <c r="N1177" s="10">
        <v>2251.7600000000002</v>
      </c>
      <c r="O1177" s="10">
        <v>7465.05</v>
      </c>
      <c r="P1177" s="10">
        <v>2</v>
      </c>
      <c r="Q1177" s="10">
        <v>49.1</v>
      </c>
      <c r="R1177" s="10" t="s">
        <v>66</v>
      </c>
      <c r="S1177" s="10">
        <v>275.89999999999998</v>
      </c>
      <c r="T1177" s="10">
        <v>68.099999999999994</v>
      </c>
      <c r="U1177" s="66">
        <v>43806</v>
      </c>
      <c r="V1177" s="66">
        <v>47458</v>
      </c>
      <c r="W1177" s="10" t="s">
        <v>10</v>
      </c>
      <c r="X1177" s="10" t="s">
        <v>17</v>
      </c>
    </row>
    <row r="1178" spans="1:24" ht="50.25" customHeight="1" x14ac:dyDescent="0.25">
      <c r="A1178" s="11">
        <f t="shared" si="70"/>
        <v>1175</v>
      </c>
      <c r="B1178" s="11" t="s">
        <v>3102</v>
      </c>
      <c r="C1178" s="10" t="s">
        <v>362</v>
      </c>
      <c r="D1178" s="10" t="s">
        <v>255</v>
      </c>
      <c r="E1178" s="10" t="s">
        <v>0</v>
      </c>
      <c r="F1178" s="11" t="s">
        <v>3103</v>
      </c>
      <c r="G1178" s="11"/>
      <c r="H1178" s="11"/>
      <c r="I1178" s="11" t="s">
        <v>1336</v>
      </c>
      <c r="J1178" s="11" t="s">
        <v>1504</v>
      </c>
      <c r="K1178" s="15" t="str">
        <f>HYPERLINK("https://drive.google.com/open?id=1cNdHo19T35eklBUZY_qj1BVJ98P3D_u8","АА000071")</f>
        <v>АА000071</v>
      </c>
      <c r="L1178" s="15" t="str">
        <f>HYPERLINK("https://drive.google.com/open?id=1OXgl0cnI_YVdRpFL5zCmGt-K17bslpjS","Сертифікат")</f>
        <v>Сертифікат</v>
      </c>
      <c r="M1178" s="11" t="s">
        <v>18</v>
      </c>
      <c r="N1178" s="10">
        <v>3605.8</v>
      </c>
      <c r="O1178" s="10">
        <v>11342</v>
      </c>
      <c r="P1178" s="10">
        <v>7</v>
      </c>
      <c r="Q1178" s="10">
        <v>84.4</v>
      </c>
      <c r="R1178" s="10" t="s">
        <v>57</v>
      </c>
      <c r="S1178" s="10">
        <v>229.4</v>
      </c>
      <c r="T1178" s="10">
        <v>96.3</v>
      </c>
      <c r="U1178" s="66">
        <v>43810</v>
      </c>
      <c r="V1178" s="66">
        <v>47462</v>
      </c>
      <c r="W1178" s="10" t="s">
        <v>10</v>
      </c>
      <c r="X1178" s="10" t="s">
        <v>17</v>
      </c>
    </row>
    <row r="1179" spans="1:24" ht="50.25" customHeight="1" x14ac:dyDescent="0.25">
      <c r="A1179" s="11">
        <f t="shared" si="70"/>
        <v>1176</v>
      </c>
      <c r="B1179" s="11" t="s">
        <v>3104</v>
      </c>
      <c r="C1179" s="10" t="s">
        <v>3105</v>
      </c>
      <c r="D1179" s="10" t="s">
        <v>69</v>
      </c>
      <c r="E1179" s="10" t="s">
        <v>3</v>
      </c>
      <c r="F1179" s="11" t="s">
        <v>3106</v>
      </c>
      <c r="G1179" s="11"/>
      <c r="H1179" s="11"/>
      <c r="I1179" s="11" t="s">
        <v>3107</v>
      </c>
      <c r="J1179" s="11" t="s">
        <v>1622</v>
      </c>
      <c r="K1179" s="15" t="str">
        <f>HYPERLINK("https://drive.google.com/open?id=1YFy-QkXteFQ7Qy3y-cGXRmFusNCMcXqN","ОД №000019")</f>
        <v>ОД №000019</v>
      </c>
      <c r="L1179" s="15" t="str">
        <f>HYPERLINK("https://drive.google.com/open?id=1ldn-ckoL3aaL5alg0EXRXc2KOg60f6rU","Сертифікат")</f>
        <v>Сертифікат</v>
      </c>
      <c r="M1179" s="11" t="s">
        <v>20</v>
      </c>
      <c r="N1179" s="10">
        <v>5283.8</v>
      </c>
      <c r="O1179" s="10">
        <v>17721</v>
      </c>
      <c r="P1179" s="31">
        <v>43525</v>
      </c>
      <c r="Q1179" s="10">
        <v>41.4</v>
      </c>
      <c r="R1179" s="10" t="s">
        <v>66</v>
      </c>
      <c r="S1179" s="10">
        <v>299.7</v>
      </c>
      <c r="T1179" s="10">
        <v>44.8</v>
      </c>
      <c r="U1179" s="66">
        <v>43798</v>
      </c>
      <c r="V1179" s="66">
        <v>47450</v>
      </c>
      <c r="W1179" s="10" t="s">
        <v>10</v>
      </c>
      <c r="X1179" s="10" t="s">
        <v>17</v>
      </c>
    </row>
    <row r="1180" spans="1:24" ht="50.25" customHeight="1" x14ac:dyDescent="0.25">
      <c r="A1180" s="11">
        <f t="shared" si="70"/>
        <v>1177</v>
      </c>
      <c r="B1180" s="11" t="s">
        <v>3108</v>
      </c>
      <c r="C1180" s="10" t="s">
        <v>1507</v>
      </c>
      <c r="D1180" s="10" t="s">
        <v>317</v>
      </c>
      <c r="E1180" s="10" t="s">
        <v>0</v>
      </c>
      <c r="F1180" s="11" t="s">
        <v>3109</v>
      </c>
      <c r="G1180" s="11"/>
      <c r="H1180" s="11"/>
      <c r="I1180" s="11" t="s">
        <v>836</v>
      </c>
      <c r="J1180" s="11" t="s">
        <v>2722</v>
      </c>
      <c r="K1180" s="15" t="str">
        <f>HYPERLINK("https://drive.google.com/open?id=106TiCB86RjqUlX9sxp1smcQ9D-FCH_4I","ЕЕ 00046 ")</f>
        <v xml:space="preserve">ЕЕ 00046 </v>
      </c>
      <c r="L1180" s="15" t="str">
        <f>HYPERLINK("https://drive.google.com/open?id=1-PrDQiXs6SWxOOisw8gE_zs3yFnVXBil","Сертифікат")</f>
        <v>Сертифікат</v>
      </c>
      <c r="M1180" s="11" t="s">
        <v>20</v>
      </c>
      <c r="N1180" s="10">
        <v>6452</v>
      </c>
      <c r="O1180" s="10">
        <v>19452</v>
      </c>
      <c r="P1180" s="10">
        <v>12</v>
      </c>
      <c r="Q1180" s="10">
        <v>100.5</v>
      </c>
      <c r="R1180" s="10" t="s">
        <v>57</v>
      </c>
      <c r="S1180" s="10">
        <v>138.5</v>
      </c>
      <c r="T1180" s="10">
        <v>27.2</v>
      </c>
      <c r="U1180" s="66">
        <v>43798</v>
      </c>
      <c r="V1180" s="66">
        <v>47450</v>
      </c>
      <c r="W1180" s="10" t="s">
        <v>13</v>
      </c>
      <c r="X1180" s="10" t="s">
        <v>17</v>
      </c>
    </row>
    <row r="1181" spans="1:24" ht="50.25" customHeight="1" x14ac:dyDescent="0.25">
      <c r="A1181" s="11">
        <f t="shared" si="70"/>
        <v>1178</v>
      </c>
      <c r="B1181" s="11" t="s">
        <v>3110</v>
      </c>
      <c r="C1181" s="10" t="s">
        <v>1589</v>
      </c>
      <c r="D1181" s="10" t="s">
        <v>485</v>
      </c>
      <c r="E1181" s="10" t="s">
        <v>5</v>
      </c>
      <c r="F1181" s="11" t="s">
        <v>3111</v>
      </c>
      <c r="G1181" s="11"/>
      <c r="H1181" s="11"/>
      <c r="I1181" s="11">
        <v>1979</v>
      </c>
      <c r="J1181" s="11" t="s">
        <v>110</v>
      </c>
      <c r="K1181" s="15" t="str">
        <f>HYPERLINK("https://drive.google.com/open?id=1hysLLNyTDspucV_3Tt8ScCWEgMedd8bv","1/010")</f>
        <v>1/010</v>
      </c>
      <c r="L1181" s="15" t="str">
        <f>HYPERLINK("https://drive.google.com/open?id=1qEDxk9zjLNYbXEYZ3M_FjbXMRLmyb80H","Сертифікат")</f>
        <v>Сертифікат</v>
      </c>
      <c r="M1181" s="11" t="s">
        <v>26</v>
      </c>
      <c r="N1181" s="10">
        <v>2678</v>
      </c>
      <c r="O1181" s="10">
        <v>8971.2999999999993</v>
      </c>
      <c r="P1181" s="10">
        <v>2</v>
      </c>
      <c r="Q1181" s="10">
        <v>103</v>
      </c>
      <c r="R1181" s="10" t="s">
        <v>66</v>
      </c>
      <c r="S1181" s="10">
        <v>550.9</v>
      </c>
      <c r="T1181" s="10">
        <v>98.6</v>
      </c>
      <c r="U1181" s="66">
        <v>43810</v>
      </c>
      <c r="V1181" s="66">
        <v>47462</v>
      </c>
      <c r="W1181" s="10" t="s">
        <v>10</v>
      </c>
      <c r="X1181" s="10" t="s">
        <v>17</v>
      </c>
    </row>
    <row r="1182" spans="1:24" ht="50.25" customHeight="1" x14ac:dyDescent="0.25">
      <c r="A1182" s="11">
        <f t="shared" si="70"/>
        <v>1179</v>
      </c>
      <c r="B1182" s="11" t="s">
        <v>3112</v>
      </c>
      <c r="C1182" s="10" t="s">
        <v>1507</v>
      </c>
      <c r="D1182" s="10" t="s">
        <v>317</v>
      </c>
      <c r="E1182" s="10" t="s">
        <v>0</v>
      </c>
      <c r="F1182" s="11" t="s">
        <v>3113</v>
      </c>
      <c r="G1182" s="11"/>
      <c r="H1182" s="11"/>
      <c r="I1182" s="11" t="s">
        <v>836</v>
      </c>
      <c r="J1182" s="11" t="s">
        <v>2722</v>
      </c>
      <c r="K1182" s="15" t="str">
        <f>HYPERLINK("https://drive.google.com/open?id=106TiCB86RjqUlX9sxp1smcQ9D-FCH_4I","ЕЕ 00046 ")</f>
        <v xml:space="preserve">ЕЕ 00046 </v>
      </c>
      <c r="L1182" s="15" t="str">
        <f>HYPERLINK("https://drive.google.com/open?id=1xB538oKMmTruSF0824dAXPSKduCkfMDa","Сертифікат")</f>
        <v>Сертифікат</v>
      </c>
      <c r="M1182" s="11" t="s">
        <v>20</v>
      </c>
      <c r="N1182" s="10">
        <v>6755.2</v>
      </c>
      <c r="O1182" s="10">
        <v>19368.599999999999</v>
      </c>
      <c r="P1182" s="10">
        <v>12</v>
      </c>
      <c r="Q1182" s="10">
        <v>88.1</v>
      </c>
      <c r="R1182" s="10" t="s">
        <v>57</v>
      </c>
      <c r="S1182" s="10">
        <v>128.53</v>
      </c>
      <c r="T1182" s="10">
        <v>25.05</v>
      </c>
      <c r="U1182" s="66">
        <v>43802</v>
      </c>
      <c r="V1182" s="66">
        <v>47454</v>
      </c>
      <c r="W1182" s="10" t="s">
        <v>10</v>
      </c>
      <c r="X1182" s="10" t="s">
        <v>17</v>
      </c>
    </row>
    <row r="1183" spans="1:24" ht="50.25" customHeight="1" x14ac:dyDescent="0.25">
      <c r="A1183" s="11">
        <f t="shared" si="70"/>
        <v>1180</v>
      </c>
      <c r="B1183" s="11" t="s">
        <v>3114</v>
      </c>
      <c r="C1183" s="10" t="s">
        <v>52</v>
      </c>
      <c r="D1183" s="10" t="s">
        <v>52</v>
      </c>
      <c r="E1183" s="10" t="s">
        <v>7</v>
      </c>
      <c r="F1183" s="11" t="s">
        <v>3115</v>
      </c>
      <c r="G1183" s="11"/>
      <c r="H1183" s="11"/>
      <c r="I1183" s="11" t="s">
        <v>836</v>
      </c>
      <c r="J1183" s="11" t="s">
        <v>476</v>
      </c>
      <c r="K1183" s="15" t="s">
        <v>477</v>
      </c>
      <c r="L1183" s="15" t="str">
        <f>HYPERLINK("https://drive.google.com/open?id=108YqFR1FT73n1OeqVprXktUe8Ggeu6p6","Сертифікат")</f>
        <v>Сертифікат</v>
      </c>
      <c r="M1183" s="11" t="s">
        <v>15</v>
      </c>
      <c r="N1183" s="10">
        <v>1184.5999999999999</v>
      </c>
      <c r="O1183" s="10">
        <v>5404.9</v>
      </c>
      <c r="P1183" s="10">
        <v>2</v>
      </c>
      <c r="Q1183" s="10">
        <v>30.2</v>
      </c>
      <c r="R1183" s="10" t="s">
        <v>66</v>
      </c>
      <c r="S1183" s="10">
        <v>533</v>
      </c>
      <c r="T1183" s="10">
        <v>97</v>
      </c>
      <c r="U1183" s="66">
        <v>43808</v>
      </c>
      <c r="V1183" s="66">
        <v>47460</v>
      </c>
      <c r="W1183" s="10" t="s">
        <v>10</v>
      </c>
      <c r="X1183" s="10" t="s">
        <v>17</v>
      </c>
    </row>
    <row r="1184" spans="1:24" ht="50.25" customHeight="1" x14ac:dyDescent="0.25">
      <c r="A1184" s="11">
        <f t="shared" si="70"/>
        <v>1181</v>
      </c>
      <c r="B1184" s="11" t="s">
        <v>3116</v>
      </c>
      <c r="C1184" s="10" t="s">
        <v>1589</v>
      </c>
      <c r="D1184" s="10" t="s">
        <v>485</v>
      </c>
      <c r="E1184" s="10" t="s">
        <v>5</v>
      </c>
      <c r="F1184" s="11" t="s">
        <v>3117</v>
      </c>
      <c r="G1184" s="11"/>
      <c r="H1184" s="11"/>
      <c r="I1184" s="11">
        <v>1958</v>
      </c>
      <c r="J1184" s="10" t="s">
        <v>110</v>
      </c>
      <c r="K1184" s="15" t="s">
        <v>111</v>
      </c>
      <c r="L1184" s="15" t="str">
        <f>HYPERLINK("https://drive.google.com/open?id=16exXifYdyWh0Vxwp71qp23jtr1FyDEma","Сертифікат")</f>
        <v>Сертифікат</v>
      </c>
      <c r="M1184" s="11" t="s">
        <v>24</v>
      </c>
      <c r="N1184" s="10">
        <v>4398.6000000000004</v>
      </c>
      <c r="O1184" s="10">
        <v>15835.1</v>
      </c>
      <c r="P1184" s="10">
        <v>3</v>
      </c>
      <c r="Q1184" s="10">
        <v>96.37</v>
      </c>
      <c r="R1184" s="10" t="s">
        <v>66</v>
      </c>
      <c r="S1184" s="10">
        <v>571.66</v>
      </c>
      <c r="T1184" s="10">
        <v>102.54</v>
      </c>
      <c r="U1184" s="66">
        <v>43811</v>
      </c>
      <c r="V1184" s="66">
        <v>47463</v>
      </c>
      <c r="W1184" s="10" t="s">
        <v>10</v>
      </c>
      <c r="X1184" s="10" t="s">
        <v>17</v>
      </c>
    </row>
    <row r="1185" spans="1:24" ht="50.25" customHeight="1" x14ac:dyDescent="0.25">
      <c r="A1185" s="11">
        <f t="shared" si="70"/>
        <v>1182</v>
      </c>
      <c r="B1185" s="11" t="s">
        <v>3118</v>
      </c>
      <c r="C1185" s="10" t="s">
        <v>357</v>
      </c>
      <c r="D1185" s="10" t="s">
        <v>142</v>
      </c>
      <c r="E1185" s="10" t="s">
        <v>0</v>
      </c>
      <c r="F1185" s="11" t="s">
        <v>2013</v>
      </c>
      <c r="G1185" s="11"/>
      <c r="H1185" s="11"/>
      <c r="I1185" s="11">
        <v>2019</v>
      </c>
      <c r="J1185" s="20" t="s">
        <v>1168</v>
      </c>
      <c r="K1185" s="15" t="str">
        <f>HYPERLINK("https://drive.google.com/open?id=1IAlNZe4csuyp8RH-DTYn3L4-p1-qcHtF","ЕЕ-001-10-18")</f>
        <v>ЕЕ-001-10-18</v>
      </c>
      <c r="L1185" s="15" t="str">
        <f>HYPERLINK("https://drive.google.com/open?id=1ww_ZwrVW1tN_rH1e15HzzYi9kGyPWmGb","Сертифікат")</f>
        <v>Сертифікат</v>
      </c>
      <c r="M1185" s="11" t="s">
        <v>22</v>
      </c>
      <c r="N1185" s="10">
        <v>4149.84</v>
      </c>
      <c r="O1185" s="10">
        <v>12242</v>
      </c>
      <c r="P1185" s="10">
        <v>6</v>
      </c>
      <c r="Q1185" s="10">
        <v>130.19999999999999</v>
      </c>
      <c r="R1185" s="10" t="s">
        <v>57</v>
      </c>
      <c r="S1185" s="10">
        <v>173</v>
      </c>
      <c r="T1185" s="10">
        <v>34</v>
      </c>
      <c r="U1185" s="66">
        <v>43810</v>
      </c>
      <c r="V1185" s="66">
        <v>47462</v>
      </c>
      <c r="W1185" s="10" t="s">
        <v>10</v>
      </c>
      <c r="X1185" s="10" t="s">
        <v>17</v>
      </c>
    </row>
    <row r="1186" spans="1:24" ht="50.25" customHeight="1" x14ac:dyDescent="0.25">
      <c r="A1186" s="11">
        <f t="shared" si="70"/>
        <v>1183</v>
      </c>
      <c r="B1186" s="11" t="s">
        <v>3119</v>
      </c>
      <c r="C1186" s="10" t="s">
        <v>78</v>
      </c>
      <c r="D1186" s="10" t="s">
        <v>79</v>
      </c>
      <c r="E1186" s="10" t="s">
        <v>2</v>
      </c>
      <c r="F1186" s="11" t="s">
        <v>3120</v>
      </c>
      <c r="G1186" s="11"/>
      <c r="H1186" s="11"/>
      <c r="I1186" s="11" t="s">
        <v>3121</v>
      </c>
      <c r="J1186" s="11" t="s">
        <v>3122</v>
      </c>
      <c r="K1186" s="15" t="str">
        <f>HYPERLINK("https://drive.google.com/open?id=1Dy7TR5-TW7HHFgoURAEWFg2CT6g-sR4I","ЕА 02070766/15-19")</f>
        <v>ЕА 02070766/15-19</v>
      </c>
      <c r="L1186" s="15" t="str">
        <f>HYPERLINK("https://drive.google.com/open?id=1tNtw3XCBFj-LIJYSLNdcHud4ghNcjiD_","Сертифікат")</f>
        <v>Сертифікат</v>
      </c>
      <c r="M1186" s="11" t="s">
        <v>18</v>
      </c>
      <c r="N1186" s="10">
        <v>991.1</v>
      </c>
      <c r="O1186" s="10">
        <v>3237.63</v>
      </c>
      <c r="P1186" s="10">
        <v>1</v>
      </c>
      <c r="Q1186" s="10">
        <v>59.1</v>
      </c>
      <c r="R1186" s="10" t="s">
        <v>66</v>
      </c>
      <c r="S1186" s="10">
        <v>595.70000000000005</v>
      </c>
      <c r="T1186" s="10">
        <v>108.8</v>
      </c>
      <c r="U1186" s="66">
        <v>43810</v>
      </c>
      <c r="V1186" s="66">
        <v>47462</v>
      </c>
      <c r="W1186" s="10" t="s">
        <v>10</v>
      </c>
      <c r="X1186" s="10" t="s">
        <v>17</v>
      </c>
    </row>
    <row r="1187" spans="1:24" ht="50.25" customHeight="1" x14ac:dyDescent="0.25">
      <c r="A1187" s="11">
        <f t="shared" si="70"/>
        <v>1184</v>
      </c>
      <c r="B1187" s="11" t="s">
        <v>3123</v>
      </c>
      <c r="C1187" s="10" t="s">
        <v>1507</v>
      </c>
      <c r="D1187" s="10" t="s">
        <v>317</v>
      </c>
      <c r="E1187" s="10" t="s">
        <v>2</v>
      </c>
      <c r="F1187" s="11" t="s">
        <v>3124</v>
      </c>
      <c r="G1187" s="11"/>
      <c r="H1187" s="11"/>
      <c r="I1187" s="11" t="s">
        <v>836</v>
      </c>
      <c r="J1187" s="11" t="s">
        <v>1520</v>
      </c>
      <c r="K1187" s="15" t="str">
        <f>HYPERLINK("https://drive.google.com/open?id=1h7SxjX8kLI3GcDpujJYP0DlexJilmQJ7","АР 000071")</f>
        <v>АР 000071</v>
      </c>
      <c r="L1187" s="15" t="str">
        <f>HYPERLINK("https://drive.google.com/open?id=1AH-mYPOdbgoNCqQwaIEmj5169MtrBkIQ","Сертифікат")</f>
        <v>Сертифікат</v>
      </c>
      <c r="M1187" s="11" t="s">
        <v>18</v>
      </c>
      <c r="N1187" s="10">
        <v>3706.8</v>
      </c>
      <c r="O1187" s="10">
        <v>13837</v>
      </c>
      <c r="P1187" s="10">
        <v>5</v>
      </c>
      <c r="Q1187" s="10">
        <v>42.71</v>
      </c>
      <c r="R1187" s="10" t="s">
        <v>66</v>
      </c>
      <c r="S1187" s="10">
        <v>363.7</v>
      </c>
      <c r="T1187" s="10">
        <v>68.3</v>
      </c>
      <c r="U1187" s="66">
        <v>43810</v>
      </c>
      <c r="V1187" s="66">
        <v>47462</v>
      </c>
      <c r="W1187" s="10" t="s">
        <v>13</v>
      </c>
      <c r="X1187" s="10" t="s">
        <v>17</v>
      </c>
    </row>
    <row r="1188" spans="1:24" ht="50.25" customHeight="1" x14ac:dyDescent="0.25">
      <c r="A1188" s="11">
        <f t="shared" si="70"/>
        <v>1185</v>
      </c>
      <c r="B1188" s="11" t="s">
        <v>3125</v>
      </c>
      <c r="C1188" s="10" t="s">
        <v>3126</v>
      </c>
      <c r="D1188" s="10" t="s">
        <v>142</v>
      </c>
      <c r="E1188" s="10" t="s">
        <v>5</v>
      </c>
      <c r="F1188" s="11" t="s">
        <v>3127</v>
      </c>
      <c r="G1188" s="11"/>
      <c r="H1188" s="11"/>
      <c r="I1188" s="11" t="s">
        <v>3128</v>
      </c>
      <c r="J1188" s="11" t="s">
        <v>240</v>
      </c>
      <c r="K1188" s="15" t="str">
        <f>HYPERLINK("https://drive.google.com/open?id=1bdfPcoVY7gGnfSqAUR9FcOU1nrSE71tH"," № АА 000020 ")</f>
        <v xml:space="preserve"> № АА 000020 </v>
      </c>
      <c r="L1188" s="15" t="str">
        <f>HYPERLINK("https://drive.google.com/open?id=1nmRQRYkMIAyiI4K6yHrTs0vjq61aa9cT","Сертифікат")</f>
        <v>Сертифікат</v>
      </c>
      <c r="M1188" s="11" t="s">
        <v>24</v>
      </c>
      <c r="N1188" s="10">
        <v>1365.4</v>
      </c>
      <c r="O1188" s="10">
        <v>4505.82</v>
      </c>
      <c r="P1188" s="10">
        <v>2</v>
      </c>
      <c r="Q1188" s="10">
        <v>86.15</v>
      </c>
      <c r="R1188" s="10" t="s">
        <v>66</v>
      </c>
      <c r="S1188" s="10">
        <v>363.62</v>
      </c>
      <c r="T1188" s="10">
        <v>134.1</v>
      </c>
      <c r="U1188" s="66">
        <v>43801</v>
      </c>
      <c r="V1188" s="66">
        <v>47453</v>
      </c>
      <c r="W1188" s="10" t="s">
        <v>13</v>
      </c>
      <c r="X1188" s="10" t="s">
        <v>17</v>
      </c>
    </row>
    <row r="1189" spans="1:24" ht="50.25" customHeight="1" x14ac:dyDescent="0.25">
      <c r="A1189" s="11">
        <f t="shared" si="70"/>
        <v>1186</v>
      </c>
      <c r="B1189" s="11" t="s">
        <v>3023</v>
      </c>
      <c r="C1189" s="10" t="s">
        <v>1589</v>
      </c>
      <c r="D1189" s="10" t="s">
        <v>485</v>
      </c>
      <c r="E1189" s="10" t="s">
        <v>5</v>
      </c>
      <c r="F1189" s="11" t="s">
        <v>3129</v>
      </c>
      <c r="G1189" s="11"/>
      <c r="H1189" s="11"/>
      <c r="I1189" s="11">
        <v>1958</v>
      </c>
      <c r="J1189" s="11" t="s">
        <v>110</v>
      </c>
      <c r="K1189" s="15" t="str">
        <f>HYPERLINK("https://drive.google.com/open?id=1hysLLNyTDspucV_3Tt8ScCWEgMedd8bv","№ 1/010 ")</f>
        <v xml:space="preserve">№ 1/010 </v>
      </c>
      <c r="L1189" s="15" t="str">
        <f>HYPERLINK("https://drive.google.com/open?id=1MMKOcQKUN7t65tr2SIplAzrh9nAcXhjr","Сертифікат")</f>
        <v>Сертифікат</v>
      </c>
      <c r="M1189" s="11" t="s">
        <v>26</v>
      </c>
      <c r="N1189" s="10">
        <v>4393.8999999999996</v>
      </c>
      <c r="O1189" s="10">
        <v>15817.9</v>
      </c>
      <c r="P1189" s="10">
        <v>3</v>
      </c>
      <c r="Q1189" s="10">
        <v>109.22</v>
      </c>
      <c r="R1189" s="10" t="s">
        <v>66</v>
      </c>
      <c r="S1189" s="10">
        <v>631.92999999999995</v>
      </c>
      <c r="T1189" s="10">
        <v>113.2</v>
      </c>
      <c r="U1189" s="66">
        <v>43811</v>
      </c>
      <c r="V1189" s="66">
        <v>47463</v>
      </c>
      <c r="W1189" s="10" t="s">
        <v>10</v>
      </c>
      <c r="X1189" s="10" t="s">
        <v>17</v>
      </c>
    </row>
    <row r="1190" spans="1:24" ht="50.25" customHeight="1" x14ac:dyDescent="0.25">
      <c r="A1190" s="11">
        <f t="shared" si="70"/>
        <v>1187</v>
      </c>
      <c r="B1190" s="11" t="s">
        <v>3130</v>
      </c>
      <c r="C1190" s="10" t="s">
        <v>3079</v>
      </c>
      <c r="D1190" s="10" t="s">
        <v>317</v>
      </c>
      <c r="E1190" s="10" t="s">
        <v>4</v>
      </c>
      <c r="F1190" s="11" t="s">
        <v>1612</v>
      </c>
      <c r="G1190" s="11"/>
      <c r="H1190" s="11"/>
      <c r="I1190" s="11" t="s">
        <v>3131</v>
      </c>
      <c r="J1190" s="11" t="s">
        <v>3132</v>
      </c>
      <c r="K1190" s="15" t="str">
        <f>HYPERLINK("https://drive.google.com/open?id=1F0CO6AR1OiLLaFRNTNy68K2GQag9UOcz"," № АА000095")</f>
        <v xml:space="preserve"> № АА000095</v>
      </c>
      <c r="L1190" s="15" t="str">
        <f>HYPERLINK("https://drive.google.com/open?id=1VVPJvAv-n-exDaOAa72DWhV6Xv4vF-RC","Сертифікат")</f>
        <v>Сертифікат</v>
      </c>
      <c r="M1190" s="11" t="s">
        <v>15</v>
      </c>
      <c r="N1190" s="10">
        <v>1362</v>
      </c>
      <c r="O1190" s="10">
        <v>4294</v>
      </c>
      <c r="P1190" s="10">
        <v>2</v>
      </c>
      <c r="Q1190" s="10">
        <v>28.9</v>
      </c>
      <c r="R1190" s="10" t="s">
        <v>66</v>
      </c>
      <c r="S1190" s="10">
        <v>48.5</v>
      </c>
      <c r="T1190" s="10">
        <v>9.1</v>
      </c>
      <c r="U1190" s="66">
        <v>43809</v>
      </c>
      <c r="V1190" s="66">
        <v>47461</v>
      </c>
      <c r="W1190" s="10" t="s">
        <v>13</v>
      </c>
      <c r="X1190" s="10" t="s">
        <v>17</v>
      </c>
    </row>
    <row r="1191" spans="1:24" ht="50.25" customHeight="1" x14ac:dyDescent="0.25">
      <c r="A1191" s="11">
        <f t="shared" si="70"/>
        <v>1188</v>
      </c>
      <c r="B1191" s="11" t="s">
        <v>3133</v>
      </c>
      <c r="C1191" s="10" t="s">
        <v>85</v>
      </c>
      <c r="D1191" s="10" t="s">
        <v>86</v>
      </c>
      <c r="E1191" s="10" t="s">
        <v>0</v>
      </c>
      <c r="F1191" s="11" t="s">
        <v>2125</v>
      </c>
      <c r="G1191" s="11"/>
      <c r="H1191" s="11"/>
      <c r="I1191" s="11" t="s">
        <v>836</v>
      </c>
      <c r="J1191" s="11" t="s">
        <v>1456</v>
      </c>
      <c r="K1191" s="15" t="str">
        <f>HYPERLINK("https://drive.google.com/open?id=1PBOnKCbus-XFP8XF25x3RCuQnblcim0E","ЕЕ 00041")</f>
        <v>ЕЕ 00041</v>
      </c>
      <c r="L1191" s="15" t="str">
        <f>HYPERLINK("https://drive.google.com/open?id=1if1HBwNol3E1Z4A94S4x4byJXqM0yt2O","Сертифікат")</f>
        <v>Сертифікат</v>
      </c>
      <c r="M1191" s="11" t="s">
        <v>24</v>
      </c>
      <c r="N1191" s="10">
        <v>1837.5</v>
      </c>
      <c r="O1191" s="10">
        <v>5848.7</v>
      </c>
      <c r="P1191" s="10">
        <v>6</v>
      </c>
      <c r="Q1191" s="10">
        <v>140.4</v>
      </c>
      <c r="R1191" s="10" t="s">
        <v>57</v>
      </c>
      <c r="S1191" s="10">
        <v>186</v>
      </c>
      <c r="T1191" s="10">
        <v>37</v>
      </c>
      <c r="U1191" s="66">
        <v>43808</v>
      </c>
      <c r="V1191" s="66">
        <v>47460</v>
      </c>
      <c r="W1191" s="10" t="s">
        <v>10</v>
      </c>
      <c r="X1191" s="10" t="s">
        <v>17</v>
      </c>
    </row>
    <row r="1192" spans="1:24" ht="50.25" customHeight="1" x14ac:dyDescent="0.25">
      <c r="A1192" s="11">
        <f t="shared" si="70"/>
        <v>1189</v>
      </c>
      <c r="B1192" s="11" t="s">
        <v>3134</v>
      </c>
      <c r="C1192" s="10" t="s">
        <v>3135</v>
      </c>
      <c r="D1192" s="10" t="s">
        <v>148</v>
      </c>
      <c r="E1192" s="10" t="s">
        <v>0</v>
      </c>
      <c r="F1192" s="11" t="s">
        <v>2125</v>
      </c>
      <c r="G1192" s="11"/>
      <c r="H1192" s="11"/>
      <c r="I1192" s="11">
        <v>1975</v>
      </c>
      <c r="J1192" s="11" t="s">
        <v>64</v>
      </c>
      <c r="K1192" s="15" t="str">
        <f>HYPERLINK("https://drive.google.com/open?id=1-fr_zsf-7fSXhRxegEztRfDKVGALmS4z","АА000004")</f>
        <v>АА000004</v>
      </c>
      <c r="L1192" s="15" t="str">
        <f>HYPERLINK("https://drive.google.com/open?id=1PWDPQqu4abIxNdGexHCe57NpDd7AJgf4","Сертифікат")</f>
        <v>Сертифікат</v>
      </c>
      <c r="M1192" s="11" t="s">
        <v>26</v>
      </c>
      <c r="N1192" s="10">
        <v>1343</v>
      </c>
      <c r="O1192" s="10">
        <v>3760</v>
      </c>
      <c r="P1192" s="10">
        <v>3</v>
      </c>
      <c r="Q1192" s="10">
        <v>239</v>
      </c>
      <c r="R1192" s="10" t="s">
        <v>57</v>
      </c>
      <c r="S1192" s="10">
        <v>349.6</v>
      </c>
      <c r="T1192" s="10">
        <v>68.400000000000006</v>
      </c>
      <c r="U1192" s="66">
        <v>43812</v>
      </c>
      <c r="V1192" s="66">
        <v>47464</v>
      </c>
      <c r="W1192" s="10" t="s">
        <v>10</v>
      </c>
      <c r="X1192" s="10" t="s">
        <v>17</v>
      </c>
    </row>
    <row r="1193" spans="1:24" ht="64.5" customHeight="1" x14ac:dyDescent="0.25">
      <c r="A1193" s="11">
        <f t="shared" si="70"/>
        <v>1190</v>
      </c>
      <c r="B1193" s="11" t="s">
        <v>3136</v>
      </c>
      <c r="C1193" s="10" t="s">
        <v>153</v>
      </c>
      <c r="D1193" s="10" t="s">
        <v>86</v>
      </c>
      <c r="E1193" s="10" t="s">
        <v>0</v>
      </c>
      <c r="F1193" s="11" t="s">
        <v>3137</v>
      </c>
      <c r="G1193" s="11"/>
      <c r="H1193" s="11"/>
      <c r="I1193" s="11">
        <v>2019</v>
      </c>
      <c r="J1193" s="11" t="s">
        <v>1563</v>
      </c>
      <c r="K1193" s="15" t="str">
        <f>HYPERLINK("https://drive.google.com/open?id=1VJmNiHGJI5wDP6JjrSiS1D5cHbidmUzw","ЕЕ00049")</f>
        <v>ЕЕ00049</v>
      </c>
      <c r="L1193" s="15" t="str">
        <f>HYPERLINK("https://drive.google.com/open?id=1COy03r45Riuht7RfuSHHMUClvgMjTKL3","Сертифікат")</f>
        <v>Сертифікат</v>
      </c>
      <c r="M1193" s="11" t="s">
        <v>22</v>
      </c>
      <c r="N1193" s="10">
        <v>1854.9</v>
      </c>
      <c r="O1193" s="10">
        <v>5935.6</v>
      </c>
      <c r="P1193" s="10">
        <v>5</v>
      </c>
      <c r="Q1193" s="10">
        <v>122.7</v>
      </c>
      <c r="R1193" s="10" t="s">
        <v>57</v>
      </c>
      <c r="S1193" s="10">
        <v>160</v>
      </c>
      <c r="T1193" s="10">
        <v>32</v>
      </c>
      <c r="U1193" s="66">
        <v>43802</v>
      </c>
      <c r="V1193" s="66">
        <v>47454</v>
      </c>
      <c r="W1193" s="10" t="s">
        <v>13</v>
      </c>
      <c r="X1193" s="10" t="s">
        <v>17</v>
      </c>
    </row>
    <row r="1194" spans="1:24" ht="50.25" customHeight="1" x14ac:dyDescent="0.25">
      <c r="A1194" s="11">
        <f t="shared" si="70"/>
        <v>1191</v>
      </c>
      <c r="B1194" s="11" t="s">
        <v>3138</v>
      </c>
      <c r="C1194" s="10" t="s">
        <v>1581</v>
      </c>
      <c r="D1194" s="10" t="s">
        <v>86</v>
      </c>
      <c r="E1194" s="10" t="s">
        <v>0</v>
      </c>
      <c r="F1194" s="11" t="s">
        <v>3139</v>
      </c>
      <c r="G1194" s="11"/>
      <c r="H1194" s="11"/>
      <c r="I1194" s="11" t="s">
        <v>2646</v>
      </c>
      <c r="J1194" s="11" t="s">
        <v>1785</v>
      </c>
      <c r="K1194" s="15" t="str">
        <f>HYPERLINK("https://drive.google.com/open?id=15Xk3uo5qG9oRKI9grUcCoqrWkkn8yxac","ОД 02071010/0297-19")</f>
        <v>ОД 02071010/0297-19</v>
      </c>
      <c r="L1194" s="15" t="str">
        <f>HYPERLINK("https://drive.google.com/open?id=1_iJiu7dw9pa3Hpt_ubkwfeJOrtaYklNs","Сертифікат")</f>
        <v>Сертифікат</v>
      </c>
      <c r="M1194" s="11" t="s">
        <v>22</v>
      </c>
      <c r="N1194" s="10">
        <v>5070</v>
      </c>
      <c r="O1194" s="10">
        <v>15769</v>
      </c>
      <c r="P1194" s="10">
        <v>8</v>
      </c>
      <c r="Q1194" s="10">
        <v>127.5</v>
      </c>
      <c r="R1194" s="10" t="s">
        <v>57</v>
      </c>
      <c r="S1194" s="10">
        <v>180.3</v>
      </c>
      <c r="T1194" s="10">
        <v>35.299999999999997</v>
      </c>
      <c r="U1194" s="66">
        <v>43811</v>
      </c>
      <c r="V1194" s="66">
        <v>47463</v>
      </c>
      <c r="W1194" s="10" t="s">
        <v>13</v>
      </c>
      <c r="X1194" s="10" t="s">
        <v>17</v>
      </c>
    </row>
    <row r="1195" spans="1:24" ht="50.25" customHeight="1" x14ac:dyDescent="0.25">
      <c r="A1195" s="11">
        <f t="shared" si="70"/>
        <v>1192</v>
      </c>
      <c r="B1195" s="10" t="s">
        <v>3140</v>
      </c>
      <c r="C1195" s="10" t="s">
        <v>3141</v>
      </c>
      <c r="D1195" s="10" t="s">
        <v>1295</v>
      </c>
      <c r="E1195" s="10" t="s">
        <v>2</v>
      </c>
      <c r="F1195" s="10" t="s">
        <v>3142</v>
      </c>
      <c r="G1195" s="11"/>
      <c r="H1195" s="11"/>
      <c r="I1195" s="11" t="s">
        <v>836</v>
      </c>
      <c r="J1195" s="11" t="s">
        <v>1660</v>
      </c>
      <c r="K1195" s="56" t="str">
        <f>HYPERLINK("https://drive.google.com/open?id=1oLEtNwc-cHUiCjT6H-8zpZIM41iqf7Hj","ХМ02071234/001")</f>
        <v>ХМ02071234/001</v>
      </c>
      <c r="L1195" s="15" t="str">
        <f>HYPERLINK("https://drive.google.com/open?id=1vAeDKuR2YSglvb1jbUHD2PVweBKfCeQA","Сертифікат")</f>
        <v>Сертифікат</v>
      </c>
      <c r="M1195" s="11" t="s">
        <v>18</v>
      </c>
      <c r="N1195" s="10">
        <v>1603.1</v>
      </c>
      <c r="O1195" s="10">
        <v>6733.2</v>
      </c>
      <c r="P1195" s="10">
        <v>3</v>
      </c>
      <c r="Q1195" s="10">
        <v>55.74</v>
      </c>
      <c r="R1195" s="10" t="s">
        <v>66</v>
      </c>
      <c r="S1195" s="10">
        <v>261.5</v>
      </c>
      <c r="T1195" s="10">
        <v>48.71</v>
      </c>
      <c r="U1195" s="45">
        <v>43802</v>
      </c>
      <c r="V1195" s="66">
        <v>47454</v>
      </c>
      <c r="W1195" s="10" t="s">
        <v>13</v>
      </c>
      <c r="X1195" s="10" t="s">
        <v>17</v>
      </c>
    </row>
    <row r="1196" spans="1:24" ht="50.25" customHeight="1" x14ac:dyDescent="0.25">
      <c r="A1196" s="11">
        <f t="shared" si="70"/>
        <v>1193</v>
      </c>
      <c r="B1196" s="11" t="s">
        <v>3143</v>
      </c>
      <c r="C1196" s="10" t="s">
        <v>1507</v>
      </c>
      <c r="D1196" s="10" t="s">
        <v>317</v>
      </c>
      <c r="E1196" s="10" t="s">
        <v>0</v>
      </c>
      <c r="F1196" s="11" t="s">
        <v>3144</v>
      </c>
      <c r="G1196" s="11"/>
      <c r="H1196" s="11"/>
      <c r="I1196" s="11" t="s">
        <v>836</v>
      </c>
      <c r="J1196" s="11" t="s">
        <v>2722</v>
      </c>
      <c r="K1196" s="15" t="str">
        <f>HYPERLINK("https://drive.google.com/open?id=106TiCB86RjqUlX9sxp1smcQ9D-FCH_4I","ЕЕ 00046 ")</f>
        <v xml:space="preserve">ЕЕ 00046 </v>
      </c>
      <c r="L1196" s="15" t="str">
        <f>HYPERLINK("https://drive.google.com/open?id=1GwBLG1afNskEjKoRsxrAx9DFcrCBER8u","Сертифікат")</f>
        <v>Сертифікат</v>
      </c>
      <c r="M1196" s="11" t="s">
        <v>18</v>
      </c>
      <c r="N1196" s="10">
        <v>9447.4</v>
      </c>
      <c r="O1196" s="10">
        <v>28506.9</v>
      </c>
      <c r="P1196" s="10">
        <v>13</v>
      </c>
      <c r="Q1196" s="10">
        <v>86.6</v>
      </c>
      <c r="R1196" s="10" t="s">
        <v>57</v>
      </c>
      <c r="S1196" s="10">
        <v>126.8</v>
      </c>
      <c r="T1196" s="10">
        <v>24.7</v>
      </c>
      <c r="U1196" s="66">
        <v>43802</v>
      </c>
      <c r="V1196" s="66">
        <v>47454</v>
      </c>
      <c r="W1196" s="10" t="s">
        <v>10</v>
      </c>
      <c r="X1196" s="10" t="s">
        <v>17</v>
      </c>
    </row>
    <row r="1197" spans="1:24" ht="81" customHeight="1" x14ac:dyDescent="0.25">
      <c r="A1197" s="11">
        <f t="shared" si="70"/>
        <v>1194</v>
      </c>
      <c r="B1197" s="11" t="s">
        <v>3145</v>
      </c>
      <c r="C1197" s="10" t="s">
        <v>374</v>
      </c>
      <c r="D1197" s="10" t="s">
        <v>79</v>
      </c>
      <c r="E1197" s="10" t="s">
        <v>7</v>
      </c>
      <c r="F1197" s="11" t="s">
        <v>3146</v>
      </c>
      <c r="G1197" s="11"/>
      <c r="H1197" s="11"/>
      <c r="I1197" s="11" t="s">
        <v>3147</v>
      </c>
      <c r="J1197" s="11" t="s">
        <v>3122</v>
      </c>
      <c r="K1197" s="15" t="str">
        <f>HYPERLINK("https://drive.google.com/open?id=1Dy7TR5-TW7HHFgoURAEWFg2CT6g-sR4I","ЕА 02070766/15-19")</f>
        <v>ЕА 02070766/15-19</v>
      </c>
      <c r="L1197" s="15" t="str">
        <f>HYPERLINK("https://drive.google.com/open?id=1Kuglj-236vTh3eaiW-FcERMgX6BTbCU-","Сертифікат")</f>
        <v>Сертифікат</v>
      </c>
      <c r="M1197" s="11" t="s">
        <v>15</v>
      </c>
      <c r="N1197" s="10">
        <v>1194</v>
      </c>
      <c r="O1197" s="10">
        <v>3676.52</v>
      </c>
      <c r="P1197" s="10">
        <v>1</v>
      </c>
      <c r="Q1197" s="10">
        <v>41.4</v>
      </c>
      <c r="R1197" s="10" t="s">
        <v>66</v>
      </c>
      <c r="S1197" s="10">
        <v>463.2</v>
      </c>
      <c r="T1197" s="10">
        <v>84.6</v>
      </c>
      <c r="U1197" s="66">
        <v>43812</v>
      </c>
      <c r="V1197" s="66">
        <v>47464</v>
      </c>
      <c r="W1197" s="10" t="s">
        <v>10</v>
      </c>
      <c r="X1197" s="10" t="s">
        <v>17</v>
      </c>
    </row>
    <row r="1198" spans="1:24" ht="103.5" customHeight="1" x14ac:dyDescent="0.25">
      <c r="A1198" s="11">
        <f t="shared" si="70"/>
        <v>1195</v>
      </c>
      <c r="B1198" s="11" t="s">
        <v>3148</v>
      </c>
      <c r="C1198" s="10" t="s">
        <v>1581</v>
      </c>
      <c r="D1198" s="10" t="s">
        <v>86</v>
      </c>
      <c r="E1198" s="10" t="s">
        <v>0</v>
      </c>
      <c r="F1198" s="11" t="s">
        <v>3149</v>
      </c>
      <c r="G1198" s="11"/>
      <c r="H1198" s="11"/>
      <c r="I1198" s="11" t="s">
        <v>3150</v>
      </c>
      <c r="J1198" s="11" t="s">
        <v>1785</v>
      </c>
      <c r="K1198" s="15" t="str">
        <f>HYPERLINK("https://drive.google.com/open?id=15Xk3uo5qG9oRKI9grUcCoqrWkkn8yxac","ОД 02071010/0297-19")</f>
        <v>ОД 02071010/0297-19</v>
      </c>
      <c r="L1198" s="15" t="str">
        <f>HYPERLINK("https://drive.google.com/open?id=14UuZP3rlPD6PjhIkcuVBY2RlICk2qzxD","Сертифікат")</f>
        <v>Сертифікат</v>
      </c>
      <c r="M1198" s="11" t="s">
        <v>22</v>
      </c>
      <c r="N1198" s="10">
        <v>5070</v>
      </c>
      <c r="O1198" s="10">
        <v>15769</v>
      </c>
      <c r="P1198" s="10">
        <v>8</v>
      </c>
      <c r="Q1198" s="10">
        <v>127.5</v>
      </c>
      <c r="R1198" s="10" t="s">
        <v>57</v>
      </c>
      <c r="S1198" s="10">
        <v>180.3</v>
      </c>
      <c r="T1198" s="10">
        <v>35.299999999999997</v>
      </c>
      <c r="U1198" s="66">
        <v>43811</v>
      </c>
      <c r="V1198" s="66">
        <v>47463</v>
      </c>
      <c r="W1198" s="10" t="s">
        <v>13</v>
      </c>
      <c r="X1198" s="10" t="s">
        <v>17</v>
      </c>
    </row>
    <row r="1199" spans="1:24" ht="50.25" customHeight="1" x14ac:dyDescent="0.25">
      <c r="A1199" s="11">
        <f t="shared" si="70"/>
        <v>1196</v>
      </c>
      <c r="B1199" s="11" t="s">
        <v>3151</v>
      </c>
      <c r="C1199" s="10" t="s">
        <v>1589</v>
      </c>
      <c r="D1199" s="10" t="s">
        <v>485</v>
      </c>
      <c r="E1199" s="10" t="s">
        <v>0</v>
      </c>
      <c r="F1199" s="11" t="s">
        <v>3152</v>
      </c>
      <c r="G1199" s="11"/>
      <c r="H1199" s="11"/>
      <c r="I1199" s="11">
        <v>1989</v>
      </c>
      <c r="J1199" s="11" t="s">
        <v>1690</v>
      </c>
      <c r="K1199" s="61" t="str">
        <f>HYPERLINK("https://drive.google.com/open?id=1TE4jVZBZCRbSD2VYoISPLh8Au66nBZh8","ОД 02071010/0933-18")</f>
        <v>ОД 02071010/0933-18</v>
      </c>
      <c r="L1199" s="15" t="str">
        <f>HYPERLINK("https://drive.google.com/open?id=1WlUdN39M1F5AnP36vwHxIsWra-qhhlZ5","Сертифікат")</f>
        <v>Сертифікат</v>
      </c>
      <c r="M1199" s="11" t="s">
        <v>26</v>
      </c>
      <c r="N1199" s="10">
        <v>10787</v>
      </c>
      <c r="O1199" s="10">
        <v>30205</v>
      </c>
      <c r="P1199" s="10">
        <v>10</v>
      </c>
      <c r="Q1199" s="10">
        <v>214.5</v>
      </c>
      <c r="R1199" s="10" t="s">
        <v>57</v>
      </c>
      <c r="S1199" s="10">
        <v>330</v>
      </c>
      <c r="T1199" s="10">
        <v>65</v>
      </c>
      <c r="U1199" s="66">
        <v>43812</v>
      </c>
      <c r="V1199" s="66">
        <v>47464</v>
      </c>
      <c r="W1199" s="10" t="s">
        <v>13</v>
      </c>
      <c r="X1199" s="10" t="s">
        <v>17</v>
      </c>
    </row>
    <row r="1200" spans="1:24" ht="50.25" customHeight="1" x14ac:dyDescent="0.25">
      <c r="A1200" s="11">
        <f t="shared" si="70"/>
        <v>1197</v>
      </c>
      <c r="B1200" s="11" t="s">
        <v>3153</v>
      </c>
      <c r="C1200" s="10" t="s">
        <v>166</v>
      </c>
      <c r="D1200" s="10" t="s">
        <v>79</v>
      </c>
      <c r="E1200" s="10" t="s">
        <v>0</v>
      </c>
      <c r="F1200" s="11" t="s">
        <v>3154</v>
      </c>
      <c r="G1200" s="11"/>
      <c r="H1200" s="11"/>
      <c r="I1200" s="11">
        <v>1980</v>
      </c>
      <c r="J1200" s="11" t="s">
        <v>668</v>
      </c>
      <c r="K1200" s="15" t="str">
        <f>HYPERLINK("https://drive.google.com/open?id=1NSlpy3KnsggBDFhLrg81QLR2deMl7d6Q","АА000077")</f>
        <v>АА000077</v>
      </c>
      <c r="L1200" s="15" t="str">
        <f>HYPERLINK("https://drive.google.com/open?id=1lo7sepyW__XVm4Hu6crBFonVkl6BDK9l","Сертифікат")</f>
        <v>Сертифікат</v>
      </c>
      <c r="M1200" s="11" t="s">
        <v>26</v>
      </c>
      <c r="N1200" s="10">
        <v>8990.1</v>
      </c>
      <c r="O1200" s="10">
        <v>24923</v>
      </c>
      <c r="P1200" s="10">
        <v>9</v>
      </c>
      <c r="Q1200" s="10">
        <v>159.9</v>
      </c>
      <c r="R1200" s="10" t="s">
        <v>57</v>
      </c>
      <c r="S1200" s="10">
        <v>215.5</v>
      </c>
      <c r="T1200" s="10">
        <v>58.25</v>
      </c>
      <c r="U1200" s="66">
        <v>43811</v>
      </c>
      <c r="V1200" s="66">
        <v>47463</v>
      </c>
      <c r="W1200" s="10" t="s">
        <v>10</v>
      </c>
      <c r="X1200" s="10" t="s">
        <v>17</v>
      </c>
    </row>
    <row r="1201" spans="1:24" ht="50.25" customHeight="1" x14ac:dyDescent="0.25">
      <c r="A1201" s="11">
        <f t="shared" si="70"/>
        <v>1198</v>
      </c>
      <c r="B1201" s="11" t="s">
        <v>3155</v>
      </c>
      <c r="C1201" s="10" t="s">
        <v>773</v>
      </c>
      <c r="D1201" s="10" t="s">
        <v>247</v>
      </c>
      <c r="E1201" s="10" t="s">
        <v>0</v>
      </c>
      <c r="F1201" s="11" t="s">
        <v>0</v>
      </c>
      <c r="G1201" s="11"/>
      <c r="H1201" s="11"/>
      <c r="I1201" s="11" t="s">
        <v>836</v>
      </c>
      <c r="J1201" s="11" t="s">
        <v>2569</v>
      </c>
      <c r="K1201" s="15" t="str">
        <f>HYPERLINK("https://drive.google.com/open?id=1F8SR7qtTvvZUe8y7GKaG7PDZfmBDTrSb","КРІ-СЕ №000048")</f>
        <v>КРІ-СЕ №000048</v>
      </c>
      <c r="L1201" s="15" t="str">
        <f>HYPERLINK("https://drive.google.com/open?id=1vQP2Ql3p-kqDRaDhl-HULmknv5BYl0Eo","Сертифікат")</f>
        <v>Сертифікат</v>
      </c>
      <c r="M1201" s="11" t="s">
        <v>18</v>
      </c>
      <c r="N1201" s="10">
        <v>4914.1000000000004</v>
      </c>
      <c r="O1201" s="10">
        <v>14742.3</v>
      </c>
      <c r="P1201" s="10">
        <v>9</v>
      </c>
      <c r="Q1201" s="10">
        <v>86.57</v>
      </c>
      <c r="R1201" s="10" t="s">
        <v>57</v>
      </c>
      <c r="S1201" s="10">
        <v>133.6</v>
      </c>
      <c r="T1201" s="10">
        <v>22.2</v>
      </c>
      <c r="U1201" s="66">
        <v>43811</v>
      </c>
      <c r="V1201" s="66">
        <v>47463</v>
      </c>
      <c r="W1201" s="10" t="s">
        <v>10</v>
      </c>
      <c r="X1201" s="10" t="s">
        <v>17</v>
      </c>
    </row>
    <row r="1202" spans="1:24" ht="50.25" customHeight="1" x14ac:dyDescent="0.25">
      <c r="A1202" s="11">
        <f t="shared" si="70"/>
        <v>1199</v>
      </c>
      <c r="B1202" s="11" t="s">
        <v>3156</v>
      </c>
      <c r="C1202" s="10" t="s">
        <v>1589</v>
      </c>
      <c r="D1202" s="10" t="s">
        <v>485</v>
      </c>
      <c r="E1202" s="10" t="s">
        <v>0</v>
      </c>
      <c r="F1202" s="11" t="s">
        <v>3157</v>
      </c>
      <c r="G1202" s="11"/>
      <c r="H1202" s="11"/>
      <c r="I1202" s="11" t="s">
        <v>836</v>
      </c>
      <c r="J1202" s="11" t="s">
        <v>1504</v>
      </c>
      <c r="K1202" s="15" t="s">
        <v>1505</v>
      </c>
      <c r="L1202" s="15" t="str">
        <f>HYPERLINK("https://drive.google.com/open?id=1Yw94Mbz1nVnBrCqAG3pQLilMC4cwcJfX","Сертифікат")</f>
        <v>Сертифікат</v>
      </c>
      <c r="M1202" s="11" t="s">
        <v>18</v>
      </c>
      <c r="N1202" s="10">
        <v>12378</v>
      </c>
      <c r="O1202" s="10">
        <v>34287</v>
      </c>
      <c r="P1202" s="10">
        <v>10</v>
      </c>
      <c r="Q1202" s="10">
        <v>82.4</v>
      </c>
      <c r="R1202" s="10" t="s">
        <v>57</v>
      </c>
      <c r="S1202" s="10">
        <v>125.5</v>
      </c>
      <c r="T1202" s="10">
        <v>35.700000000000003</v>
      </c>
      <c r="U1202" s="66">
        <v>43811</v>
      </c>
      <c r="V1202" s="66">
        <v>47463</v>
      </c>
      <c r="W1202" s="10" t="s">
        <v>10</v>
      </c>
      <c r="X1202" s="10" t="s">
        <v>17</v>
      </c>
    </row>
    <row r="1203" spans="1:24" ht="50.25" customHeight="1" x14ac:dyDescent="0.25">
      <c r="A1203" s="11">
        <f t="shared" si="70"/>
        <v>1200</v>
      </c>
      <c r="B1203" s="11" t="s">
        <v>3158</v>
      </c>
      <c r="C1203" s="10" t="s">
        <v>52</v>
      </c>
      <c r="D1203" s="10" t="s">
        <v>52</v>
      </c>
      <c r="E1203" s="10" t="s">
        <v>0</v>
      </c>
      <c r="F1203" s="11" t="s">
        <v>3159</v>
      </c>
      <c r="G1203" s="11"/>
      <c r="H1203" s="11"/>
      <c r="I1203" s="11">
        <v>2019</v>
      </c>
      <c r="J1203" s="11" t="s">
        <v>1168</v>
      </c>
      <c r="K1203" s="15" t="str">
        <f>HYPERLINK("https://drive.google.com/open?id=1IAlNZe4csuyp8RH-DTYn3L4-p1-qcHtF","ЕЕ-001-10-18")</f>
        <v>ЕЕ-001-10-18</v>
      </c>
      <c r="L1203" s="15" t="str">
        <f>HYPERLINK("https://drive.google.com/open?id=1hmBAU2mNJEFOyG3rxj68iBtb0lCGe0yv","Сертифікат")</f>
        <v>Сертифікат</v>
      </c>
      <c r="M1203" s="11" t="s">
        <v>20</v>
      </c>
      <c r="N1203" s="10">
        <v>30389.119999999999</v>
      </c>
      <c r="O1203" s="10">
        <v>90790</v>
      </c>
      <c r="P1203" s="10">
        <v>25</v>
      </c>
      <c r="Q1203" s="10">
        <v>102.6</v>
      </c>
      <c r="R1203" s="10" t="s">
        <v>57</v>
      </c>
      <c r="S1203" s="10">
        <v>167</v>
      </c>
      <c r="T1203" s="10">
        <v>33</v>
      </c>
      <c r="U1203" s="66">
        <v>43811</v>
      </c>
      <c r="V1203" s="66">
        <v>47463</v>
      </c>
      <c r="W1203" s="10" t="s">
        <v>13</v>
      </c>
      <c r="X1203" s="10" t="s">
        <v>17</v>
      </c>
    </row>
    <row r="1204" spans="1:24" ht="50.25" customHeight="1" x14ac:dyDescent="0.25">
      <c r="A1204" s="11">
        <f t="shared" si="70"/>
        <v>1201</v>
      </c>
      <c r="B1204" s="11" t="s">
        <v>3160</v>
      </c>
      <c r="C1204" s="10" t="s">
        <v>182</v>
      </c>
      <c r="D1204" s="10" t="s">
        <v>174</v>
      </c>
      <c r="E1204" s="10" t="s">
        <v>4</v>
      </c>
      <c r="F1204" s="11" t="s">
        <v>3161</v>
      </c>
      <c r="G1204" s="11"/>
      <c r="H1204" s="11"/>
      <c r="I1204" s="11" t="s">
        <v>3162</v>
      </c>
      <c r="J1204" s="11" t="s">
        <v>2078</v>
      </c>
      <c r="K1204" s="15" t="str">
        <f>HYPERLINK("https://drive.google.com/open?id=1Dy7TR5-TW7HHFgoURAEWFg2CT6g-sR4I","ЕА 02070766/15-19")</f>
        <v>ЕА 02070766/15-19</v>
      </c>
      <c r="L1204" s="15" t="str">
        <f>HYPERLINK("https://drive.google.com/open?id=1LjfhaBoB876FSv-1p1oxbcMRePie7jJc","Сертифікат")</f>
        <v>Сертифікат</v>
      </c>
      <c r="M1204" s="11" t="s">
        <v>20</v>
      </c>
      <c r="N1204" s="10">
        <v>914.2</v>
      </c>
      <c r="O1204" s="10">
        <v>2879.73</v>
      </c>
      <c r="P1204" s="10">
        <v>2</v>
      </c>
      <c r="Q1204" s="10">
        <v>60.8</v>
      </c>
      <c r="R1204" s="10" t="s">
        <v>66</v>
      </c>
      <c r="S1204" s="10">
        <v>342.9</v>
      </c>
      <c r="T1204" s="10">
        <v>66.2</v>
      </c>
      <c r="U1204" s="66">
        <v>43813</v>
      </c>
      <c r="V1204" s="66">
        <v>47465</v>
      </c>
      <c r="W1204" s="10" t="s">
        <v>10</v>
      </c>
      <c r="X1204" s="10" t="s">
        <v>17</v>
      </c>
    </row>
    <row r="1205" spans="1:24" ht="50.25" customHeight="1" x14ac:dyDescent="0.25">
      <c r="A1205" s="11">
        <f t="shared" si="70"/>
        <v>1202</v>
      </c>
      <c r="B1205" s="11" t="s">
        <v>3163</v>
      </c>
      <c r="C1205" s="10" t="s">
        <v>441</v>
      </c>
      <c r="D1205" s="10" t="s">
        <v>442</v>
      </c>
      <c r="E1205" s="10" t="s">
        <v>5</v>
      </c>
      <c r="F1205" s="11" t="s">
        <v>3164</v>
      </c>
      <c r="G1205" s="11"/>
      <c r="H1205" s="11"/>
      <c r="I1205" s="11">
        <v>1972</v>
      </c>
      <c r="J1205" s="11" t="s">
        <v>1568</v>
      </c>
      <c r="K1205" s="15" t="str">
        <f>HYPERLINK("https://drive.google.com/open?id=1v0V9dlOrSvUpPUG7-h6JvaE7O28IsW6T","ОД № 000003")</f>
        <v>ОД № 000003</v>
      </c>
      <c r="L1205" s="15" t="str">
        <f>HYPERLINK("https://drive.google.com/open?id=1jQb-kfniOAW_GQSTAZUqrLupU8O1isI4","Сертифікат")</f>
        <v>Сертифікат</v>
      </c>
      <c r="M1205" s="11" t="s">
        <v>24</v>
      </c>
      <c r="N1205" s="10">
        <v>2395.4</v>
      </c>
      <c r="O1205" s="10">
        <v>7067</v>
      </c>
      <c r="P1205" s="10">
        <v>3</v>
      </c>
      <c r="Q1205" s="10">
        <v>98.93</v>
      </c>
      <c r="R1205" s="10" t="s">
        <v>66</v>
      </c>
      <c r="S1205" s="10">
        <v>389.1</v>
      </c>
      <c r="T1205" s="10">
        <v>76.2</v>
      </c>
      <c r="U1205" s="66">
        <v>43815</v>
      </c>
      <c r="V1205" s="66">
        <v>47467</v>
      </c>
      <c r="W1205" s="10" t="s">
        <v>10</v>
      </c>
      <c r="X1205" s="10" t="s">
        <v>17</v>
      </c>
    </row>
    <row r="1206" spans="1:24" ht="50.25" customHeight="1" x14ac:dyDescent="0.25">
      <c r="A1206" s="11">
        <f t="shared" si="70"/>
        <v>1203</v>
      </c>
      <c r="B1206" s="11" t="s">
        <v>3165</v>
      </c>
      <c r="C1206" s="10" t="s">
        <v>74</v>
      </c>
      <c r="D1206" s="10" t="s">
        <v>75</v>
      </c>
      <c r="E1206" s="10" t="s">
        <v>5</v>
      </c>
      <c r="F1206" s="11" t="s">
        <v>3166</v>
      </c>
      <c r="G1206" s="11"/>
      <c r="H1206" s="11"/>
      <c r="I1206" s="11">
        <v>1989</v>
      </c>
      <c r="J1206" s="11" t="s">
        <v>642</v>
      </c>
      <c r="K1206" s="15" t="str">
        <f>HYPERLINK("https://drive.google.com/open?id=1cxGxrVWMvCNlS6TwjKIt2Jn85z6h57TB","ЕЕ-036-05-19")</f>
        <v>ЕЕ-036-05-19</v>
      </c>
      <c r="L1206" s="15" t="str">
        <f>HYPERLINK("https://drive.google.com/open?id=1eDHkhaN_huzTriouf13upLiiDfJG77b6","Сертифікат")</f>
        <v>Сертифікат</v>
      </c>
      <c r="M1206" s="11" t="s">
        <v>26</v>
      </c>
      <c r="N1206" s="10">
        <v>2477</v>
      </c>
      <c r="O1206" s="10">
        <v>7860</v>
      </c>
      <c r="P1206" s="10">
        <v>3</v>
      </c>
      <c r="Q1206" s="10">
        <v>149.4</v>
      </c>
      <c r="R1206" s="10" t="s">
        <v>66</v>
      </c>
      <c r="S1206" s="10">
        <v>712</v>
      </c>
      <c r="T1206" s="10">
        <v>139</v>
      </c>
      <c r="U1206" s="66">
        <v>43805</v>
      </c>
      <c r="V1206" s="66">
        <v>47457</v>
      </c>
      <c r="W1206" s="10" t="s">
        <v>10</v>
      </c>
      <c r="X1206" s="10" t="s">
        <v>17</v>
      </c>
    </row>
    <row r="1207" spans="1:24" ht="50.25" customHeight="1" x14ac:dyDescent="0.25">
      <c r="A1207" s="11">
        <f t="shared" si="70"/>
        <v>1204</v>
      </c>
      <c r="B1207" s="11" t="s">
        <v>3167</v>
      </c>
      <c r="C1207" s="10" t="s">
        <v>1377</v>
      </c>
      <c r="D1207" s="10" t="s">
        <v>79</v>
      </c>
      <c r="E1207" s="10" t="s">
        <v>0</v>
      </c>
      <c r="F1207" s="11" t="s">
        <v>3168</v>
      </c>
      <c r="G1207" s="11"/>
      <c r="H1207" s="11"/>
      <c r="I1207" s="11" t="s">
        <v>836</v>
      </c>
      <c r="J1207" s="11" t="s">
        <v>2238</v>
      </c>
      <c r="K1207" s="15" t="str">
        <f>HYPERLINK("https://drive.google.com/open?id=1WKM6emkWz3l1_yf5hh7MbwlgQu9-sHyN","СБ-0018")</f>
        <v>СБ-0018</v>
      </c>
      <c r="L1207" s="15" t="str">
        <f>HYPERLINK("https://drive.google.com/open?id=1m_TJu-lMdupiCuuoyi4OxOyW58D3Gsrr","Сертифікат")</f>
        <v>Сертифікат</v>
      </c>
      <c r="M1207" s="11" t="s">
        <v>22</v>
      </c>
      <c r="N1207" s="10">
        <v>6954.12</v>
      </c>
      <c r="O1207" s="10">
        <v>32680.71</v>
      </c>
      <c r="P1207" s="10">
        <v>9</v>
      </c>
      <c r="Q1207" s="10">
        <v>119.8</v>
      </c>
      <c r="R1207" s="10" t="s">
        <v>57</v>
      </c>
      <c r="S1207" s="10">
        <v>163</v>
      </c>
      <c r="T1207" s="10">
        <v>32</v>
      </c>
      <c r="U1207" s="66">
        <v>43806</v>
      </c>
      <c r="V1207" s="66">
        <v>47458</v>
      </c>
      <c r="W1207" s="10" t="s">
        <v>13</v>
      </c>
      <c r="X1207" s="10" t="s">
        <v>17</v>
      </c>
    </row>
    <row r="1208" spans="1:24" ht="50.25" customHeight="1" x14ac:dyDescent="0.25">
      <c r="A1208" s="11">
        <f t="shared" si="70"/>
        <v>1205</v>
      </c>
      <c r="B1208" s="11" t="s">
        <v>3116</v>
      </c>
      <c r="C1208" s="10" t="s">
        <v>1589</v>
      </c>
      <c r="D1208" s="10" t="s">
        <v>485</v>
      </c>
      <c r="E1208" s="10" t="s">
        <v>2</v>
      </c>
      <c r="F1208" s="11" t="s">
        <v>3169</v>
      </c>
      <c r="G1208" s="11"/>
      <c r="H1208" s="11"/>
      <c r="I1208" s="11">
        <v>1958</v>
      </c>
      <c r="J1208" s="11" t="s">
        <v>753</v>
      </c>
      <c r="K1208" s="15" t="str">
        <f>HYPERLINK("https://drive.google.com/open?id=17tvViNqObmYfXRY5necXiEkbeVWZdxpV","№CБ-0050")</f>
        <v>№CБ-0050</v>
      </c>
      <c r="L1208" s="15" t="str">
        <f>HYPERLINK("https://drive.google.com/open?id=1VI6bX8wYEgdIjh9LdjXCDHTVQsEx2Hqr","Сертифікат")</f>
        <v>Сертифікат</v>
      </c>
      <c r="M1208" s="11" t="s">
        <v>26</v>
      </c>
      <c r="N1208" s="10">
        <v>616.1</v>
      </c>
      <c r="O1208" s="10">
        <v>2083.8000000000002</v>
      </c>
      <c r="P1208" s="10">
        <v>2</v>
      </c>
      <c r="Q1208" s="10">
        <v>108.54</v>
      </c>
      <c r="R1208" s="10" t="s">
        <v>66</v>
      </c>
      <c r="S1208" s="10">
        <v>494.3</v>
      </c>
      <c r="T1208" s="10">
        <v>98.43</v>
      </c>
      <c r="U1208" s="66">
        <v>43812</v>
      </c>
      <c r="V1208" s="66">
        <v>47464</v>
      </c>
      <c r="W1208" s="10" t="s">
        <v>10</v>
      </c>
      <c r="X1208" s="10" t="s">
        <v>17</v>
      </c>
    </row>
    <row r="1209" spans="1:24" ht="50.25" customHeight="1" x14ac:dyDescent="0.25">
      <c r="A1209" s="11">
        <f t="shared" si="70"/>
        <v>1206</v>
      </c>
      <c r="B1209" s="11" t="s">
        <v>3170</v>
      </c>
      <c r="C1209" s="10" t="s">
        <v>687</v>
      </c>
      <c r="D1209" s="10" t="s">
        <v>142</v>
      </c>
      <c r="E1209" s="10" t="s">
        <v>4</v>
      </c>
      <c r="F1209" s="11" t="s">
        <v>3171</v>
      </c>
      <c r="G1209" s="11"/>
      <c r="H1209" s="11"/>
      <c r="I1209" s="11">
        <v>1975</v>
      </c>
      <c r="J1209" s="11" t="s">
        <v>93</v>
      </c>
      <c r="K1209" s="15" t="str">
        <f>HYPERLINK("https://drive.google.com/open?id=16knL7rF64EXtCB0-Ch1v5DtfiE2GYjkB","ЕЕ-002-10-18 ")</f>
        <v xml:space="preserve">ЕЕ-002-10-18 </v>
      </c>
      <c r="L1209" s="15" t="str">
        <f>HYPERLINK("https://drive.google.com/open?id=1Ra0Vg4vvGToXuMAfe5ksTzXkHOuL9jKh","Сертифікат")</f>
        <v>Сертифікат</v>
      </c>
      <c r="M1209" s="11" t="s">
        <v>22</v>
      </c>
      <c r="N1209" s="10">
        <v>1093.5999999999999</v>
      </c>
      <c r="O1209" s="10">
        <v>3607</v>
      </c>
      <c r="P1209" s="10">
        <v>2</v>
      </c>
      <c r="Q1209" s="10">
        <v>73.5</v>
      </c>
      <c r="R1209" s="10" t="s">
        <v>66</v>
      </c>
      <c r="S1209" s="10">
        <v>361</v>
      </c>
      <c r="T1209" s="10">
        <v>71</v>
      </c>
      <c r="U1209" s="66">
        <v>43804</v>
      </c>
      <c r="V1209" s="66">
        <v>47456</v>
      </c>
      <c r="W1209" s="10" t="s">
        <v>10</v>
      </c>
      <c r="X1209" s="10" t="s">
        <v>17</v>
      </c>
    </row>
    <row r="1210" spans="1:24" ht="50.25" customHeight="1" x14ac:dyDescent="0.25">
      <c r="A1210" s="11">
        <f t="shared" si="70"/>
        <v>1207</v>
      </c>
      <c r="B1210" s="11" t="s">
        <v>3172</v>
      </c>
      <c r="C1210" s="10" t="s">
        <v>441</v>
      </c>
      <c r="D1210" s="10" t="s">
        <v>442</v>
      </c>
      <c r="E1210" s="10" t="s">
        <v>5</v>
      </c>
      <c r="F1210" s="11" t="s">
        <v>3173</v>
      </c>
      <c r="G1210" s="11"/>
      <c r="H1210" s="11"/>
      <c r="I1210" s="11">
        <v>1972</v>
      </c>
      <c r="J1210" s="11" t="s">
        <v>3174</v>
      </c>
      <c r="K1210" s="15" t="str">
        <f>HYPERLINK("https://drive.google.com/open?id=1v0V9dlOrSvUpPUG7-h6JvaE7O28IsW6T","ОД № 000003")</f>
        <v>ОД № 000003</v>
      </c>
      <c r="L1210" s="15" t="str">
        <f>HYPERLINK("https://drive.google.com/open?id=1zcUTHuUIfogxIEElcDeInCRkKehWn2b7","Сертифікат")</f>
        <v>Сертифікат</v>
      </c>
      <c r="M1210" s="11" t="s">
        <v>26</v>
      </c>
      <c r="N1210" s="10">
        <v>2448.1</v>
      </c>
      <c r="O1210" s="10">
        <v>7345</v>
      </c>
      <c r="P1210" s="10">
        <v>3</v>
      </c>
      <c r="Q1210" s="10">
        <v>101.5</v>
      </c>
      <c r="R1210" s="10" t="s">
        <v>66</v>
      </c>
      <c r="S1210" s="10">
        <v>397.8</v>
      </c>
      <c r="T1210" s="10">
        <v>77.900000000000006</v>
      </c>
      <c r="U1210" s="66">
        <v>43815</v>
      </c>
      <c r="V1210" s="66">
        <v>47467</v>
      </c>
      <c r="W1210" s="10" t="s">
        <v>10</v>
      </c>
      <c r="X1210" s="10" t="s">
        <v>17</v>
      </c>
    </row>
    <row r="1211" spans="1:24" ht="50.25" customHeight="1" x14ac:dyDescent="0.25">
      <c r="A1211" s="11">
        <f t="shared" si="70"/>
        <v>1208</v>
      </c>
      <c r="B1211" s="11" t="s">
        <v>3175</v>
      </c>
      <c r="C1211" s="10" t="s">
        <v>182</v>
      </c>
      <c r="D1211" s="10" t="s">
        <v>174</v>
      </c>
      <c r="E1211" s="10" t="s">
        <v>4</v>
      </c>
      <c r="F1211" s="11" t="s">
        <v>3176</v>
      </c>
      <c r="G1211" s="11"/>
      <c r="H1211" s="11"/>
      <c r="I1211" s="11" t="s">
        <v>3177</v>
      </c>
      <c r="J1211" s="11" t="s">
        <v>2078</v>
      </c>
      <c r="K1211" s="15" t="str">
        <f>HYPERLINK("https://drive.google.com/open?id=1Dy7TR5-TW7HHFgoURAEWFg2CT6g-sR4I","ЕА 02070766/15-19")</f>
        <v>ЕА 02070766/15-19</v>
      </c>
      <c r="L1211" s="15" t="str">
        <f>HYPERLINK("https://drive.google.com/open?id=1GQqE2-3_sTB4BMu5MAu0bj2CtoOsHCB_","Сертифікат")</f>
        <v>Сертифікат</v>
      </c>
      <c r="M1211" s="11" t="s">
        <v>15</v>
      </c>
      <c r="N1211" s="10">
        <v>1247.76</v>
      </c>
      <c r="O1211" s="10">
        <v>4117.6099999999997</v>
      </c>
      <c r="P1211" s="10">
        <v>2</v>
      </c>
      <c r="Q1211" s="10">
        <v>52.7</v>
      </c>
      <c r="R1211" s="10" t="s">
        <v>66</v>
      </c>
      <c r="S1211" s="10">
        <v>311.7</v>
      </c>
      <c r="T1211" s="10">
        <v>60.1</v>
      </c>
      <c r="U1211" s="66">
        <v>43813</v>
      </c>
      <c r="V1211" s="66">
        <v>47465</v>
      </c>
      <c r="W1211" s="10" t="s">
        <v>10</v>
      </c>
      <c r="X1211" s="10" t="s">
        <v>17</v>
      </c>
    </row>
    <row r="1212" spans="1:24" ht="50.25" customHeight="1" x14ac:dyDescent="0.25">
      <c r="A1212" s="11">
        <f t="shared" si="70"/>
        <v>1209</v>
      </c>
      <c r="B1212" s="11" t="s">
        <v>3178</v>
      </c>
      <c r="C1212" s="10" t="s">
        <v>102</v>
      </c>
      <c r="D1212" s="10" t="s">
        <v>103</v>
      </c>
      <c r="E1212" s="10" t="s">
        <v>7</v>
      </c>
      <c r="F1212" s="11" t="s">
        <v>1929</v>
      </c>
      <c r="G1212" s="11"/>
      <c r="H1212" s="11"/>
      <c r="I1212" s="11" t="s">
        <v>3179</v>
      </c>
      <c r="J1212" s="11" t="s">
        <v>240</v>
      </c>
      <c r="K1212" s="15" t="s">
        <v>241</v>
      </c>
      <c r="L1212" s="15" t="str">
        <f>HYPERLINK("https://drive.google.com/open?id=1ny44Hzm4p92dvFaSDoByNaBqvq6ayVIj","Сертифікат")</f>
        <v>Сертифікат</v>
      </c>
      <c r="M1212" s="11" t="s">
        <v>15</v>
      </c>
      <c r="N1212" s="10">
        <v>2820.4</v>
      </c>
      <c r="O1212" s="10">
        <v>12903.33</v>
      </c>
      <c r="P1212" s="10">
        <v>2</v>
      </c>
      <c r="Q1212" s="10">
        <v>42.36</v>
      </c>
      <c r="R1212" s="10" t="s">
        <v>66</v>
      </c>
      <c r="S1212" s="10">
        <v>445.78</v>
      </c>
      <c r="T1212" s="10">
        <v>187.23</v>
      </c>
      <c r="U1212" s="66">
        <v>43811</v>
      </c>
      <c r="V1212" s="66">
        <v>47463</v>
      </c>
      <c r="W1212" s="10" t="s">
        <v>13</v>
      </c>
      <c r="X1212" s="10" t="s">
        <v>17</v>
      </c>
    </row>
    <row r="1213" spans="1:24" ht="81" customHeight="1" x14ac:dyDescent="0.25">
      <c r="A1213" s="11">
        <f t="shared" si="70"/>
        <v>1210</v>
      </c>
      <c r="B1213" s="11" t="s">
        <v>3180</v>
      </c>
      <c r="C1213" s="10" t="s">
        <v>814</v>
      </c>
      <c r="D1213" s="10" t="s">
        <v>815</v>
      </c>
      <c r="E1213" s="10" t="s">
        <v>0</v>
      </c>
      <c r="F1213" s="11" t="s">
        <v>3181</v>
      </c>
      <c r="G1213" s="11"/>
      <c r="H1213" s="11"/>
      <c r="I1213" s="11">
        <v>2020</v>
      </c>
      <c r="J1213" s="10" t="s">
        <v>817</v>
      </c>
      <c r="K1213" s="15" t="s">
        <v>818</v>
      </c>
      <c r="L1213" s="15" t="str">
        <f>HYPERLINK("https://drive.google.com/open?id=1SmXtdchdbKPXoYdyEnsqsk-xgMBRNaOb","Сертифікат")</f>
        <v>Сертифікат</v>
      </c>
      <c r="M1213" s="11" t="s">
        <v>20</v>
      </c>
      <c r="N1213" s="10">
        <v>19948.689999999999</v>
      </c>
      <c r="O1213" s="10">
        <v>60599.66</v>
      </c>
      <c r="P1213" s="10">
        <v>18</v>
      </c>
      <c r="Q1213" s="10">
        <v>102.82</v>
      </c>
      <c r="R1213" s="10" t="s">
        <v>57</v>
      </c>
      <c r="S1213" s="10">
        <v>213.14</v>
      </c>
      <c r="T1213" s="10">
        <v>41.25</v>
      </c>
      <c r="U1213" s="66">
        <v>43815</v>
      </c>
      <c r="V1213" s="66">
        <v>47467</v>
      </c>
      <c r="W1213" s="10" t="s">
        <v>13</v>
      </c>
      <c r="X1213" s="10" t="s">
        <v>17</v>
      </c>
    </row>
    <row r="1214" spans="1:24" ht="50.25" customHeight="1" x14ac:dyDescent="0.25">
      <c r="A1214" s="11">
        <f t="shared" si="70"/>
        <v>1211</v>
      </c>
      <c r="B1214" s="11" t="s">
        <v>3182</v>
      </c>
      <c r="C1214" s="10" t="s">
        <v>2339</v>
      </c>
      <c r="D1214" s="10" t="s">
        <v>247</v>
      </c>
      <c r="E1214" s="10" t="s">
        <v>7</v>
      </c>
      <c r="F1214" s="11" t="s">
        <v>2539</v>
      </c>
      <c r="G1214" s="11"/>
      <c r="H1214" s="11"/>
      <c r="I1214" s="11" t="s">
        <v>836</v>
      </c>
      <c r="J1214" s="10" t="s">
        <v>817</v>
      </c>
      <c r="K1214" s="15" t="s">
        <v>818</v>
      </c>
      <c r="L1214" s="15" t="str">
        <f>HYPERLINK("https://drive.google.com/open?id=1cyvNLX9gqHkvkG81OtocedNqGXPdPXVa","Сертифікат")</f>
        <v>Сертифікат</v>
      </c>
      <c r="M1214" s="11" t="s">
        <v>15</v>
      </c>
      <c r="N1214" s="10">
        <v>909.19</v>
      </c>
      <c r="O1214" s="10">
        <v>4003.57</v>
      </c>
      <c r="P1214" s="10">
        <v>1</v>
      </c>
      <c r="Q1214" s="10">
        <v>47.48</v>
      </c>
      <c r="R1214" s="10" t="s">
        <v>66</v>
      </c>
      <c r="S1214" s="10">
        <v>1069.08</v>
      </c>
      <c r="T1214" s="10">
        <v>195.22</v>
      </c>
      <c r="U1214" s="66">
        <v>43815</v>
      </c>
      <c r="V1214" s="66">
        <v>47467</v>
      </c>
      <c r="W1214" s="10" t="s">
        <v>10</v>
      </c>
      <c r="X1214" s="10" t="s">
        <v>17</v>
      </c>
    </row>
    <row r="1215" spans="1:24" ht="77.25" customHeight="1" x14ac:dyDescent="0.25">
      <c r="A1215" s="11">
        <f t="shared" si="70"/>
        <v>1212</v>
      </c>
      <c r="B1215" s="11" t="s">
        <v>3183</v>
      </c>
      <c r="C1215" s="10" t="s">
        <v>3184</v>
      </c>
      <c r="D1215" s="10" t="s">
        <v>247</v>
      </c>
      <c r="E1215" s="10" t="s">
        <v>7</v>
      </c>
      <c r="F1215" s="11" t="s">
        <v>3185</v>
      </c>
      <c r="G1215" s="11"/>
      <c r="H1215" s="11"/>
      <c r="I1215" s="11" t="s">
        <v>3186</v>
      </c>
      <c r="J1215" s="11" t="s">
        <v>2008</v>
      </c>
      <c r="K1215" s="15" t="str">
        <f>HYPERLINK("https://drive.google.com/open?id=1Do6lmdSbyvLLqC0yOLG1tDAG0TFH3W3N","ОД 02071010/0117-19")</f>
        <v>ОД 02071010/0117-19</v>
      </c>
      <c r="L1215" s="15" t="str">
        <f>HYPERLINK("https://drive.google.com/open?id=1Q-EHq0oj-Dcjjwn3DMLzoYiIfpPk2Ehp","Сертифікат")</f>
        <v>Сертифікат</v>
      </c>
      <c r="M1215" s="11" t="s">
        <v>15</v>
      </c>
      <c r="N1215" s="10">
        <v>3063</v>
      </c>
      <c r="O1215" s="10">
        <v>10676.9</v>
      </c>
      <c r="P1215" s="10">
        <v>4</v>
      </c>
      <c r="Q1215" s="10">
        <v>31.58</v>
      </c>
      <c r="R1215" s="10" t="s">
        <v>66</v>
      </c>
      <c r="S1215" s="10">
        <v>498.24</v>
      </c>
      <c r="T1215" s="10">
        <v>90.98</v>
      </c>
      <c r="U1215" s="66">
        <v>43810</v>
      </c>
      <c r="V1215" s="66">
        <v>47462</v>
      </c>
      <c r="W1215" s="10" t="s">
        <v>10</v>
      </c>
      <c r="X1215" s="10" t="s">
        <v>17</v>
      </c>
    </row>
    <row r="1216" spans="1:24" ht="50.25" customHeight="1" x14ac:dyDescent="0.25">
      <c r="A1216" s="11">
        <f t="shared" si="70"/>
        <v>1213</v>
      </c>
      <c r="B1216" s="11" t="s">
        <v>3187</v>
      </c>
      <c r="C1216" s="10" t="s">
        <v>357</v>
      </c>
      <c r="D1216" s="10" t="s">
        <v>142</v>
      </c>
      <c r="E1216" s="10" t="s">
        <v>5</v>
      </c>
      <c r="F1216" s="11" t="s">
        <v>3188</v>
      </c>
      <c r="G1216" s="11"/>
      <c r="H1216" s="11"/>
      <c r="I1216" s="11">
        <v>1986</v>
      </c>
      <c r="J1216" s="11" t="s">
        <v>1950</v>
      </c>
      <c r="K1216" s="15" t="str">
        <f>HYPERLINK("https://drive.google.com/open?id=1VJQzachoPV6RuQQdauZ7MVrxqnU4ohmt","ЕЕ-004-10-18")</f>
        <v>ЕЕ-004-10-18</v>
      </c>
      <c r="L1216" s="15" t="str">
        <f>HYPERLINK("https://drive.google.com/open?id=1ClEycDp_wvaxkvwU0hZGkjcI3U7a_IDY","Сертифікат")</f>
        <v>Сертифікат</v>
      </c>
      <c r="M1216" s="11" t="s">
        <v>18</v>
      </c>
      <c r="N1216" s="10">
        <v>1036.5999999999999</v>
      </c>
      <c r="O1216" s="10">
        <v>3150.5</v>
      </c>
      <c r="P1216" s="10">
        <v>2</v>
      </c>
      <c r="Q1216" s="10">
        <v>53.8</v>
      </c>
      <c r="R1216" s="10" t="s">
        <v>66</v>
      </c>
      <c r="S1216" s="10">
        <v>301.89999999999998</v>
      </c>
      <c r="T1216" s="10">
        <v>58.6</v>
      </c>
      <c r="U1216" s="66">
        <v>43812</v>
      </c>
      <c r="V1216" s="66">
        <v>47464</v>
      </c>
      <c r="W1216" s="10" t="s">
        <v>10</v>
      </c>
      <c r="X1216" s="10" t="s">
        <v>17</v>
      </c>
    </row>
    <row r="1217" spans="1:24" ht="50.25" customHeight="1" x14ac:dyDescent="0.25">
      <c r="A1217" s="11">
        <f t="shared" si="70"/>
        <v>1214</v>
      </c>
      <c r="B1217" s="11" t="s">
        <v>3189</v>
      </c>
      <c r="C1217" s="10" t="s">
        <v>74</v>
      </c>
      <c r="D1217" s="10" t="s">
        <v>75</v>
      </c>
      <c r="E1217" s="10" t="s">
        <v>3</v>
      </c>
      <c r="F1217" s="11" t="s">
        <v>3190</v>
      </c>
      <c r="G1217" s="11"/>
      <c r="H1217" s="11"/>
      <c r="I1217" s="11">
        <v>1987</v>
      </c>
      <c r="J1217" s="20" t="s">
        <v>1591</v>
      </c>
      <c r="K1217" s="56" t="str">
        <f>HYPERLINK("https://drive.google.com/open?id=1Eu3b-SQR6QMzDrWPm53uhmGYQaQSos-l","KPI-CE № 000011")</f>
        <v>KPI-CE № 000011</v>
      </c>
      <c r="L1217" s="15" t="str">
        <f>HYPERLINK("https://drive.google.com/open?id=1mIcL_dlr6wjePXBhwaClCOlSTFkHLivH","Сертифікат")</f>
        <v>Сертифікат</v>
      </c>
      <c r="M1217" s="11" t="s">
        <v>26</v>
      </c>
      <c r="N1217" s="10">
        <v>2927</v>
      </c>
      <c r="O1217" s="10">
        <v>8503</v>
      </c>
      <c r="P1217" s="10">
        <v>3</v>
      </c>
      <c r="Q1217" s="10">
        <v>60.22</v>
      </c>
      <c r="R1217" s="10" t="s">
        <v>66</v>
      </c>
      <c r="S1217" s="10">
        <v>94.95</v>
      </c>
      <c r="T1217" s="10">
        <v>28.1</v>
      </c>
      <c r="U1217" s="66">
        <v>43812</v>
      </c>
      <c r="V1217" s="66">
        <v>47464</v>
      </c>
      <c r="W1217" s="10" t="s">
        <v>10</v>
      </c>
      <c r="X1217" s="10" t="s">
        <v>17</v>
      </c>
    </row>
    <row r="1218" spans="1:24" ht="50.25" customHeight="1" x14ac:dyDescent="0.25">
      <c r="A1218" s="11">
        <f t="shared" si="70"/>
        <v>1215</v>
      </c>
      <c r="B1218" s="11" t="s">
        <v>3191</v>
      </c>
      <c r="C1218" s="10" t="s">
        <v>74</v>
      </c>
      <c r="D1218" s="10" t="s">
        <v>75</v>
      </c>
      <c r="E1218" s="10" t="s">
        <v>5</v>
      </c>
      <c r="F1218" s="11" t="s">
        <v>3192</v>
      </c>
      <c r="G1218" s="11"/>
      <c r="H1218" s="11"/>
      <c r="I1218" s="11">
        <v>1989</v>
      </c>
      <c r="J1218" s="11" t="s">
        <v>642</v>
      </c>
      <c r="K1218" s="15" t="str">
        <f>HYPERLINK("https://drive.google.com/open?id=1cxGxrVWMvCNlS6TwjKIt2Jn85z6h57TB","ЕЕ-036-05-19")</f>
        <v>ЕЕ-036-05-19</v>
      </c>
      <c r="L1218" s="15" t="str">
        <f>HYPERLINK("https://drive.google.com/open?id=1vSgptLmJ18rjYG-LYXvD-eEqYdw-E47u","Сертифікат")</f>
        <v>Сертифікат</v>
      </c>
      <c r="M1218" s="11" t="s">
        <v>26</v>
      </c>
      <c r="N1218" s="10">
        <v>16422</v>
      </c>
      <c r="O1218" s="10">
        <v>54047</v>
      </c>
      <c r="P1218" s="10">
        <v>6</v>
      </c>
      <c r="Q1218" s="10">
        <v>131.9</v>
      </c>
      <c r="R1218" s="10" t="s">
        <v>66</v>
      </c>
      <c r="S1218" s="10">
        <v>651</v>
      </c>
      <c r="T1218" s="10">
        <v>128</v>
      </c>
      <c r="U1218" s="66">
        <v>43805</v>
      </c>
      <c r="V1218" s="66">
        <v>47457</v>
      </c>
      <c r="W1218" s="10" t="s">
        <v>10</v>
      </c>
      <c r="X1218" s="10" t="s">
        <v>17</v>
      </c>
    </row>
    <row r="1219" spans="1:24" ht="50.25" customHeight="1" x14ac:dyDescent="0.25">
      <c r="A1219" s="11">
        <f t="shared" si="70"/>
        <v>1216</v>
      </c>
      <c r="B1219" s="11" t="s">
        <v>3193</v>
      </c>
      <c r="C1219" s="10" t="s">
        <v>814</v>
      </c>
      <c r="D1219" s="10" t="s">
        <v>815</v>
      </c>
      <c r="E1219" s="10" t="s">
        <v>2</v>
      </c>
      <c r="F1219" s="11" t="s">
        <v>3194</v>
      </c>
      <c r="G1219" s="11"/>
      <c r="H1219" s="11"/>
      <c r="I1219" s="11" t="s">
        <v>2646</v>
      </c>
      <c r="J1219" s="11" t="s">
        <v>3195</v>
      </c>
      <c r="K1219" s="15" t="str">
        <f>HYPERLINK("https://drive.google.com/open?id=1goll1kINqmcGeE-pCvfE3YkQu-gOb4O4","ЕЕ 00074")</f>
        <v>ЕЕ 00074</v>
      </c>
      <c r="L1219" s="15" t="str">
        <f>HYPERLINK("https://drive.google.com/open?id=1I26A0yPq-mCqaoqtD_xH7VXlUR-gWFUP","Сертифікат")</f>
        <v>Сертифікат</v>
      </c>
      <c r="M1219" s="11" t="s">
        <v>15</v>
      </c>
      <c r="N1219" s="10">
        <v>1367.1</v>
      </c>
      <c r="O1219" s="10">
        <v>7108.92</v>
      </c>
      <c r="P1219" s="10">
        <v>1</v>
      </c>
      <c r="Q1219" s="10">
        <v>49.47</v>
      </c>
      <c r="R1219" s="10" t="s">
        <v>66</v>
      </c>
      <c r="S1219" s="10">
        <v>864.01</v>
      </c>
      <c r="T1219" s="10">
        <v>157.78</v>
      </c>
      <c r="U1219" s="66">
        <v>43815</v>
      </c>
      <c r="V1219" s="66">
        <v>47467</v>
      </c>
      <c r="W1219" s="10" t="s">
        <v>10</v>
      </c>
      <c r="X1219" s="10" t="s">
        <v>17</v>
      </c>
    </row>
    <row r="1220" spans="1:24" ht="50.25" customHeight="1" x14ac:dyDescent="0.25">
      <c r="A1220" s="11">
        <f t="shared" si="70"/>
        <v>1217</v>
      </c>
      <c r="B1220" s="11" t="s">
        <v>3196</v>
      </c>
      <c r="C1220" s="10" t="s">
        <v>792</v>
      </c>
      <c r="D1220" s="10" t="s">
        <v>69</v>
      </c>
      <c r="E1220" s="10" t="s">
        <v>0</v>
      </c>
      <c r="F1220" s="11" t="s">
        <v>3197</v>
      </c>
      <c r="G1220" s="11"/>
      <c r="H1220" s="11"/>
      <c r="I1220" s="11" t="s">
        <v>3198</v>
      </c>
      <c r="J1220" s="11" t="s">
        <v>2986</v>
      </c>
      <c r="K1220" s="15" t="str">
        <f>HYPERLINK("https://drive.google.com/open?id=1cNvlcLpKLQhMXRDEGkMVMn1DbQEPMPEH","ОД 02071010/0438-19")</f>
        <v>ОД 02071010/0438-19</v>
      </c>
      <c r="L1220" s="15" t="str">
        <f>HYPERLINK("https://drive.google.com/open?id=1rxskOmkca8kuZBG17vpD4B-hlBmhcLjM","Сертифікат")</f>
        <v>Сертифікат</v>
      </c>
      <c r="M1220" s="11" t="s">
        <v>20</v>
      </c>
      <c r="N1220" s="10">
        <v>1602</v>
      </c>
      <c r="O1220" s="10">
        <v>4005</v>
      </c>
      <c r="P1220" s="10">
        <v>2</v>
      </c>
      <c r="Q1220" s="10">
        <v>161.1</v>
      </c>
      <c r="R1220" s="10" t="s">
        <v>57</v>
      </c>
      <c r="S1220" s="10">
        <v>251.9</v>
      </c>
      <c r="T1220" s="10">
        <v>53.7</v>
      </c>
      <c r="U1220" s="66">
        <v>43805</v>
      </c>
      <c r="V1220" s="66">
        <v>47457</v>
      </c>
      <c r="W1220" s="10" t="s">
        <v>10</v>
      </c>
      <c r="X1220" s="10" t="s">
        <v>17</v>
      </c>
    </row>
    <row r="1221" spans="1:24" ht="50.25" customHeight="1" x14ac:dyDescent="0.25">
      <c r="A1221" s="11">
        <f t="shared" si="70"/>
        <v>1218</v>
      </c>
      <c r="B1221" s="11" t="s">
        <v>3199</v>
      </c>
      <c r="C1221" s="10" t="s">
        <v>85</v>
      </c>
      <c r="D1221" s="10" t="s">
        <v>86</v>
      </c>
      <c r="E1221" s="10" t="s">
        <v>0</v>
      </c>
      <c r="F1221" s="11" t="s">
        <v>3200</v>
      </c>
      <c r="G1221" s="11"/>
      <c r="H1221" s="11"/>
      <c r="I1221" s="11" t="s">
        <v>836</v>
      </c>
      <c r="J1221" s="11" t="s">
        <v>3201</v>
      </c>
      <c r="K1221" s="15" t="str">
        <f>HYPERLINK("https://drive.google.com/open?id=12cfhYsCq0BAEQ3tPJeyKESKwxs7RzoFn","ОД 02071010/0934-19")</f>
        <v>ОД 02071010/0934-19</v>
      </c>
      <c r="L1221" s="15" t="str">
        <f>HYPERLINK("https://drive.google.com/open?id=16l73nx7OmYoEluM_BBXeQlKQN5PThvqE","Сертифікат")</f>
        <v>Сертифікат</v>
      </c>
      <c r="M1221" s="11" t="s">
        <v>18</v>
      </c>
      <c r="N1221" s="10">
        <v>12199.4</v>
      </c>
      <c r="O1221" s="10" t="s">
        <v>3202</v>
      </c>
      <c r="P1221" s="10">
        <v>9</v>
      </c>
      <c r="Q1221" s="10">
        <v>86.97</v>
      </c>
      <c r="R1221" s="10" t="s">
        <v>57</v>
      </c>
      <c r="S1221" s="10">
        <v>194.38</v>
      </c>
      <c r="T1221" s="10">
        <v>3.0459999999999998</v>
      </c>
      <c r="U1221" s="66">
        <v>43814</v>
      </c>
      <c r="V1221" s="66">
        <v>47466</v>
      </c>
      <c r="W1221" s="10" t="s">
        <v>13</v>
      </c>
      <c r="X1221" s="10" t="s">
        <v>17</v>
      </c>
    </row>
    <row r="1222" spans="1:24" ht="50.25" customHeight="1" x14ac:dyDescent="0.25">
      <c r="A1222" s="11">
        <f t="shared" si="70"/>
        <v>1219</v>
      </c>
      <c r="B1222" s="11" t="s">
        <v>3203</v>
      </c>
      <c r="C1222" s="10" t="s">
        <v>52</v>
      </c>
      <c r="D1222" s="10" t="s">
        <v>52</v>
      </c>
      <c r="E1222" s="10" t="s">
        <v>0</v>
      </c>
      <c r="F1222" s="11" t="s">
        <v>3204</v>
      </c>
      <c r="G1222" s="11"/>
      <c r="H1222" s="11"/>
      <c r="I1222" s="11" t="s">
        <v>836</v>
      </c>
      <c r="J1222" s="11" t="s">
        <v>276</v>
      </c>
      <c r="K1222" s="15" t="str">
        <f>HYPERLINK("https://drive.google.com/open?id=1xKDm5adVHh4bLbZX5D9_DIs--dpuGyBZ","СБ-0022")</f>
        <v>СБ-0022</v>
      </c>
      <c r="L1222" s="15" t="str">
        <f>HYPERLINK("https://drive.google.com/open?id=1wfw5rR6R84m-VHrJp6BhdWo9rGjeI6PI","Сертифікат")</f>
        <v>Сертифікат</v>
      </c>
      <c r="M1222" s="11" t="s">
        <v>18</v>
      </c>
      <c r="N1222" s="10">
        <v>12971</v>
      </c>
      <c r="O1222" s="10">
        <v>34647</v>
      </c>
      <c r="P1222" s="76">
        <v>42620</v>
      </c>
      <c r="Q1222" s="10">
        <v>86</v>
      </c>
      <c r="R1222" s="10" t="s">
        <v>57</v>
      </c>
      <c r="S1222" s="10">
        <v>230</v>
      </c>
      <c r="T1222" s="10">
        <v>43</v>
      </c>
      <c r="U1222" s="66">
        <v>43815</v>
      </c>
      <c r="V1222" s="66">
        <v>47467</v>
      </c>
      <c r="W1222" s="10" t="s">
        <v>10</v>
      </c>
      <c r="X1222" s="10" t="s">
        <v>17</v>
      </c>
    </row>
    <row r="1223" spans="1:24" ht="50.25" customHeight="1" x14ac:dyDescent="0.25">
      <c r="A1223" s="11">
        <f t="shared" si="70"/>
        <v>1220</v>
      </c>
      <c r="B1223" s="11" t="s">
        <v>3205</v>
      </c>
      <c r="C1223" s="10" t="s">
        <v>773</v>
      </c>
      <c r="D1223" s="10" t="s">
        <v>247</v>
      </c>
      <c r="E1223" s="10" t="s">
        <v>0</v>
      </c>
      <c r="F1223" s="11" t="s">
        <v>3206</v>
      </c>
      <c r="G1223" s="11"/>
      <c r="H1223" s="11"/>
      <c r="I1223" s="11" t="s">
        <v>1010</v>
      </c>
      <c r="J1223" s="11" t="s">
        <v>3207</v>
      </c>
      <c r="K1223" s="15" t="str">
        <f>HYPERLINK("https://drive.google.com/open?id=1U8E2QZc2aVkLefu0bMtcU-m1DwZhYzUD","АА000075")</f>
        <v>АА000075</v>
      </c>
      <c r="L1223" s="15" t="str">
        <f>HYPERLINK("https://drive.google.com/open?id=1ynL9Imx2r10ghU8HFcmK8LllMDKW7rSN","Сертифікат")</f>
        <v>Сертифікат</v>
      </c>
      <c r="M1223" s="11" t="s">
        <v>15</v>
      </c>
      <c r="N1223" s="10">
        <v>9460</v>
      </c>
      <c r="O1223" s="10">
        <v>26204</v>
      </c>
      <c r="P1223" s="10">
        <v>10</v>
      </c>
      <c r="Q1223" s="10">
        <v>69.8</v>
      </c>
      <c r="R1223" s="10" t="s">
        <v>57</v>
      </c>
      <c r="S1223" s="10">
        <v>102.8</v>
      </c>
      <c r="T1223" s="10">
        <v>20</v>
      </c>
      <c r="U1223" s="66">
        <v>43804</v>
      </c>
      <c r="V1223" s="66">
        <v>47456</v>
      </c>
      <c r="W1223" s="10" t="s">
        <v>13</v>
      </c>
      <c r="X1223" s="10" t="s">
        <v>17</v>
      </c>
    </row>
    <row r="1224" spans="1:24" ht="50.25" customHeight="1" x14ac:dyDescent="0.25">
      <c r="A1224" s="11">
        <f t="shared" si="70"/>
        <v>1221</v>
      </c>
      <c r="B1224" s="11" t="s">
        <v>3208</v>
      </c>
      <c r="C1224" s="10" t="s">
        <v>1075</v>
      </c>
      <c r="D1224" s="10" t="s">
        <v>86</v>
      </c>
      <c r="E1224" s="10" t="s">
        <v>4</v>
      </c>
      <c r="F1224" s="11" t="s">
        <v>3209</v>
      </c>
      <c r="G1224" s="11"/>
      <c r="H1224" s="11"/>
      <c r="I1224" s="11">
        <v>1975</v>
      </c>
      <c r="J1224" s="11" t="s">
        <v>1160</v>
      </c>
      <c r="K1224" s="15" t="str">
        <f>HYPERLINK("https://drive.google.com/open?id=1Xvt1WHN4a3lh1GkA7Hg2sSdXHdM5XEXy","АР 000072")</f>
        <v>АР 000072</v>
      </c>
      <c r="L1224" s="15" t="str">
        <f>HYPERLINK("https://drive.google.com/open?id=10nfozBIkqLc4o1w7s4ekV2z1H4joPm9e","Сертифікат")</f>
        <v>Сертифікат</v>
      </c>
      <c r="M1224" s="11" t="s">
        <v>18</v>
      </c>
      <c r="N1224" s="10">
        <v>964.78</v>
      </c>
      <c r="O1224" s="10">
        <v>3581.65</v>
      </c>
      <c r="P1224" s="10">
        <v>2</v>
      </c>
      <c r="Q1224" s="10">
        <v>53.8</v>
      </c>
      <c r="R1224" s="10" t="s">
        <v>66</v>
      </c>
      <c r="S1224" s="10">
        <v>159.69999999999999</v>
      </c>
      <c r="T1224" s="10">
        <v>29.1</v>
      </c>
      <c r="U1224" s="66">
        <v>43816</v>
      </c>
      <c r="V1224" s="66">
        <v>47468</v>
      </c>
      <c r="W1224" s="10" t="s">
        <v>13</v>
      </c>
      <c r="X1224" s="10" t="s">
        <v>17</v>
      </c>
    </row>
    <row r="1225" spans="1:24" ht="50.25" customHeight="1" x14ac:dyDescent="0.25">
      <c r="A1225" s="11">
        <f t="shared" si="70"/>
        <v>1222</v>
      </c>
      <c r="B1225" s="11" t="s">
        <v>3210</v>
      </c>
      <c r="C1225" s="10" t="s">
        <v>68</v>
      </c>
      <c r="D1225" s="10" t="s">
        <v>69</v>
      </c>
      <c r="E1225" s="10" t="s">
        <v>0</v>
      </c>
      <c r="F1225" s="11" t="s">
        <v>3211</v>
      </c>
      <c r="G1225" s="11"/>
      <c r="H1225" s="11"/>
      <c r="I1225" s="11">
        <v>1995</v>
      </c>
      <c r="J1225" s="11" t="s">
        <v>1057</v>
      </c>
      <c r="K1225" s="15" t="str">
        <f>HYPERLINK("https://drive.google.com/open?id=1jOJ8C4qs2yVEI7j7G_2k_QwYSBK43oV5","ЕЕ-024-02-19")</f>
        <v>ЕЕ-024-02-19</v>
      </c>
      <c r="L1225" s="15" t="str">
        <f>HYPERLINK("https://drive.google.com/open?id=1tv8OP4uUSVAAKB5iB3f_MgEfLTchaL7C","Сертифікат")</f>
        <v>Сертифікат</v>
      </c>
      <c r="M1225" s="11" t="s">
        <v>26</v>
      </c>
      <c r="N1225" s="10">
        <v>4548.1000000000004</v>
      </c>
      <c r="O1225" s="10">
        <v>12910.9</v>
      </c>
      <c r="P1225" s="10">
        <v>9</v>
      </c>
      <c r="Q1225" s="10">
        <v>209.31</v>
      </c>
      <c r="R1225" s="10" t="s">
        <v>57</v>
      </c>
      <c r="S1225" s="10">
        <v>305.2</v>
      </c>
      <c r="T1225" s="10">
        <v>60.45</v>
      </c>
      <c r="U1225" s="66">
        <v>43812</v>
      </c>
      <c r="V1225" s="66">
        <v>47464</v>
      </c>
      <c r="W1225" s="10" t="s">
        <v>10</v>
      </c>
      <c r="X1225" s="10" t="s">
        <v>17</v>
      </c>
    </row>
    <row r="1226" spans="1:24" ht="50.25" customHeight="1" x14ac:dyDescent="0.25">
      <c r="A1226" s="11">
        <f t="shared" si="70"/>
        <v>1223</v>
      </c>
      <c r="B1226" s="11" t="s">
        <v>3212</v>
      </c>
      <c r="C1226" s="10" t="s">
        <v>85</v>
      </c>
      <c r="D1226" s="10" t="s">
        <v>86</v>
      </c>
      <c r="E1226" s="10" t="s">
        <v>0</v>
      </c>
      <c r="F1226" s="11" t="s">
        <v>2125</v>
      </c>
      <c r="G1226" s="11"/>
      <c r="H1226" s="11"/>
      <c r="I1226" s="11">
        <v>1994</v>
      </c>
      <c r="J1226" s="11" t="s">
        <v>64</v>
      </c>
      <c r="K1226" s="15" t="str">
        <f>HYPERLINK("https://drive.google.com/open?id=1-fr_zsf-7fSXhRxegEztRfDKVGALmS4z","АА000004")</f>
        <v>АА000004</v>
      </c>
      <c r="L1226" s="15" t="str">
        <f>HYPERLINK("https://drive.google.com/open?id=1Za2NvFQRu7kN0LbVZnaoObyTWpjYvJWM","Сертифікат")</f>
        <v>Сертифікат</v>
      </c>
      <c r="M1226" s="11" t="s">
        <v>26</v>
      </c>
      <c r="N1226" s="10">
        <v>3819</v>
      </c>
      <c r="O1226" s="10">
        <v>10693</v>
      </c>
      <c r="P1226" s="10">
        <v>5</v>
      </c>
      <c r="Q1226" s="10">
        <v>183</v>
      </c>
      <c r="R1226" s="10" t="s">
        <v>57</v>
      </c>
      <c r="S1226" s="10">
        <v>322</v>
      </c>
      <c r="T1226" s="10">
        <v>63</v>
      </c>
      <c r="U1226" s="66">
        <v>43815</v>
      </c>
      <c r="V1226" s="66">
        <v>47467</v>
      </c>
      <c r="W1226" s="10" t="s">
        <v>10</v>
      </c>
      <c r="X1226" s="10" t="s">
        <v>17</v>
      </c>
    </row>
    <row r="1227" spans="1:24" ht="50.25" customHeight="1" x14ac:dyDescent="0.25">
      <c r="A1227" s="11">
        <f t="shared" si="70"/>
        <v>1224</v>
      </c>
      <c r="B1227" s="11" t="s">
        <v>3213</v>
      </c>
      <c r="C1227" s="10" t="s">
        <v>517</v>
      </c>
      <c r="D1227" s="10" t="s">
        <v>518</v>
      </c>
      <c r="E1227" s="10" t="s">
        <v>0</v>
      </c>
      <c r="F1227" s="11" t="s">
        <v>3214</v>
      </c>
      <c r="G1227" s="11"/>
      <c r="H1227" s="11"/>
      <c r="I1227" s="11" t="s">
        <v>836</v>
      </c>
      <c r="J1227" s="11" t="s">
        <v>1875</v>
      </c>
      <c r="K1227" s="15" t="str">
        <f>HYPERLINK("https://drive.google.com/open?id=1qRTmAaTopabII0GXgNzXtX1Xc9SNMihg","АА000067")</f>
        <v>АА000067</v>
      </c>
      <c r="L1227" s="15" t="str">
        <f>HYPERLINK("https://drive.google.com/open?id=1jbF7M2S9WlF7OHEY-s34CHtcn5JObZ9U","Сертифікат")</f>
        <v>Сертифікат</v>
      </c>
      <c r="M1227" s="11" t="s">
        <v>18</v>
      </c>
      <c r="N1227" s="10">
        <v>4880</v>
      </c>
      <c r="O1227" s="10">
        <v>12688</v>
      </c>
      <c r="P1227" s="10">
        <v>9</v>
      </c>
      <c r="Q1227" s="10">
        <v>85.1</v>
      </c>
      <c r="R1227" s="10" t="s">
        <v>57</v>
      </c>
      <c r="S1227" s="10">
        <v>134.5</v>
      </c>
      <c r="T1227" s="10">
        <v>26</v>
      </c>
      <c r="U1227" s="66">
        <v>43815</v>
      </c>
      <c r="V1227" s="66">
        <v>47467</v>
      </c>
      <c r="W1227" s="10" t="s">
        <v>10</v>
      </c>
      <c r="X1227" s="10" t="s">
        <v>17</v>
      </c>
    </row>
    <row r="1228" spans="1:24" ht="50.25" customHeight="1" x14ac:dyDescent="0.25">
      <c r="A1228" s="11">
        <f t="shared" si="70"/>
        <v>1225</v>
      </c>
      <c r="B1228" s="11" t="s">
        <v>3215</v>
      </c>
      <c r="C1228" s="10" t="s">
        <v>52</v>
      </c>
      <c r="D1228" s="10" t="s">
        <v>52</v>
      </c>
      <c r="E1228" s="10" t="s">
        <v>0</v>
      </c>
      <c r="F1228" s="11" t="s">
        <v>3216</v>
      </c>
      <c r="G1228" s="11"/>
      <c r="H1228" s="11"/>
      <c r="I1228" s="11" t="s">
        <v>836</v>
      </c>
      <c r="J1228" s="11" t="s">
        <v>1168</v>
      </c>
      <c r="K1228" s="15" t="str">
        <f>HYPERLINK("https://drive.google.com/open?id=1IAlNZe4csuyp8RH-DTYn3L4-p1-qcHtF","ЕЕ-001-10-18")</f>
        <v>ЕЕ-001-10-18</v>
      </c>
      <c r="L1228" s="15" t="str">
        <f>HYPERLINK("https://drive.google.com/open?id=1QsKCDs1rzYLMfWXlooZ0cHJVwqKFl6-l","Сертифікат")</f>
        <v>Сертифікат</v>
      </c>
      <c r="M1228" s="11" t="s">
        <v>20</v>
      </c>
      <c r="N1228" s="10">
        <v>12574.9</v>
      </c>
      <c r="O1228" s="10">
        <v>37864.800000000003</v>
      </c>
      <c r="P1228" s="10" t="s">
        <v>2486</v>
      </c>
      <c r="Q1228" s="10">
        <v>95.1</v>
      </c>
      <c r="R1228" s="10" t="s">
        <v>57</v>
      </c>
      <c r="S1228" s="10">
        <v>142</v>
      </c>
      <c r="T1228" s="10">
        <v>28</v>
      </c>
      <c r="U1228" s="66">
        <v>43810</v>
      </c>
      <c r="V1228" s="66">
        <v>47462</v>
      </c>
      <c r="W1228" s="10" t="s">
        <v>10</v>
      </c>
      <c r="X1228" s="10" t="s">
        <v>17</v>
      </c>
    </row>
    <row r="1229" spans="1:24" ht="50.25" customHeight="1" x14ac:dyDescent="0.25">
      <c r="A1229" s="11">
        <f t="shared" si="70"/>
        <v>1226</v>
      </c>
      <c r="B1229" s="11" t="s">
        <v>3217</v>
      </c>
      <c r="C1229" s="10" t="s">
        <v>3218</v>
      </c>
      <c r="D1229" s="10" t="s">
        <v>442</v>
      </c>
      <c r="E1229" s="10" t="s">
        <v>3</v>
      </c>
      <c r="F1229" s="11" t="s">
        <v>3219</v>
      </c>
      <c r="G1229" s="11"/>
      <c r="H1229" s="11"/>
      <c r="I1229" s="11">
        <v>1928</v>
      </c>
      <c r="J1229" s="11" t="s">
        <v>3220</v>
      </c>
      <c r="K1229" s="15" t="str">
        <f>HYPERLINK("https://drive.google.com/open?id=17osrwqxX3SBcSV5wMxdzB6vkh5_9YLVa","СБ-0097")</f>
        <v>СБ-0097</v>
      </c>
      <c r="L1229" s="15" t="str">
        <f>HYPERLINK("https://drive.google.com/open?id=1T6UhC_M-VHF6uQFlzh1igTEck-1sNyVc","Сертифікат")</f>
        <v>Сертифікат</v>
      </c>
      <c r="M1229" s="11" t="s">
        <v>26</v>
      </c>
      <c r="N1229" s="10">
        <v>684</v>
      </c>
      <c r="O1229" s="10">
        <v>2463.5</v>
      </c>
      <c r="P1229" s="10">
        <v>1</v>
      </c>
      <c r="Q1229" s="10">
        <v>114.18</v>
      </c>
      <c r="R1229" s="10" t="s">
        <v>66</v>
      </c>
      <c r="S1229" s="10">
        <v>572.26</v>
      </c>
      <c r="T1229" s="10">
        <v>148.53</v>
      </c>
      <c r="U1229" s="66">
        <v>43815</v>
      </c>
      <c r="V1229" s="66">
        <v>47467</v>
      </c>
      <c r="W1229" s="10" t="s">
        <v>10</v>
      </c>
      <c r="X1229" s="10" t="s">
        <v>17</v>
      </c>
    </row>
    <row r="1230" spans="1:24" ht="50.25" customHeight="1" x14ac:dyDescent="0.25">
      <c r="A1230" s="11">
        <f t="shared" si="70"/>
        <v>1227</v>
      </c>
      <c r="B1230" s="27" t="s">
        <v>3221</v>
      </c>
      <c r="C1230" s="10" t="s">
        <v>3222</v>
      </c>
      <c r="D1230" s="10" t="s">
        <v>142</v>
      </c>
      <c r="E1230" s="10" t="s">
        <v>5</v>
      </c>
      <c r="F1230" s="11" t="s">
        <v>3223</v>
      </c>
      <c r="G1230" s="11"/>
      <c r="H1230" s="11"/>
      <c r="I1230" s="57">
        <v>1972</v>
      </c>
      <c r="J1230" s="11" t="s">
        <v>3224</v>
      </c>
      <c r="K1230" s="61" t="str">
        <f>HYPERLINK("https://drive.google.com/open?id=1UY1WiMn9UP0JFLzPt-9TGTS5cQbpPzCj","№ ЕЕ-044-10-19")</f>
        <v>№ ЕЕ-044-10-19</v>
      </c>
      <c r="L1230" s="15" t="str">
        <f>HYPERLINK("https://drive.google.com/open?id=1ofmhJlzLRFFGSGeURJaxtjaCHBUnhLrO","Сертифікат")</f>
        <v>Сертифікат</v>
      </c>
      <c r="M1230" s="11" t="s">
        <v>26</v>
      </c>
      <c r="N1230" s="10">
        <v>83.9</v>
      </c>
      <c r="O1230" s="10">
        <v>242.47</v>
      </c>
      <c r="P1230" s="10">
        <v>1</v>
      </c>
      <c r="Q1230" s="10">
        <v>163.4</v>
      </c>
      <c r="R1230" s="10" t="s">
        <v>57</v>
      </c>
      <c r="S1230" s="10">
        <v>914.9</v>
      </c>
      <c r="T1230" s="10">
        <v>171.7</v>
      </c>
      <c r="U1230" s="66">
        <v>43815</v>
      </c>
      <c r="V1230" s="66">
        <v>47467</v>
      </c>
      <c r="W1230" s="10" t="s">
        <v>10</v>
      </c>
      <c r="X1230" s="10" t="s">
        <v>17</v>
      </c>
    </row>
    <row r="1231" spans="1:24" ht="50.25" customHeight="1" x14ac:dyDescent="0.25">
      <c r="A1231" s="11">
        <f t="shared" si="70"/>
        <v>1228</v>
      </c>
      <c r="B1231" s="11" t="s">
        <v>3225</v>
      </c>
      <c r="C1231" s="10" t="s">
        <v>374</v>
      </c>
      <c r="D1231" s="10" t="s">
        <v>79</v>
      </c>
      <c r="E1231" s="10" t="s">
        <v>3</v>
      </c>
      <c r="F1231" s="11" t="s">
        <v>3226</v>
      </c>
      <c r="G1231" s="11"/>
      <c r="H1231" s="11"/>
      <c r="I1231" s="11">
        <v>1956</v>
      </c>
      <c r="J1231" s="11" t="s">
        <v>3227</v>
      </c>
      <c r="K1231" s="15" t="str">
        <f>HYPERLINK("https://drive.google.com/open?id=1rkmDAJisnwuKBhNrWwEKpdZ3dVvQgW58","АР 000018")</f>
        <v>АР 000018</v>
      </c>
      <c r="L1231" s="15" t="str">
        <f>HYPERLINK("https://drive.google.com/open?id=1Adnk2HwKP5HKnWu4aGOC2L1kgJFO88GU","Сертифікат")</f>
        <v>Сертифікат</v>
      </c>
      <c r="M1231" s="11" t="s">
        <v>26</v>
      </c>
      <c r="N1231" s="10">
        <v>3391</v>
      </c>
      <c r="O1231" s="10">
        <v>11699</v>
      </c>
      <c r="P1231" s="10">
        <v>4</v>
      </c>
      <c r="Q1231" s="10">
        <v>132.37</v>
      </c>
      <c r="R1231" s="10" t="s">
        <v>57</v>
      </c>
      <c r="S1231" s="10">
        <v>619.70000000000005</v>
      </c>
      <c r="T1231" s="10">
        <v>123.33</v>
      </c>
      <c r="U1231" s="66">
        <v>43815</v>
      </c>
      <c r="V1231" s="66">
        <v>47467</v>
      </c>
      <c r="W1231" s="10" t="s">
        <v>10</v>
      </c>
      <c r="X1231" s="10" t="s">
        <v>17</v>
      </c>
    </row>
    <row r="1232" spans="1:24" ht="50.25" customHeight="1" x14ac:dyDescent="0.25">
      <c r="A1232" s="11">
        <f t="shared" si="70"/>
        <v>1229</v>
      </c>
      <c r="B1232" s="11" t="s">
        <v>3228</v>
      </c>
      <c r="C1232" s="10" t="s">
        <v>3229</v>
      </c>
      <c r="D1232" s="10" t="s">
        <v>442</v>
      </c>
      <c r="E1232" s="10" t="s">
        <v>3</v>
      </c>
      <c r="F1232" s="11" t="s">
        <v>3230</v>
      </c>
      <c r="G1232" s="11"/>
      <c r="H1232" s="11"/>
      <c r="I1232" s="11">
        <v>1977</v>
      </c>
      <c r="J1232" s="11" t="s">
        <v>2375</v>
      </c>
      <c r="K1232" s="15" t="str">
        <f>HYPERLINK("https://drive.google.com/open?id=1h3wLwUYHwf857lwScZLOmOLIVIxXl176","OPI-AB00004")</f>
        <v>OPI-AB00004</v>
      </c>
      <c r="L1232" s="15" t="str">
        <f>HYPERLINK("https://drive.google.com/open?id=1eHxvG8d4GYT9Bb3TgOdmfqEyJk75pN6x","Сертифікат")</f>
        <v>Сертифікат</v>
      </c>
      <c r="M1232" s="11" t="s">
        <v>26</v>
      </c>
      <c r="N1232" s="10">
        <v>2644</v>
      </c>
      <c r="O1232" s="10">
        <v>7932</v>
      </c>
      <c r="P1232" s="10">
        <v>3</v>
      </c>
      <c r="Q1232" s="10">
        <v>139.19999999999999</v>
      </c>
      <c r="R1232" s="10" t="s">
        <v>66</v>
      </c>
      <c r="S1232" s="10">
        <v>636.29999999999995</v>
      </c>
      <c r="T1232" s="10">
        <v>125</v>
      </c>
      <c r="U1232" s="66">
        <v>43804</v>
      </c>
      <c r="V1232" s="66">
        <v>47456</v>
      </c>
      <c r="W1232" s="10" t="s">
        <v>10</v>
      </c>
      <c r="X1232" s="10" t="s">
        <v>17</v>
      </c>
    </row>
    <row r="1233" spans="1:24" ht="50.25" customHeight="1" x14ac:dyDescent="0.25">
      <c r="A1233" s="11">
        <f t="shared" si="70"/>
        <v>1230</v>
      </c>
      <c r="B1233" s="11" t="s">
        <v>3231</v>
      </c>
      <c r="C1233" s="10" t="s">
        <v>3232</v>
      </c>
      <c r="D1233" s="10" t="s">
        <v>69</v>
      </c>
      <c r="E1233" s="10" t="s">
        <v>2</v>
      </c>
      <c r="F1233" s="11" t="s">
        <v>3233</v>
      </c>
      <c r="G1233" s="11"/>
      <c r="H1233" s="11"/>
      <c r="I1233" s="11" t="s">
        <v>3234</v>
      </c>
      <c r="J1233" s="10" t="s">
        <v>609</v>
      </c>
      <c r="K1233" s="15" t="str">
        <f>HYPERLINK("https://drive.google.com/open?id=1MmGP6rtYcZwVyIqDA-ykUrezieQsOMPg","ОД 000024")</f>
        <v>ОД 000024</v>
      </c>
      <c r="L1233" s="15" t="str">
        <f>HYPERLINK("https://drive.google.com/open?id=1DwruZn1Wjj1f7nzBcYC83DPcQsgVJUyr","Сертифікат")</f>
        <v>Сертифікат</v>
      </c>
      <c r="M1233" s="11" t="s">
        <v>20</v>
      </c>
      <c r="N1233" s="10">
        <v>656.6</v>
      </c>
      <c r="O1233" s="10">
        <v>3193.3</v>
      </c>
      <c r="P1233" s="10">
        <v>2</v>
      </c>
      <c r="Q1233" s="10">
        <v>62.1</v>
      </c>
      <c r="R1233" s="10" t="s">
        <v>66</v>
      </c>
      <c r="S1233" s="10">
        <v>127.5</v>
      </c>
      <c r="T1233" s="10">
        <v>24.3</v>
      </c>
      <c r="U1233" s="66">
        <v>43803</v>
      </c>
      <c r="V1233" s="66">
        <v>47455</v>
      </c>
      <c r="W1233" s="10" t="s">
        <v>10</v>
      </c>
      <c r="X1233" s="10" t="s">
        <v>17</v>
      </c>
    </row>
    <row r="1234" spans="1:24" ht="108" customHeight="1" x14ac:dyDescent="0.25">
      <c r="A1234" s="11">
        <f t="shared" si="70"/>
        <v>1231</v>
      </c>
      <c r="B1234" s="11" t="s">
        <v>3235</v>
      </c>
      <c r="C1234" s="10" t="s">
        <v>52</v>
      </c>
      <c r="D1234" s="10" t="s">
        <v>52</v>
      </c>
      <c r="E1234" s="10" t="s">
        <v>0</v>
      </c>
      <c r="F1234" s="11" t="s">
        <v>3236</v>
      </c>
      <c r="G1234" s="11"/>
      <c r="H1234" s="11"/>
      <c r="I1234" s="11" t="s">
        <v>836</v>
      </c>
      <c r="J1234" s="11" t="s">
        <v>1168</v>
      </c>
      <c r="K1234" s="15" t="str">
        <f>HYPERLINK("https://drive.google.com/open?id=1IAlNZe4csuyp8RH-DTYn3L4-p1-qcHtF","ЕЕ-001-10-18")</f>
        <v>ЕЕ-001-10-18</v>
      </c>
      <c r="L1234" s="15" t="str">
        <f>HYPERLINK("https://drive.google.com/open?id=1o-FsnKPJpw4j6QXpzbDwuQSBGUB-dOby","Сертифікат")</f>
        <v>Сертифікат</v>
      </c>
      <c r="M1234" s="11" t="s">
        <v>20</v>
      </c>
      <c r="N1234" s="10">
        <v>34722.6</v>
      </c>
      <c r="O1234" s="10">
        <v>110866</v>
      </c>
      <c r="P1234" s="10">
        <v>10</v>
      </c>
      <c r="Q1234" s="10">
        <v>90.5</v>
      </c>
      <c r="R1234" s="10" t="s">
        <v>57</v>
      </c>
      <c r="S1234" s="10">
        <v>155</v>
      </c>
      <c r="T1234" s="10">
        <v>30</v>
      </c>
      <c r="U1234" s="66">
        <v>43815</v>
      </c>
      <c r="V1234" s="66">
        <v>47467</v>
      </c>
      <c r="W1234" s="10" t="s">
        <v>13</v>
      </c>
      <c r="X1234" s="10" t="s">
        <v>17</v>
      </c>
    </row>
    <row r="1235" spans="1:24" ht="80.25" customHeight="1" x14ac:dyDescent="0.25">
      <c r="A1235" s="11">
        <f t="shared" si="70"/>
        <v>1232</v>
      </c>
      <c r="B1235" s="11" t="s">
        <v>3237</v>
      </c>
      <c r="C1235" s="10" t="s">
        <v>3238</v>
      </c>
      <c r="D1235" s="10" t="s">
        <v>485</v>
      </c>
      <c r="E1235" s="10" t="s">
        <v>3</v>
      </c>
      <c r="F1235" s="11" t="s">
        <v>3239</v>
      </c>
      <c r="G1235" s="11"/>
      <c r="H1235" s="11"/>
      <c r="I1235" s="11" t="s">
        <v>1231</v>
      </c>
      <c r="J1235" s="11" t="s">
        <v>240</v>
      </c>
      <c r="K1235" s="15" t="s">
        <v>241</v>
      </c>
      <c r="L1235" s="15" t="str">
        <f>HYPERLINK("https://drive.google.com/open?id=1xPDsWj0PT8aTrCOrU6Xz8JNW3eARCPEv","Сертифікат")</f>
        <v>Сертифікат</v>
      </c>
      <c r="M1235" s="11" t="s">
        <v>24</v>
      </c>
      <c r="N1235" s="10">
        <v>4825</v>
      </c>
      <c r="O1235" s="10">
        <v>16163.75</v>
      </c>
      <c r="P1235" s="10">
        <v>4</v>
      </c>
      <c r="Q1235" s="10">
        <v>55.04</v>
      </c>
      <c r="R1235" s="10" t="s">
        <v>66</v>
      </c>
      <c r="S1235" s="10">
        <v>211.4</v>
      </c>
      <c r="T1235" s="10">
        <v>49.79</v>
      </c>
      <c r="U1235" s="66">
        <v>43815</v>
      </c>
      <c r="V1235" s="66">
        <v>47467</v>
      </c>
      <c r="W1235" s="10" t="s">
        <v>10</v>
      </c>
      <c r="X1235" s="10" t="s">
        <v>17</v>
      </c>
    </row>
    <row r="1236" spans="1:24" ht="80.25" customHeight="1" x14ac:dyDescent="0.25">
      <c r="A1236" s="11">
        <f t="shared" si="70"/>
        <v>1233</v>
      </c>
      <c r="B1236" s="11" t="s">
        <v>3240</v>
      </c>
      <c r="C1236" s="10" t="s">
        <v>2424</v>
      </c>
      <c r="D1236" s="10" t="s">
        <v>75</v>
      </c>
      <c r="E1236" s="10" t="s">
        <v>4</v>
      </c>
      <c r="F1236" s="11" t="s">
        <v>3241</v>
      </c>
      <c r="G1236" s="11"/>
      <c r="H1236" s="11"/>
      <c r="I1236" s="11">
        <v>1986</v>
      </c>
      <c r="J1236" s="11" t="s">
        <v>3242</v>
      </c>
      <c r="K1236" s="15" t="str">
        <f>HYPERLINK("https://drive.google.com/open?id=1wRon-wTEFDP8b5QbS1IVNQMX80ZNesGS","АЕ00010")</f>
        <v>АЕ00010</v>
      </c>
      <c r="L1236" s="15" t="str">
        <f>HYPERLINK("https://drive.google.com/open?id=1CMnDmw9zP_2Y1gBcR3LDSTRjKrNPG9zO","Сертифікат")</f>
        <v>Сертифікат</v>
      </c>
      <c r="M1236" s="11" t="s">
        <v>26</v>
      </c>
      <c r="N1236" s="10">
        <v>792.96</v>
      </c>
      <c r="O1236" s="10">
        <v>2493.65</v>
      </c>
      <c r="P1236" s="10">
        <v>2</v>
      </c>
      <c r="Q1236" s="10">
        <v>106.2</v>
      </c>
      <c r="R1236" s="10" t="s">
        <v>66</v>
      </c>
      <c r="S1236" s="10">
        <v>837.8</v>
      </c>
      <c r="T1236" s="10">
        <v>351.9</v>
      </c>
      <c r="U1236" s="66">
        <v>43808</v>
      </c>
      <c r="V1236" s="66">
        <v>47460</v>
      </c>
      <c r="W1236" s="10" t="s">
        <v>13</v>
      </c>
      <c r="X1236" s="10" t="s">
        <v>17</v>
      </c>
    </row>
    <row r="1237" spans="1:24" ht="80.25" customHeight="1" x14ac:dyDescent="0.25">
      <c r="A1237" s="11">
        <f t="shared" si="70"/>
        <v>1234</v>
      </c>
      <c r="B1237" s="11" t="s">
        <v>3243</v>
      </c>
      <c r="C1237" s="10" t="s">
        <v>52</v>
      </c>
      <c r="D1237" s="10" t="s">
        <v>52</v>
      </c>
      <c r="E1237" s="10" t="s">
        <v>0</v>
      </c>
      <c r="F1237" s="11" t="s">
        <v>3244</v>
      </c>
      <c r="G1237" s="11"/>
      <c r="H1237" s="11"/>
      <c r="I1237" s="11">
        <v>2019</v>
      </c>
      <c r="J1237" s="11" t="s">
        <v>1168</v>
      </c>
      <c r="K1237" s="15" t="str">
        <f>HYPERLINK("https://drive.google.com/open?id=1IAlNZe4csuyp8RH-DTYn3L4-p1-qcHtF","ЕЕ-001-10-18")</f>
        <v>ЕЕ-001-10-18</v>
      </c>
      <c r="L1237" s="15" t="str">
        <f>HYPERLINK("https://drive.google.com/open?id=1Nv1CjRBylHu_9eAkSRYg_H34vMcnMtoT","Сертифікат")</f>
        <v>Сертифікат</v>
      </c>
      <c r="M1237" s="11" t="s">
        <v>20</v>
      </c>
      <c r="N1237" s="10">
        <v>11326.7</v>
      </c>
      <c r="O1237" s="10">
        <v>34224.699999999997</v>
      </c>
      <c r="P1237" s="10">
        <v>22</v>
      </c>
      <c r="Q1237" s="10">
        <v>95.6</v>
      </c>
      <c r="R1237" s="10" t="s">
        <v>57</v>
      </c>
      <c r="S1237" s="10">
        <v>142</v>
      </c>
      <c r="T1237" s="10">
        <v>28</v>
      </c>
      <c r="U1237" s="66">
        <v>43811</v>
      </c>
      <c r="V1237" s="66">
        <v>47463</v>
      </c>
      <c r="W1237" s="10" t="s">
        <v>10</v>
      </c>
      <c r="X1237" s="10" t="s">
        <v>17</v>
      </c>
    </row>
    <row r="1238" spans="1:24" ht="80.25" customHeight="1" x14ac:dyDescent="0.25">
      <c r="A1238" s="11">
        <f t="shared" si="70"/>
        <v>1235</v>
      </c>
      <c r="B1238" s="11" t="s">
        <v>3245</v>
      </c>
      <c r="C1238" s="10" t="s">
        <v>773</v>
      </c>
      <c r="D1238" s="10" t="s">
        <v>2955</v>
      </c>
      <c r="E1238" s="10" t="s">
        <v>5</v>
      </c>
      <c r="F1238" s="11" t="s">
        <v>3246</v>
      </c>
      <c r="G1238" s="11"/>
      <c r="H1238" s="11"/>
      <c r="I1238" s="11">
        <v>1987</v>
      </c>
      <c r="J1238" s="11" t="s">
        <v>739</v>
      </c>
      <c r="K1238" s="15" t="str">
        <f t="shared" ref="K1238:K1240" si="81">HYPERLINK("https://drive.google.com/open?id=1zVrpIuY14Z4qtH7jTtKij9w-zFpVz9Q_","ЕЕ00004")</f>
        <v>ЕЕ00004</v>
      </c>
      <c r="L1238" s="15" t="str">
        <f>HYPERLINK("https://drive.google.com/open?id=1xTSIHzJMxMdYQzdtS5PTMa03xu9vUl9J","Сертифікат")</f>
        <v>Сертифікат</v>
      </c>
      <c r="M1238" s="11" t="s">
        <v>26</v>
      </c>
      <c r="N1238" s="10">
        <v>2532.9</v>
      </c>
      <c r="O1238" s="10">
        <v>8688.5300000000007</v>
      </c>
      <c r="P1238" s="10">
        <v>3</v>
      </c>
      <c r="Q1238" s="10">
        <v>116.65</v>
      </c>
      <c r="R1238" s="10" t="s">
        <v>66</v>
      </c>
      <c r="S1238" s="10">
        <v>589.69000000000005</v>
      </c>
      <c r="T1238" s="10">
        <v>116.42</v>
      </c>
      <c r="U1238" s="66">
        <v>43815</v>
      </c>
      <c r="V1238" s="66">
        <v>47467</v>
      </c>
      <c r="W1238" s="10" t="s">
        <v>10</v>
      </c>
      <c r="X1238" s="10" t="s">
        <v>17</v>
      </c>
    </row>
    <row r="1239" spans="1:24" ht="80.25" customHeight="1" x14ac:dyDescent="0.25">
      <c r="A1239" s="11">
        <f t="shared" si="70"/>
        <v>1236</v>
      </c>
      <c r="B1239" s="11" t="s">
        <v>3245</v>
      </c>
      <c r="C1239" s="10" t="s">
        <v>773</v>
      </c>
      <c r="D1239" s="10" t="s">
        <v>2955</v>
      </c>
      <c r="E1239" s="10" t="s">
        <v>5</v>
      </c>
      <c r="F1239" s="11" t="s">
        <v>3247</v>
      </c>
      <c r="G1239" s="11"/>
      <c r="H1239" s="11"/>
      <c r="I1239" s="11">
        <v>1987</v>
      </c>
      <c r="J1239" s="11" t="s">
        <v>739</v>
      </c>
      <c r="K1239" s="15" t="str">
        <f t="shared" si="81"/>
        <v>ЕЕ00004</v>
      </c>
      <c r="L1239" s="15" t="str">
        <f>HYPERLINK("https://drive.google.com/open?id=13A3dE-onN72nJfccTRNc4kFegGfwFZqx","Сертифікат")</f>
        <v>Сертифікат</v>
      </c>
      <c r="M1239" s="11" t="s">
        <v>26</v>
      </c>
      <c r="N1239" s="10">
        <v>313.7</v>
      </c>
      <c r="O1239" s="10">
        <v>969.33</v>
      </c>
      <c r="P1239" s="10">
        <v>1</v>
      </c>
      <c r="Q1239" s="10">
        <v>133.11000000000001</v>
      </c>
      <c r="R1239" s="10" t="s">
        <v>66</v>
      </c>
      <c r="S1239" s="10">
        <v>613.38</v>
      </c>
      <c r="T1239" s="10">
        <v>121.07</v>
      </c>
      <c r="U1239" s="66">
        <v>43815</v>
      </c>
      <c r="V1239" s="66">
        <v>47467</v>
      </c>
      <c r="W1239" s="10" t="s">
        <v>10</v>
      </c>
      <c r="X1239" s="10" t="s">
        <v>17</v>
      </c>
    </row>
    <row r="1240" spans="1:24" ht="80.25" customHeight="1" x14ac:dyDescent="0.25">
      <c r="A1240" s="11">
        <f t="shared" si="70"/>
        <v>1237</v>
      </c>
      <c r="B1240" s="11" t="s">
        <v>3245</v>
      </c>
      <c r="C1240" s="10" t="s">
        <v>773</v>
      </c>
      <c r="D1240" s="10" t="s">
        <v>2955</v>
      </c>
      <c r="E1240" s="10" t="s">
        <v>5</v>
      </c>
      <c r="F1240" s="11" t="s">
        <v>3248</v>
      </c>
      <c r="G1240" s="11"/>
      <c r="H1240" s="11"/>
      <c r="I1240" s="11">
        <v>1986</v>
      </c>
      <c r="J1240" s="11" t="s">
        <v>739</v>
      </c>
      <c r="K1240" s="15" t="str">
        <f t="shared" si="81"/>
        <v>ЕЕ00004</v>
      </c>
      <c r="L1240" s="15" t="str">
        <f>HYPERLINK("https://drive.google.com/open?id=1SCD1PwGnUn0QlFv3koQzvE8Rg0dueiPL","Сертифікат")</f>
        <v>Сертифікат</v>
      </c>
      <c r="M1240" s="11" t="s">
        <v>24</v>
      </c>
      <c r="N1240" s="10">
        <v>3738.7</v>
      </c>
      <c r="O1240" s="10">
        <v>12595.57</v>
      </c>
      <c r="P1240" s="10">
        <v>4</v>
      </c>
      <c r="Q1240" s="10">
        <v>98.27</v>
      </c>
      <c r="R1240" s="10" t="s">
        <v>66</v>
      </c>
      <c r="S1240" s="10">
        <v>497.11</v>
      </c>
      <c r="T1240" s="10">
        <v>98.02</v>
      </c>
      <c r="U1240" s="66">
        <v>43815</v>
      </c>
      <c r="V1240" s="66">
        <v>47467</v>
      </c>
      <c r="W1240" s="10" t="s">
        <v>10</v>
      </c>
      <c r="X1240" s="10" t="s">
        <v>17</v>
      </c>
    </row>
    <row r="1241" spans="1:24" ht="14.25" customHeight="1" x14ac:dyDescent="0.25">
      <c r="A1241" s="27"/>
      <c r="B1241" s="27"/>
      <c r="C1241" s="24"/>
      <c r="D1241" s="24"/>
      <c r="E1241" s="27"/>
      <c r="F1241" s="27"/>
      <c r="G1241" s="27"/>
      <c r="H1241" s="27"/>
      <c r="I1241" s="27"/>
      <c r="J1241" s="27"/>
      <c r="K1241" s="27"/>
      <c r="L1241" s="27"/>
      <c r="M1241" s="27"/>
      <c r="N1241" s="24"/>
      <c r="O1241" s="24"/>
      <c r="P1241" s="24"/>
      <c r="Q1241" s="24"/>
      <c r="R1241" s="24"/>
      <c r="S1241" s="24"/>
      <c r="T1241" s="24"/>
      <c r="U1241" s="27"/>
      <c r="V1241" s="27"/>
      <c r="W1241" s="24"/>
      <c r="X1241" s="24"/>
    </row>
    <row r="1242" spans="1:24" ht="14.25" customHeight="1" x14ac:dyDescent="0.25">
      <c r="A1242" s="27"/>
      <c r="B1242" s="27"/>
      <c r="C1242" s="24"/>
      <c r="D1242" s="24"/>
      <c r="E1242" s="27"/>
      <c r="F1242" s="27"/>
      <c r="G1242" s="27"/>
      <c r="H1242" s="27"/>
      <c r="I1242" s="27"/>
      <c r="J1242" s="27"/>
      <c r="K1242" s="27"/>
      <c r="L1242" s="27"/>
      <c r="M1242" s="27"/>
      <c r="N1242" s="24"/>
      <c r="O1242" s="24"/>
      <c r="P1242" s="24"/>
      <c r="Q1242" s="24"/>
      <c r="R1242" s="24"/>
      <c r="S1242" s="24"/>
      <c r="T1242" s="24"/>
      <c r="U1242" s="27"/>
      <c r="V1242" s="27"/>
      <c r="W1242" s="24"/>
      <c r="X1242" s="24"/>
    </row>
    <row r="1243" spans="1:24" ht="14.25" customHeight="1" x14ac:dyDescent="0.25">
      <c r="A1243" s="27"/>
      <c r="B1243" s="27"/>
      <c r="C1243" s="24"/>
      <c r="D1243" s="24"/>
      <c r="E1243" s="27"/>
      <c r="F1243" s="27"/>
      <c r="G1243" s="27"/>
      <c r="H1243" s="27"/>
      <c r="I1243" s="27"/>
      <c r="J1243" s="27"/>
      <c r="K1243" s="27"/>
      <c r="L1243" s="27"/>
      <c r="M1243" s="27"/>
      <c r="N1243" s="24"/>
      <c r="O1243" s="24"/>
      <c r="P1243" s="24"/>
      <c r="Q1243" s="24"/>
      <c r="R1243" s="24"/>
      <c r="S1243" s="24"/>
      <c r="T1243" s="24"/>
      <c r="U1243" s="27"/>
      <c r="V1243" s="27"/>
      <c r="W1243" s="24"/>
      <c r="X1243" s="24"/>
    </row>
    <row r="1244" spans="1:24" ht="14.25" customHeight="1" x14ac:dyDescent="0.25">
      <c r="A1244" s="27"/>
      <c r="B1244" s="27"/>
      <c r="C1244" s="24"/>
      <c r="D1244" s="24"/>
      <c r="E1244" s="27"/>
      <c r="F1244" s="27"/>
      <c r="G1244" s="27"/>
      <c r="H1244" s="27"/>
      <c r="I1244" s="27"/>
      <c r="J1244" s="27"/>
      <c r="K1244" s="27"/>
      <c r="L1244" s="27"/>
      <c r="M1244" s="27"/>
      <c r="N1244" s="24"/>
      <c r="O1244" s="24"/>
      <c r="P1244" s="24"/>
      <c r="Q1244" s="24"/>
      <c r="R1244" s="24"/>
      <c r="S1244" s="24"/>
      <c r="T1244" s="24"/>
      <c r="U1244" s="27"/>
      <c r="V1244" s="27"/>
      <c r="W1244" s="24"/>
      <c r="X1244" s="24"/>
    </row>
    <row r="1245" spans="1:24" ht="14.25" customHeight="1" x14ac:dyDescent="0.25">
      <c r="A1245" s="27"/>
      <c r="B1245" s="27"/>
      <c r="C1245" s="24"/>
      <c r="D1245" s="24"/>
      <c r="E1245" s="27"/>
      <c r="F1245" s="27"/>
      <c r="G1245" s="27"/>
      <c r="H1245" s="27"/>
      <c r="I1245" s="27"/>
      <c r="J1245" s="27"/>
      <c r="K1245" s="27"/>
      <c r="L1245" s="27"/>
      <c r="M1245" s="27"/>
      <c r="N1245" s="24"/>
      <c r="O1245" s="24"/>
      <c r="P1245" s="24"/>
      <c r="Q1245" s="24"/>
      <c r="R1245" s="24"/>
      <c r="S1245" s="24"/>
      <c r="T1245" s="24"/>
      <c r="U1245" s="27"/>
      <c r="V1245" s="27"/>
      <c r="W1245" s="24"/>
      <c r="X1245" s="24"/>
    </row>
    <row r="1246" spans="1:24" ht="14.25" customHeight="1" x14ac:dyDescent="0.25">
      <c r="A1246" s="27"/>
      <c r="B1246" s="27"/>
      <c r="C1246" s="24"/>
      <c r="D1246" s="24"/>
      <c r="E1246" s="27"/>
      <c r="F1246" s="27"/>
      <c r="G1246" s="27"/>
      <c r="H1246" s="27"/>
      <c r="I1246" s="27"/>
      <c r="J1246" s="27"/>
      <c r="K1246" s="27"/>
      <c r="L1246" s="27"/>
      <c r="M1246" s="27"/>
      <c r="N1246" s="24"/>
      <c r="O1246" s="24"/>
      <c r="P1246" s="24"/>
      <c r="Q1246" s="24"/>
      <c r="R1246" s="24"/>
      <c r="S1246" s="24"/>
      <c r="T1246" s="24"/>
      <c r="U1246" s="27"/>
      <c r="V1246" s="27"/>
      <c r="W1246" s="24"/>
      <c r="X1246" s="24"/>
    </row>
    <row r="1247" spans="1:24" ht="14.25" customHeight="1" x14ac:dyDescent="0.25">
      <c r="A1247" s="27"/>
      <c r="B1247" s="27"/>
      <c r="C1247" s="24"/>
      <c r="D1247" s="24"/>
      <c r="E1247" s="27"/>
      <c r="F1247" s="27"/>
      <c r="G1247" s="27"/>
      <c r="H1247" s="27"/>
      <c r="I1247" s="27"/>
      <c r="J1247" s="27"/>
      <c r="K1247" s="27"/>
      <c r="L1247" s="27"/>
      <c r="M1247" s="27"/>
      <c r="N1247" s="24"/>
      <c r="O1247" s="24"/>
      <c r="P1247" s="24"/>
      <c r="Q1247" s="24"/>
      <c r="R1247" s="24"/>
      <c r="S1247" s="24"/>
      <c r="T1247" s="24"/>
      <c r="U1247" s="27"/>
      <c r="V1247" s="27"/>
      <c r="W1247" s="24"/>
      <c r="X1247" s="24"/>
    </row>
    <row r="1248" spans="1:24" ht="14.25" customHeight="1" x14ac:dyDescent="0.25">
      <c r="A1248" s="27"/>
      <c r="B1248" s="27"/>
      <c r="C1248" s="24"/>
      <c r="D1248" s="24"/>
      <c r="E1248" s="27"/>
      <c r="F1248" s="27"/>
      <c r="G1248" s="27"/>
      <c r="H1248" s="27"/>
      <c r="I1248" s="27"/>
      <c r="J1248" s="27"/>
      <c r="K1248" s="27"/>
      <c r="L1248" s="27"/>
      <c r="M1248" s="27"/>
      <c r="N1248" s="24"/>
      <c r="O1248" s="24"/>
      <c r="P1248" s="24"/>
      <c r="Q1248" s="24"/>
      <c r="R1248" s="24"/>
      <c r="S1248" s="24"/>
      <c r="T1248" s="24"/>
      <c r="U1248" s="27"/>
      <c r="V1248" s="27"/>
      <c r="W1248" s="24"/>
      <c r="X1248" s="24"/>
    </row>
    <row r="1249" spans="1:24" ht="14.25" customHeight="1" x14ac:dyDescent="0.25">
      <c r="A1249" s="27"/>
      <c r="B1249" s="27"/>
      <c r="C1249" s="24"/>
      <c r="D1249" s="24"/>
      <c r="E1249" s="27"/>
      <c r="F1249" s="27"/>
      <c r="G1249" s="27"/>
      <c r="H1249" s="27"/>
      <c r="I1249" s="27"/>
      <c r="J1249" s="27"/>
      <c r="K1249" s="27"/>
      <c r="L1249" s="27"/>
      <c r="M1249" s="27"/>
      <c r="N1249" s="24"/>
      <c r="O1249" s="24"/>
      <c r="P1249" s="24"/>
      <c r="Q1249" s="24"/>
      <c r="R1249" s="24"/>
      <c r="S1249" s="24"/>
      <c r="T1249" s="24"/>
      <c r="U1249" s="27"/>
      <c r="V1249" s="27"/>
      <c r="W1249" s="24"/>
      <c r="X1249" s="24"/>
    </row>
    <row r="1250" spans="1:24" ht="14.25" customHeight="1" x14ac:dyDescent="0.25">
      <c r="A1250" s="27"/>
      <c r="B1250" s="27"/>
      <c r="C1250" s="24"/>
      <c r="D1250" s="24"/>
      <c r="E1250" s="27"/>
      <c r="F1250" s="27"/>
      <c r="G1250" s="27"/>
      <c r="H1250" s="27"/>
      <c r="I1250" s="27"/>
      <c r="J1250" s="27"/>
      <c r="K1250" s="27"/>
      <c r="L1250" s="27"/>
      <c r="M1250" s="27"/>
      <c r="N1250" s="24"/>
      <c r="O1250" s="24"/>
      <c r="P1250" s="24"/>
      <c r="Q1250" s="24"/>
      <c r="R1250" s="24"/>
      <c r="S1250" s="24"/>
      <c r="T1250" s="24"/>
      <c r="U1250" s="27"/>
      <c r="V1250" s="27"/>
      <c r="W1250" s="24"/>
      <c r="X1250" s="24"/>
    </row>
    <row r="1251" spans="1:24" ht="14.25" customHeight="1" x14ac:dyDescent="0.25">
      <c r="A1251" s="27"/>
      <c r="B1251" s="27"/>
      <c r="C1251" s="24"/>
      <c r="D1251" s="24"/>
      <c r="E1251" s="27"/>
      <c r="F1251" s="27"/>
      <c r="G1251" s="27"/>
      <c r="H1251" s="27"/>
      <c r="I1251" s="27"/>
      <c r="J1251" s="27"/>
      <c r="K1251" s="27"/>
      <c r="L1251" s="27"/>
      <c r="M1251" s="27"/>
      <c r="N1251" s="24"/>
      <c r="O1251" s="24"/>
      <c r="P1251" s="24"/>
      <c r="Q1251" s="24"/>
      <c r="R1251" s="24"/>
      <c r="S1251" s="24"/>
      <c r="T1251" s="24"/>
      <c r="U1251" s="27"/>
      <c r="V1251" s="27"/>
      <c r="W1251" s="24"/>
      <c r="X1251" s="24"/>
    </row>
    <row r="1252" spans="1:24" ht="14.25" customHeight="1" x14ac:dyDescent="0.25">
      <c r="A1252" s="27"/>
      <c r="B1252" s="27"/>
      <c r="C1252" s="24"/>
      <c r="D1252" s="24"/>
      <c r="E1252" s="27"/>
      <c r="F1252" s="27"/>
      <c r="G1252" s="27"/>
      <c r="H1252" s="27"/>
      <c r="I1252" s="27"/>
      <c r="J1252" s="27"/>
      <c r="K1252" s="27"/>
      <c r="L1252" s="27"/>
      <c r="M1252" s="27"/>
      <c r="N1252" s="24"/>
      <c r="O1252" s="24"/>
      <c r="P1252" s="24"/>
      <c r="Q1252" s="24"/>
      <c r="R1252" s="24"/>
      <c r="S1252" s="24"/>
      <c r="T1252" s="24"/>
      <c r="U1252" s="27"/>
      <c r="V1252" s="27"/>
      <c r="W1252" s="24"/>
      <c r="X1252" s="24"/>
    </row>
    <row r="1253" spans="1:24" ht="14.25" customHeight="1" x14ac:dyDescent="0.25">
      <c r="A1253" s="27"/>
      <c r="B1253" s="27"/>
      <c r="C1253" s="24"/>
      <c r="D1253" s="24"/>
      <c r="E1253" s="27"/>
      <c r="F1253" s="27"/>
      <c r="G1253" s="27"/>
      <c r="H1253" s="27"/>
      <c r="I1253" s="27"/>
      <c r="J1253" s="27"/>
      <c r="K1253" s="27"/>
      <c r="L1253" s="27"/>
      <c r="M1253" s="27"/>
      <c r="N1253" s="24"/>
      <c r="O1253" s="24"/>
      <c r="P1253" s="24"/>
      <c r="Q1253" s="24"/>
      <c r="R1253" s="24"/>
      <c r="S1253" s="24"/>
      <c r="T1253" s="24"/>
      <c r="U1253" s="27"/>
      <c r="V1253" s="27"/>
      <c r="W1253" s="24"/>
      <c r="X1253" s="24"/>
    </row>
    <row r="1254" spans="1:24" ht="14.25" customHeight="1" x14ac:dyDescent="0.25">
      <c r="A1254" s="27"/>
      <c r="B1254" s="27"/>
      <c r="C1254" s="24"/>
      <c r="D1254" s="24"/>
      <c r="E1254" s="27"/>
      <c r="F1254" s="27"/>
      <c r="G1254" s="27"/>
      <c r="H1254" s="27"/>
      <c r="I1254" s="27"/>
      <c r="J1254" s="27"/>
      <c r="K1254" s="27"/>
      <c r="L1254" s="27"/>
      <c r="M1254" s="27"/>
      <c r="N1254" s="24"/>
      <c r="O1254" s="24"/>
      <c r="P1254" s="24"/>
      <c r="Q1254" s="24"/>
      <c r="R1254" s="24"/>
      <c r="S1254" s="24"/>
      <c r="T1254" s="24"/>
      <c r="U1254" s="27"/>
      <c r="V1254" s="27"/>
      <c r="W1254" s="24"/>
      <c r="X1254" s="24"/>
    </row>
    <row r="1255" spans="1:24" ht="14.25" customHeight="1" x14ac:dyDescent="0.25">
      <c r="A1255" s="27"/>
      <c r="B1255" s="27"/>
      <c r="C1255" s="24"/>
      <c r="D1255" s="24"/>
      <c r="E1255" s="27"/>
      <c r="F1255" s="27"/>
      <c r="G1255" s="27"/>
      <c r="H1255" s="27"/>
      <c r="I1255" s="27"/>
      <c r="J1255" s="27"/>
      <c r="K1255" s="27"/>
      <c r="L1255" s="27"/>
      <c r="M1255" s="27"/>
      <c r="N1255" s="24"/>
      <c r="O1255" s="24"/>
      <c r="P1255" s="24"/>
      <c r="Q1255" s="24"/>
      <c r="R1255" s="24"/>
      <c r="S1255" s="24"/>
      <c r="T1255" s="24"/>
      <c r="U1255" s="27"/>
      <c r="V1255" s="27"/>
      <c r="W1255" s="24"/>
      <c r="X1255" s="24"/>
    </row>
    <row r="1256" spans="1:24" ht="14.25" customHeight="1" x14ac:dyDescent="0.25">
      <c r="A1256" s="27"/>
      <c r="B1256" s="27"/>
      <c r="C1256" s="24"/>
      <c r="D1256" s="24"/>
      <c r="E1256" s="27"/>
      <c r="F1256" s="27"/>
      <c r="G1256" s="27"/>
      <c r="H1256" s="27"/>
      <c r="I1256" s="27"/>
      <c r="J1256" s="27"/>
      <c r="K1256" s="27"/>
      <c r="L1256" s="27"/>
      <c r="M1256" s="27"/>
      <c r="N1256" s="24"/>
      <c r="O1256" s="24"/>
      <c r="P1256" s="24"/>
      <c r="Q1256" s="24"/>
      <c r="R1256" s="24"/>
      <c r="S1256" s="24"/>
      <c r="T1256" s="24"/>
      <c r="U1256" s="27"/>
      <c r="V1256" s="27"/>
      <c r="W1256" s="24"/>
      <c r="X1256" s="24"/>
    </row>
    <row r="1257" spans="1:24" ht="14.25" customHeight="1" x14ac:dyDescent="0.25">
      <c r="A1257" s="27"/>
      <c r="B1257" s="27"/>
      <c r="C1257" s="24"/>
      <c r="D1257" s="24"/>
      <c r="E1257" s="27"/>
      <c r="F1257" s="27"/>
      <c r="G1257" s="27"/>
      <c r="H1257" s="27"/>
      <c r="I1257" s="27"/>
      <c r="J1257" s="27"/>
      <c r="K1257" s="27"/>
      <c r="L1257" s="27"/>
      <c r="M1257" s="27"/>
      <c r="N1257" s="24"/>
      <c r="O1257" s="24"/>
      <c r="P1257" s="24"/>
      <c r="Q1257" s="24"/>
      <c r="R1257" s="24"/>
      <c r="S1257" s="24"/>
      <c r="T1257" s="24"/>
      <c r="U1257" s="27"/>
      <c r="V1257" s="27"/>
      <c r="W1257" s="24"/>
      <c r="X1257" s="24"/>
    </row>
    <row r="1258" spans="1:24" ht="14.25" customHeight="1" x14ac:dyDescent="0.25">
      <c r="A1258" s="27"/>
      <c r="B1258" s="27"/>
      <c r="C1258" s="24"/>
      <c r="D1258" s="24"/>
      <c r="E1258" s="27"/>
      <c r="F1258" s="27"/>
      <c r="G1258" s="27"/>
      <c r="H1258" s="27"/>
      <c r="I1258" s="27"/>
      <c r="J1258" s="27"/>
      <c r="K1258" s="27"/>
      <c r="L1258" s="27"/>
      <c r="M1258" s="27"/>
      <c r="N1258" s="24"/>
      <c r="O1258" s="24"/>
      <c r="P1258" s="24"/>
      <c r="Q1258" s="24"/>
      <c r="R1258" s="24"/>
      <c r="S1258" s="24"/>
      <c r="T1258" s="24"/>
      <c r="U1258" s="27"/>
      <c r="V1258" s="27"/>
      <c r="W1258" s="24"/>
      <c r="X1258" s="24"/>
    </row>
    <row r="1259" spans="1:24" ht="14.25" customHeight="1" x14ac:dyDescent="0.25">
      <c r="A1259" s="27"/>
      <c r="B1259" s="27"/>
      <c r="C1259" s="24"/>
      <c r="D1259" s="24"/>
      <c r="E1259" s="27"/>
      <c r="F1259" s="27"/>
      <c r="G1259" s="27"/>
      <c r="H1259" s="27"/>
      <c r="I1259" s="27"/>
      <c r="J1259" s="27"/>
      <c r="K1259" s="27"/>
      <c r="L1259" s="27"/>
      <c r="M1259" s="27"/>
      <c r="N1259" s="24"/>
      <c r="O1259" s="24"/>
      <c r="P1259" s="24"/>
      <c r="Q1259" s="24"/>
      <c r="R1259" s="24"/>
      <c r="S1259" s="24"/>
      <c r="T1259" s="24"/>
      <c r="U1259" s="27"/>
      <c r="V1259" s="27"/>
      <c r="W1259" s="24"/>
      <c r="X1259" s="24"/>
    </row>
    <row r="1260" spans="1:24" ht="14.25" customHeight="1" x14ac:dyDescent="0.25">
      <c r="A1260" s="27"/>
      <c r="B1260" s="27"/>
      <c r="C1260" s="24"/>
      <c r="D1260" s="24"/>
      <c r="E1260" s="27"/>
      <c r="F1260" s="27"/>
      <c r="G1260" s="27"/>
      <c r="H1260" s="27"/>
      <c r="I1260" s="27"/>
      <c r="J1260" s="27"/>
      <c r="K1260" s="27"/>
      <c r="L1260" s="27"/>
      <c r="M1260" s="27"/>
      <c r="N1260" s="24"/>
      <c r="O1260" s="24"/>
      <c r="P1260" s="24"/>
      <c r="Q1260" s="24"/>
      <c r="R1260" s="24"/>
      <c r="S1260" s="24"/>
      <c r="T1260" s="24"/>
      <c r="U1260" s="27"/>
      <c r="V1260" s="27"/>
      <c r="W1260" s="24"/>
      <c r="X1260" s="24"/>
    </row>
    <row r="1261" spans="1:24" ht="14.25" customHeight="1" x14ac:dyDescent="0.25">
      <c r="A1261" s="27"/>
      <c r="B1261" s="27"/>
      <c r="C1261" s="24"/>
      <c r="D1261" s="24"/>
      <c r="E1261" s="27"/>
      <c r="F1261" s="27"/>
      <c r="G1261" s="27"/>
      <c r="H1261" s="27"/>
      <c r="I1261" s="27"/>
      <c r="J1261" s="27"/>
      <c r="K1261" s="27"/>
      <c r="L1261" s="27"/>
      <c r="M1261" s="27"/>
      <c r="N1261" s="24"/>
      <c r="O1261" s="24"/>
      <c r="P1261" s="24"/>
      <c r="Q1261" s="24"/>
      <c r="R1261" s="24"/>
      <c r="S1261" s="24"/>
      <c r="T1261" s="24"/>
      <c r="U1261" s="27"/>
      <c r="V1261" s="27"/>
      <c r="W1261" s="24"/>
      <c r="X1261" s="24"/>
    </row>
    <row r="1262" spans="1:24" ht="14.25" customHeight="1" x14ac:dyDescent="0.25">
      <c r="A1262" s="27"/>
      <c r="B1262" s="27"/>
      <c r="C1262" s="24"/>
      <c r="D1262" s="24"/>
      <c r="E1262" s="27"/>
      <c r="F1262" s="27"/>
      <c r="G1262" s="27"/>
      <c r="H1262" s="27"/>
      <c r="I1262" s="27"/>
      <c r="J1262" s="27"/>
      <c r="K1262" s="27"/>
      <c r="L1262" s="27"/>
      <c r="M1262" s="27"/>
      <c r="N1262" s="24"/>
      <c r="O1262" s="24"/>
      <c r="P1262" s="24"/>
      <c r="Q1262" s="24"/>
      <c r="R1262" s="24"/>
      <c r="S1262" s="24"/>
      <c r="T1262" s="24"/>
      <c r="U1262" s="27"/>
      <c r="V1262" s="27"/>
      <c r="W1262" s="24"/>
      <c r="X1262" s="24"/>
    </row>
    <row r="1263" spans="1:24" ht="14.25" customHeight="1" x14ac:dyDescent="0.25">
      <c r="A1263" s="27"/>
      <c r="B1263" s="27"/>
      <c r="C1263" s="24"/>
      <c r="D1263" s="24"/>
      <c r="E1263" s="27"/>
      <c r="F1263" s="27"/>
      <c r="G1263" s="27"/>
      <c r="H1263" s="27"/>
      <c r="I1263" s="27"/>
      <c r="J1263" s="27"/>
      <c r="K1263" s="27"/>
      <c r="L1263" s="27"/>
      <c r="M1263" s="27"/>
      <c r="N1263" s="24"/>
      <c r="O1263" s="24"/>
      <c r="P1263" s="24"/>
      <c r="Q1263" s="24"/>
      <c r="R1263" s="24"/>
      <c r="S1263" s="24"/>
      <c r="T1263" s="24"/>
      <c r="U1263" s="27"/>
      <c r="V1263" s="27"/>
      <c r="W1263" s="24"/>
      <c r="X1263" s="24"/>
    </row>
    <row r="1264" spans="1:24" ht="14.25" customHeight="1" x14ac:dyDescent="0.25">
      <c r="A1264" s="27"/>
      <c r="B1264" s="27"/>
      <c r="C1264" s="24"/>
      <c r="D1264" s="24"/>
      <c r="E1264" s="27"/>
      <c r="F1264" s="27"/>
      <c r="G1264" s="27"/>
      <c r="H1264" s="27"/>
      <c r="I1264" s="27"/>
      <c r="J1264" s="27"/>
      <c r="K1264" s="27"/>
      <c r="L1264" s="27"/>
      <c r="M1264" s="27"/>
      <c r="N1264" s="24"/>
      <c r="O1264" s="24"/>
      <c r="P1264" s="24"/>
      <c r="Q1264" s="24"/>
      <c r="R1264" s="24"/>
      <c r="S1264" s="24"/>
      <c r="T1264" s="24"/>
      <c r="U1264" s="27"/>
      <c r="V1264" s="27"/>
      <c r="W1264" s="24"/>
      <c r="X1264" s="24"/>
    </row>
    <row r="1265" spans="1:24" ht="14.25" customHeight="1" x14ac:dyDescent="0.25">
      <c r="A1265" s="27"/>
      <c r="B1265" s="27"/>
      <c r="C1265" s="24"/>
      <c r="D1265" s="24"/>
      <c r="E1265" s="27"/>
      <c r="F1265" s="27"/>
      <c r="G1265" s="27"/>
      <c r="H1265" s="27"/>
      <c r="I1265" s="27"/>
      <c r="J1265" s="27"/>
      <c r="K1265" s="27"/>
      <c r="L1265" s="27"/>
      <c r="M1265" s="27"/>
      <c r="N1265" s="24"/>
      <c r="O1265" s="24"/>
      <c r="P1265" s="24"/>
      <c r="Q1265" s="24"/>
      <c r="R1265" s="24"/>
      <c r="S1265" s="24"/>
      <c r="T1265" s="24"/>
      <c r="U1265" s="27"/>
      <c r="V1265" s="27"/>
      <c r="W1265" s="24"/>
      <c r="X1265" s="24"/>
    </row>
    <row r="1266" spans="1:24" ht="14.25" customHeight="1" x14ac:dyDescent="0.25">
      <c r="A1266" s="27"/>
      <c r="B1266" s="27"/>
      <c r="C1266" s="24"/>
      <c r="D1266" s="24"/>
      <c r="E1266" s="27"/>
      <c r="F1266" s="27"/>
      <c r="G1266" s="27"/>
      <c r="H1266" s="27"/>
      <c r="I1266" s="27"/>
      <c r="J1266" s="27"/>
      <c r="K1266" s="27"/>
      <c r="L1266" s="27"/>
      <c r="M1266" s="27"/>
      <c r="N1266" s="24"/>
      <c r="O1266" s="24"/>
      <c r="P1266" s="24"/>
      <c r="Q1266" s="24"/>
      <c r="R1266" s="24"/>
      <c r="S1266" s="24"/>
      <c r="T1266" s="24"/>
      <c r="U1266" s="27"/>
      <c r="V1266" s="27"/>
      <c r="W1266" s="24"/>
      <c r="X1266" s="24"/>
    </row>
    <row r="1267" spans="1:24" ht="14.25" customHeight="1" x14ac:dyDescent="0.25">
      <c r="A1267" s="27"/>
      <c r="B1267" s="27"/>
      <c r="C1267" s="24"/>
      <c r="D1267" s="24"/>
      <c r="E1267" s="27"/>
      <c r="F1267" s="27"/>
      <c r="G1267" s="27"/>
      <c r="H1267" s="27"/>
      <c r="I1267" s="27"/>
      <c r="J1267" s="27"/>
      <c r="K1267" s="27"/>
      <c r="L1267" s="27"/>
      <c r="M1267" s="27"/>
      <c r="N1267" s="24"/>
      <c r="O1267" s="24"/>
      <c r="P1267" s="24"/>
      <c r="Q1267" s="24"/>
      <c r="R1267" s="24"/>
      <c r="S1267" s="24"/>
      <c r="T1267" s="24"/>
      <c r="U1267" s="27"/>
      <c r="V1267" s="27"/>
      <c r="W1267" s="24"/>
      <c r="X1267" s="24"/>
    </row>
    <row r="1268" spans="1:24" ht="14.25" customHeight="1" x14ac:dyDescent="0.25">
      <c r="A1268" s="27"/>
      <c r="B1268" s="27"/>
      <c r="C1268" s="24"/>
      <c r="D1268" s="24"/>
      <c r="E1268" s="27"/>
      <c r="F1268" s="27"/>
      <c r="G1268" s="27"/>
      <c r="H1268" s="27"/>
      <c r="I1268" s="27"/>
      <c r="J1268" s="27"/>
      <c r="K1268" s="27"/>
      <c r="L1268" s="27"/>
      <c r="M1268" s="27"/>
      <c r="N1268" s="24"/>
      <c r="O1268" s="24"/>
      <c r="P1268" s="24"/>
      <c r="Q1268" s="24"/>
      <c r="R1268" s="24"/>
      <c r="S1268" s="24"/>
      <c r="T1268" s="24"/>
      <c r="U1268" s="27"/>
      <c r="V1268" s="27"/>
      <c r="W1268" s="24"/>
      <c r="X1268" s="24"/>
    </row>
    <row r="1269" spans="1:24" ht="14.25" customHeight="1" x14ac:dyDescent="0.25">
      <c r="A1269" s="27"/>
      <c r="B1269" s="27"/>
      <c r="C1269" s="24"/>
      <c r="D1269" s="24"/>
      <c r="E1269" s="27"/>
      <c r="F1269" s="27"/>
      <c r="G1269" s="27"/>
      <c r="H1269" s="27"/>
      <c r="I1269" s="27"/>
      <c r="J1269" s="27"/>
      <c r="K1269" s="27"/>
      <c r="L1269" s="27"/>
      <c r="M1269" s="27"/>
      <c r="N1269" s="24"/>
      <c r="O1269" s="24"/>
      <c r="P1269" s="24"/>
      <c r="Q1269" s="24"/>
      <c r="R1269" s="24"/>
      <c r="S1269" s="24"/>
      <c r="T1269" s="24"/>
      <c r="U1269" s="27"/>
      <c r="V1269" s="27"/>
      <c r="W1269" s="24"/>
      <c r="X1269" s="24"/>
    </row>
    <row r="1270" spans="1:24" ht="14.25" customHeight="1" x14ac:dyDescent="0.25">
      <c r="A1270" s="27"/>
      <c r="B1270" s="27"/>
      <c r="C1270" s="24"/>
      <c r="D1270" s="24"/>
      <c r="E1270" s="27"/>
      <c r="F1270" s="27"/>
      <c r="G1270" s="27"/>
      <c r="H1270" s="27"/>
      <c r="I1270" s="27"/>
      <c r="J1270" s="27"/>
      <c r="K1270" s="27"/>
      <c r="L1270" s="27"/>
      <c r="M1270" s="27"/>
      <c r="N1270" s="24"/>
      <c r="O1270" s="24"/>
      <c r="P1270" s="24"/>
      <c r="Q1270" s="24"/>
      <c r="R1270" s="24"/>
      <c r="S1270" s="24"/>
      <c r="T1270" s="24"/>
      <c r="U1270" s="27"/>
      <c r="V1270" s="27"/>
      <c r="W1270" s="24"/>
      <c r="X1270" s="24"/>
    </row>
    <row r="1271" spans="1:24" ht="14.25" customHeight="1" x14ac:dyDescent="0.25">
      <c r="A1271" s="27"/>
      <c r="B1271" s="27"/>
      <c r="C1271" s="24"/>
      <c r="D1271" s="24"/>
      <c r="E1271" s="27"/>
      <c r="F1271" s="27"/>
      <c r="G1271" s="27"/>
      <c r="H1271" s="27"/>
      <c r="I1271" s="27"/>
      <c r="J1271" s="27"/>
      <c r="K1271" s="27"/>
      <c r="L1271" s="27"/>
      <c r="M1271" s="27"/>
      <c r="N1271" s="24"/>
      <c r="O1271" s="24"/>
      <c r="P1271" s="24"/>
      <c r="Q1271" s="24"/>
      <c r="R1271" s="24"/>
      <c r="S1271" s="24"/>
      <c r="T1271" s="24"/>
      <c r="U1271" s="27"/>
      <c r="V1271" s="27"/>
      <c r="W1271" s="24"/>
      <c r="X1271" s="24"/>
    </row>
    <row r="1272" spans="1:24" ht="14.25" customHeight="1" x14ac:dyDescent="0.25">
      <c r="A1272" s="27"/>
      <c r="B1272" s="27"/>
      <c r="C1272" s="24"/>
      <c r="D1272" s="24"/>
      <c r="E1272" s="27"/>
      <c r="F1272" s="27"/>
      <c r="G1272" s="27"/>
      <c r="H1272" s="27"/>
      <c r="I1272" s="27"/>
      <c r="J1272" s="27"/>
      <c r="K1272" s="27"/>
      <c r="L1272" s="27"/>
      <c r="M1272" s="27"/>
      <c r="N1272" s="24"/>
      <c r="O1272" s="24"/>
      <c r="P1272" s="24"/>
      <c r="Q1272" s="24"/>
      <c r="R1272" s="24"/>
      <c r="S1272" s="24"/>
      <c r="T1272" s="24"/>
      <c r="U1272" s="27"/>
      <c r="V1272" s="27"/>
      <c r="W1272" s="24"/>
      <c r="X1272" s="24"/>
    </row>
    <row r="1273" spans="1:24" ht="14.25" customHeight="1" x14ac:dyDescent="0.25">
      <c r="A1273" s="27"/>
      <c r="B1273" s="27"/>
      <c r="C1273" s="24"/>
      <c r="D1273" s="24"/>
      <c r="E1273" s="27"/>
      <c r="F1273" s="27"/>
      <c r="G1273" s="27"/>
      <c r="H1273" s="27"/>
      <c r="I1273" s="27"/>
      <c r="J1273" s="27"/>
      <c r="K1273" s="27"/>
      <c r="L1273" s="27"/>
      <c r="M1273" s="27"/>
      <c r="N1273" s="24"/>
      <c r="O1273" s="24"/>
      <c r="P1273" s="24"/>
      <c r="Q1273" s="24"/>
      <c r="R1273" s="24"/>
      <c r="S1273" s="24"/>
      <c r="T1273" s="24"/>
      <c r="U1273" s="27"/>
      <c r="V1273" s="27"/>
      <c r="W1273" s="24"/>
      <c r="X1273" s="24"/>
    </row>
    <row r="1274" spans="1:24" ht="14.25" customHeight="1" x14ac:dyDescent="0.25">
      <c r="A1274" s="27"/>
      <c r="B1274" s="27"/>
      <c r="C1274" s="24"/>
      <c r="D1274" s="24"/>
      <c r="E1274" s="27"/>
      <c r="F1274" s="27"/>
      <c r="G1274" s="27"/>
      <c r="H1274" s="27"/>
      <c r="I1274" s="27"/>
      <c r="J1274" s="27"/>
      <c r="K1274" s="27"/>
      <c r="L1274" s="27"/>
      <c r="M1274" s="27"/>
      <c r="N1274" s="24"/>
      <c r="O1274" s="24"/>
      <c r="P1274" s="24"/>
      <c r="Q1274" s="24"/>
      <c r="R1274" s="24"/>
      <c r="S1274" s="24"/>
      <c r="T1274" s="24"/>
      <c r="U1274" s="27"/>
      <c r="V1274" s="27"/>
      <c r="W1274" s="24"/>
      <c r="X1274" s="24"/>
    </row>
    <row r="1275" spans="1:24" ht="14.25" customHeight="1" x14ac:dyDescent="0.25">
      <c r="A1275" s="27"/>
      <c r="B1275" s="27"/>
      <c r="C1275" s="24"/>
      <c r="D1275" s="24"/>
      <c r="E1275" s="27"/>
      <c r="F1275" s="27"/>
      <c r="G1275" s="27"/>
      <c r="H1275" s="27"/>
      <c r="I1275" s="27"/>
      <c r="J1275" s="27"/>
      <c r="K1275" s="27"/>
      <c r="L1275" s="27"/>
      <c r="M1275" s="27"/>
      <c r="N1275" s="24"/>
      <c r="O1275" s="24"/>
      <c r="P1275" s="24"/>
      <c r="Q1275" s="24"/>
      <c r="R1275" s="24"/>
      <c r="S1275" s="24"/>
      <c r="T1275" s="24"/>
      <c r="U1275" s="27"/>
      <c r="V1275" s="27"/>
      <c r="W1275" s="24"/>
      <c r="X1275" s="24"/>
    </row>
    <row r="1276" spans="1:24" ht="14.25" customHeight="1" x14ac:dyDescent="0.25">
      <c r="A1276" s="27"/>
      <c r="B1276" s="27"/>
      <c r="C1276" s="24"/>
      <c r="D1276" s="24"/>
      <c r="E1276" s="27"/>
      <c r="F1276" s="27"/>
      <c r="G1276" s="27"/>
      <c r="H1276" s="27"/>
      <c r="I1276" s="27"/>
      <c r="J1276" s="27"/>
      <c r="K1276" s="27"/>
      <c r="L1276" s="27"/>
      <c r="M1276" s="27"/>
      <c r="N1276" s="24"/>
      <c r="O1276" s="24"/>
      <c r="P1276" s="24"/>
      <c r="Q1276" s="24"/>
      <c r="R1276" s="24"/>
      <c r="S1276" s="24"/>
      <c r="T1276" s="24"/>
      <c r="U1276" s="27"/>
      <c r="V1276" s="27"/>
      <c r="W1276" s="24"/>
      <c r="X1276" s="24"/>
    </row>
    <row r="1277" spans="1:24" ht="14.25" customHeight="1" x14ac:dyDescent="0.25">
      <c r="A1277" s="27"/>
      <c r="B1277" s="27"/>
      <c r="C1277" s="24"/>
      <c r="D1277" s="24"/>
      <c r="E1277" s="27"/>
      <c r="F1277" s="27"/>
      <c r="G1277" s="27"/>
      <c r="H1277" s="27"/>
      <c r="I1277" s="27"/>
      <c r="J1277" s="27"/>
      <c r="K1277" s="27"/>
      <c r="L1277" s="27"/>
      <c r="M1277" s="27"/>
      <c r="N1277" s="24"/>
      <c r="O1277" s="24"/>
      <c r="P1277" s="24"/>
      <c r="Q1277" s="24"/>
      <c r="R1277" s="24"/>
      <c r="S1277" s="24"/>
      <c r="T1277" s="24"/>
      <c r="U1277" s="27"/>
      <c r="V1277" s="27"/>
      <c r="W1277" s="24"/>
      <c r="X1277" s="24"/>
    </row>
    <row r="1278" spans="1:24" ht="14.25" customHeight="1" x14ac:dyDescent="0.25">
      <c r="A1278" s="27"/>
      <c r="B1278" s="27"/>
      <c r="C1278" s="24"/>
      <c r="D1278" s="24"/>
      <c r="E1278" s="27"/>
      <c r="F1278" s="27"/>
      <c r="G1278" s="27"/>
      <c r="H1278" s="27"/>
      <c r="I1278" s="27"/>
      <c r="J1278" s="27"/>
      <c r="K1278" s="27"/>
      <c r="L1278" s="27"/>
      <c r="M1278" s="27"/>
      <c r="N1278" s="24"/>
      <c r="O1278" s="24"/>
      <c r="P1278" s="24"/>
      <c r="Q1278" s="24"/>
      <c r="R1278" s="24"/>
      <c r="S1278" s="24"/>
      <c r="T1278" s="24"/>
      <c r="U1278" s="27"/>
      <c r="V1278" s="27"/>
      <c r="W1278" s="24"/>
      <c r="X1278" s="24"/>
    </row>
    <row r="1279" spans="1:24" ht="14.25" customHeight="1" x14ac:dyDescent="0.25">
      <c r="A1279" s="27"/>
      <c r="B1279" s="27"/>
      <c r="C1279" s="24"/>
      <c r="D1279" s="24"/>
      <c r="E1279" s="27"/>
      <c r="F1279" s="27"/>
      <c r="G1279" s="27"/>
      <c r="H1279" s="27"/>
      <c r="I1279" s="27"/>
      <c r="J1279" s="27"/>
      <c r="K1279" s="27"/>
      <c r="L1279" s="27"/>
      <c r="M1279" s="27"/>
      <c r="N1279" s="24"/>
      <c r="O1279" s="24"/>
      <c r="P1279" s="24"/>
      <c r="Q1279" s="24"/>
      <c r="R1279" s="24"/>
      <c r="S1279" s="24"/>
      <c r="T1279" s="24"/>
      <c r="U1279" s="27"/>
      <c r="V1279" s="27"/>
      <c r="W1279" s="24"/>
      <c r="X1279" s="24"/>
    </row>
    <row r="1280" spans="1:24" ht="14.25" customHeight="1" x14ac:dyDescent="0.25">
      <c r="A1280" s="27"/>
      <c r="B1280" s="27"/>
      <c r="C1280" s="24"/>
      <c r="D1280" s="24"/>
      <c r="E1280" s="27"/>
      <c r="F1280" s="27"/>
      <c r="G1280" s="27"/>
      <c r="H1280" s="27"/>
      <c r="I1280" s="27"/>
      <c r="J1280" s="27"/>
      <c r="K1280" s="27"/>
      <c r="L1280" s="27"/>
      <c r="M1280" s="27"/>
      <c r="N1280" s="24"/>
      <c r="O1280" s="24"/>
      <c r="P1280" s="24"/>
      <c r="Q1280" s="24"/>
      <c r="R1280" s="24"/>
      <c r="S1280" s="24"/>
      <c r="T1280" s="24"/>
      <c r="U1280" s="27"/>
      <c r="V1280" s="27"/>
      <c r="W1280" s="24"/>
      <c r="X1280" s="24"/>
    </row>
    <row r="1281" spans="1:24" ht="14.25" customHeight="1" x14ac:dyDescent="0.25">
      <c r="A1281" s="27"/>
      <c r="B1281" s="27"/>
      <c r="C1281" s="24"/>
      <c r="D1281" s="24"/>
      <c r="E1281" s="27"/>
      <c r="F1281" s="27"/>
      <c r="G1281" s="27"/>
      <c r="H1281" s="27"/>
      <c r="I1281" s="27"/>
      <c r="J1281" s="27"/>
      <c r="K1281" s="27"/>
      <c r="L1281" s="27"/>
      <c r="M1281" s="27"/>
      <c r="N1281" s="24"/>
      <c r="O1281" s="24"/>
      <c r="P1281" s="24"/>
      <c r="Q1281" s="24"/>
      <c r="R1281" s="24"/>
      <c r="S1281" s="24"/>
      <c r="T1281" s="24"/>
      <c r="U1281" s="27"/>
      <c r="V1281" s="27"/>
      <c r="W1281" s="24"/>
      <c r="X1281" s="24"/>
    </row>
    <row r="1282" spans="1:24" ht="14.25" customHeight="1" x14ac:dyDescent="0.25">
      <c r="A1282" s="27"/>
      <c r="B1282" s="27"/>
      <c r="C1282" s="24"/>
      <c r="D1282" s="24"/>
      <c r="E1282" s="27"/>
      <c r="F1282" s="27"/>
      <c r="G1282" s="27"/>
      <c r="H1282" s="27"/>
      <c r="I1282" s="27"/>
      <c r="J1282" s="27"/>
      <c r="K1282" s="27"/>
      <c r="L1282" s="27"/>
      <c r="M1282" s="27"/>
      <c r="N1282" s="24"/>
      <c r="O1282" s="24"/>
      <c r="P1282" s="24"/>
      <c r="Q1282" s="24"/>
      <c r="R1282" s="24"/>
      <c r="S1282" s="24"/>
      <c r="T1282" s="24"/>
      <c r="U1282" s="27"/>
      <c r="V1282" s="27"/>
      <c r="W1282" s="24"/>
      <c r="X1282" s="24"/>
    </row>
    <row r="1283" spans="1:24" ht="14.25" customHeight="1" x14ac:dyDescent="0.25">
      <c r="A1283" s="27"/>
      <c r="B1283" s="27"/>
      <c r="C1283" s="24"/>
      <c r="D1283" s="24"/>
      <c r="E1283" s="27"/>
      <c r="F1283" s="27"/>
      <c r="G1283" s="27"/>
      <c r="H1283" s="27"/>
      <c r="I1283" s="27"/>
      <c r="J1283" s="27"/>
      <c r="K1283" s="27"/>
      <c r="L1283" s="27"/>
      <c r="M1283" s="27"/>
      <c r="N1283" s="24"/>
      <c r="O1283" s="24"/>
      <c r="P1283" s="24"/>
      <c r="Q1283" s="24"/>
      <c r="R1283" s="24"/>
      <c r="S1283" s="24"/>
      <c r="T1283" s="24"/>
      <c r="U1283" s="27"/>
      <c r="V1283" s="27"/>
      <c r="W1283" s="24"/>
      <c r="X1283" s="24"/>
    </row>
    <row r="1284" spans="1:24" ht="14.25" customHeight="1" x14ac:dyDescent="0.25">
      <c r="A1284" s="27"/>
      <c r="B1284" s="27"/>
      <c r="C1284" s="24"/>
      <c r="D1284" s="24"/>
      <c r="E1284" s="27"/>
      <c r="F1284" s="27"/>
      <c r="G1284" s="27"/>
      <c r="H1284" s="27"/>
      <c r="I1284" s="27"/>
      <c r="J1284" s="27"/>
      <c r="K1284" s="27"/>
      <c r="L1284" s="27"/>
      <c r="M1284" s="27"/>
      <c r="N1284" s="24"/>
      <c r="O1284" s="24"/>
      <c r="P1284" s="24"/>
      <c r="Q1284" s="24"/>
      <c r="R1284" s="24"/>
      <c r="S1284" s="24"/>
      <c r="T1284" s="24"/>
      <c r="U1284" s="27"/>
      <c r="V1284" s="27"/>
      <c r="W1284" s="24"/>
      <c r="X1284" s="24"/>
    </row>
    <row r="1285" spans="1:24" ht="14.25" customHeight="1" x14ac:dyDescent="0.25">
      <c r="A1285" s="27"/>
      <c r="B1285" s="27"/>
      <c r="C1285" s="24"/>
      <c r="D1285" s="24"/>
      <c r="E1285" s="27"/>
      <c r="F1285" s="27"/>
      <c r="G1285" s="27"/>
      <c r="H1285" s="27"/>
      <c r="I1285" s="27"/>
      <c r="J1285" s="27"/>
      <c r="K1285" s="27"/>
      <c r="L1285" s="27"/>
      <c r="M1285" s="27"/>
      <c r="N1285" s="24"/>
      <c r="O1285" s="24"/>
      <c r="P1285" s="24"/>
      <c r="Q1285" s="24"/>
      <c r="R1285" s="24"/>
      <c r="S1285" s="24"/>
      <c r="T1285" s="24"/>
      <c r="U1285" s="27"/>
      <c r="V1285" s="27"/>
      <c r="W1285" s="24"/>
      <c r="X1285" s="24"/>
    </row>
    <row r="1286" spans="1:24" ht="14.25" customHeight="1" x14ac:dyDescent="0.25">
      <c r="A1286" s="27"/>
      <c r="B1286" s="27"/>
      <c r="C1286" s="24"/>
      <c r="D1286" s="24"/>
      <c r="E1286" s="27"/>
      <c r="F1286" s="27"/>
      <c r="G1286" s="27"/>
      <c r="H1286" s="27"/>
      <c r="I1286" s="27"/>
      <c r="J1286" s="27"/>
      <c r="K1286" s="27"/>
      <c r="L1286" s="27"/>
      <c r="M1286" s="27"/>
      <c r="N1286" s="24"/>
      <c r="O1286" s="24"/>
      <c r="P1286" s="24"/>
      <c r="Q1286" s="24"/>
      <c r="R1286" s="24"/>
      <c r="S1286" s="24"/>
      <c r="T1286" s="24"/>
      <c r="U1286" s="27"/>
      <c r="V1286" s="27"/>
      <c r="W1286" s="24"/>
      <c r="X1286" s="24"/>
    </row>
    <row r="1287" spans="1:24" ht="14.25" customHeight="1" x14ac:dyDescent="0.25">
      <c r="A1287" s="27"/>
      <c r="B1287" s="27"/>
      <c r="C1287" s="24"/>
      <c r="D1287" s="24"/>
      <c r="E1287" s="27"/>
      <c r="F1287" s="27"/>
      <c r="G1287" s="27"/>
      <c r="H1287" s="27"/>
      <c r="I1287" s="27"/>
      <c r="J1287" s="27"/>
      <c r="K1287" s="27"/>
      <c r="L1287" s="27"/>
      <c r="M1287" s="27"/>
      <c r="N1287" s="24"/>
      <c r="O1287" s="24"/>
      <c r="P1287" s="24"/>
      <c r="Q1287" s="24"/>
      <c r="R1287" s="24"/>
      <c r="S1287" s="24"/>
      <c r="T1287" s="24"/>
      <c r="U1287" s="27"/>
      <c r="V1287" s="27"/>
      <c r="W1287" s="24"/>
      <c r="X1287" s="24"/>
    </row>
    <row r="1288" spans="1:24" ht="14.25" customHeight="1" x14ac:dyDescent="0.25">
      <c r="A1288" s="27"/>
      <c r="B1288" s="27"/>
      <c r="C1288" s="24"/>
      <c r="D1288" s="24"/>
      <c r="E1288" s="27"/>
      <c r="F1288" s="27"/>
      <c r="G1288" s="27"/>
      <c r="H1288" s="27"/>
      <c r="I1288" s="27"/>
      <c r="J1288" s="27"/>
      <c r="K1288" s="27"/>
      <c r="L1288" s="27"/>
      <c r="M1288" s="27"/>
      <c r="N1288" s="24"/>
      <c r="O1288" s="24"/>
      <c r="P1288" s="24"/>
      <c r="Q1288" s="24"/>
      <c r="R1288" s="24"/>
      <c r="S1288" s="24"/>
      <c r="T1288" s="24"/>
      <c r="U1288" s="27"/>
      <c r="V1288" s="27"/>
      <c r="W1288" s="24"/>
      <c r="X1288" s="24"/>
    </row>
    <row r="1289" spans="1:24" ht="14.25" customHeight="1" x14ac:dyDescent="0.25">
      <c r="A1289" s="27"/>
      <c r="B1289" s="27"/>
      <c r="C1289" s="24"/>
      <c r="D1289" s="24"/>
      <c r="E1289" s="27"/>
      <c r="F1289" s="27"/>
      <c r="G1289" s="27"/>
      <c r="H1289" s="27"/>
      <c r="I1289" s="27"/>
      <c r="J1289" s="27"/>
      <c r="K1289" s="27"/>
      <c r="L1289" s="27"/>
      <c r="M1289" s="27"/>
      <c r="N1289" s="24"/>
      <c r="O1289" s="24"/>
      <c r="P1289" s="24"/>
      <c r="Q1289" s="24"/>
      <c r="R1289" s="24"/>
      <c r="S1289" s="24"/>
      <c r="T1289" s="24"/>
      <c r="U1289" s="27"/>
      <c r="V1289" s="27"/>
      <c r="W1289" s="24"/>
      <c r="X1289" s="24"/>
    </row>
    <row r="1290" spans="1:24" ht="14.25" customHeight="1" x14ac:dyDescent="0.25">
      <c r="A1290" s="27"/>
      <c r="B1290" s="27"/>
      <c r="C1290" s="24"/>
      <c r="D1290" s="24"/>
      <c r="E1290" s="27"/>
      <c r="F1290" s="27"/>
      <c r="G1290" s="27"/>
      <c r="H1290" s="27"/>
      <c r="I1290" s="27"/>
      <c r="J1290" s="27"/>
      <c r="K1290" s="27"/>
      <c r="L1290" s="27"/>
      <c r="M1290" s="27"/>
      <c r="N1290" s="24"/>
      <c r="O1290" s="24"/>
      <c r="P1290" s="24"/>
      <c r="Q1290" s="24"/>
      <c r="R1290" s="24"/>
      <c r="S1290" s="24"/>
      <c r="T1290" s="24"/>
      <c r="U1290" s="27"/>
      <c r="V1290" s="27"/>
      <c r="W1290" s="24"/>
      <c r="X1290" s="24"/>
    </row>
    <row r="1291" spans="1:24" ht="14.25" customHeight="1" x14ac:dyDescent="0.25">
      <c r="A1291" s="27"/>
      <c r="B1291" s="27"/>
      <c r="C1291" s="24"/>
      <c r="D1291" s="24"/>
      <c r="E1291" s="27"/>
      <c r="F1291" s="27"/>
      <c r="G1291" s="27"/>
      <c r="H1291" s="27"/>
      <c r="I1291" s="27"/>
      <c r="J1291" s="27"/>
      <c r="K1291" s="27"/>
      <c r="L1291" s="27"/>
      <c r="M1291" s="27"/>
      <c r="N1291" s="24"/>
      <c r="O1291" s="24"/>
      <c r="P1291" s="24"/>
      <c r="Q1291" s="24"/>
      <c r="R1291" s="24"/>
      <c r="S1291" s="24"/>
      <c r="T1291" s="24"/>
      <c r="U1291" s="27"/>
      <c r="V1291" s="27"/>
      <c r="W1291" s="24"/>
      <c r="X1291" s="24"/>
    </row>
    <row r="1292" spans="1:24" ht="14.25" customHeight="1" x14ac:dyDescent="0.25">
      <c r="A1292" s="27"/>
      <c r="B1292" s="27"/>
      <c r="C1292" s="24"/>
      <c r="D1292" s="24"/>
      <c r="E1292" s="27"/>
      <c r="F1292" s="27"/>
      <c r="G1292" s="27"/>
      <c r="H1292" s="27"/>
      <c r="I1292" s="27"/>
      <c r="J1292" s="27"/>
      <c r="K1292" s="27"/>
      <c r="L1292" s="27"/>
      <c r="M1292" s="27"/>
      <c r="N1292" s="24"/>
      <c r="O1292" s="24"/>
      <c r="P1292" s="24"/>
      <c r="Q1292" s="24"/>
      <c r="R1292" s="24"/>
      <c r="S1292" s="24"/>
      <c r="T1292" s="24"/>
      <c r="U1292" s="27"/>
      <c r="V1292" s="27"/>
      <c r="W1292" s="24"/>
      <c r="X1292" s="24"/>
    </row>
    <row r="1293" spans="1:24" ht="14.25" customHeight="1" x14ac:dyDescent="0.25">
      <c r="A1293" s="27"/>
      <c r="B1293" s="27"/>
      <c r="C1293" s="24"/>
      <c r="D1293" s="24"/>
      <c r="E1293" s="27"/>
      <c r="F1293" s="27"/>
      <c r="G1293" s="27"/>
      <c r="H1293" s="27"/>
      <c r="I1293" s="27"/>
      <c r="J1293" s="27"/>
      <c r="K1293" s="27"/>
      <c r="L1293" s="27"/>
      <c r="M1293" s="27"/>
      <c r="N1293" s="24"/>
      <c r="O1293" s="24"/>
      <c r="P1293" s="24"/>
      <c r="Q1293" s="24"/>
      <c r="R1293" s="24"/>
      <c r="S1293" s="24"/>
      <c r="T1293" s="24"/>
      <c r="U1293" s="27"/>
      <c r="V1293" s="27"/>
      <c r="W1293" s="24"/>
      <c r="X1293" s="24"/>
    </row>
    <row r="1294" spans="1:24" ht="14.25" customHeight="1" x14ac:dyDescent="0.25">
      <c r="A1294" s="27"/>
      <c r="B1294" s="27"/>
      <c r="C1294" s="24"/>
      <c r="D1294" s="24"/>
      <c r="E1294" s="27"/>
      <c r="F1294" s="27"/>
      <c r="G1294" s="27"/>
      <c r="H1294" s="27"/>
      <c r="I1294" s="27"/>
      <c r="J1294" s="27"/>
      <c r="K1294" s="27"/>
      <c r="L1294" s="27"/>
      <c r="M1294" s="27"/>
      <c r="N1294" s="24"/>
      <c r="O1294" s="24"/>
      <c r="P1294" s="24"/>
      <c r="Q1294" s="24"/>
      <c r="R1294" s="24"/>
      <c r="S1294" s="24"/>
      <c r="T1294" s="24"/>
      <c r="U1294" s="27"/>
      <c r="V1294" s="27"/>
      <c r="W1294" s="24"/>
      <c r="X1294" s="24"/>
    </row>
    <row r="1295" spans="1:24" ht="14.25" customHeight="1" x14ac:dyDescent="0.25">
      <c r="A1295" s="27"/>
      <c r="B1295" s="27"/>
      <c r="C1295" s="24"/>
      <c r="D1295" s="24"/>
      <c r="E1295" s="27"/>
      <c r="F1295" s="27"/>
      <c r="G1295" s="27"/>
      <c r="H1295" s="27"/>
      <c r="I1295" s="27"/>
      <c r="J1295" s="27"/>
      <c r="K1295" s="27"/>
      <c r="L1295" s="27"/>
      <c r="M1295" s="27"/>
      <c r="N1295" s="24"/>
      <c r="O1295" s="24"/>
      <c r="P1295" s="24"/>
      <c r="Q1295" s="24"/>
      <c r="R1295" s="24"/>
      <c r="S1295" s="24"/>
      <c r="T1295" s="24"/>
      <c r="U1295" s="27"/>
      <c r="V1295" s="27"/>
      <c r="W1295" s="24"/>
      <c r="X1295" s="24"/>
    </row>
    <row r="1296" spans="1:24" ht="14.25" customHeight="1" x14ac:dyDescent="0.25">
      <c r="A1296" s="27"/>
      <c r="B1296" s="27"/>
      <c r="C1296" s="24"/>
      <c r="D1296" s="24"/>
      <c r="E1296" s="27"/>
      <c r="F1296" s="27"/>
      <c r="G1296" s="27"/>
      <c r="H1296" s="27"/>
      <c r="I1296" s="27"/>
      <c r="J1296" s="27"/>
      <c r="K1296" s="27"/>
      <c r="L1296" s="27"/>
      <c r="M1296" s="27"/>
      <c r="N1296" s="24"/>
      <c r="O1296" s="24"/>
      <c r="P1296" s="24"/>
      <c r="Q1296" s="24"/>
      <c r="R1296" s="24"/>
      <c r="S1296" s="24"/>
      <c r="T1296" s="24"/>
      <c r="U1296" s="27"/>
      <c r="V1296" s="27"/>
      <c r="W1296" s="24"/>
      <c r="X1296" s="24"/>
    </row>
    <row r="1297" spans="1:24" ht="14.25" customHeight="1" x14ac:dyDescent="0.25">
      <c r="A1297" s="27"/>
      <c r="B1297" s="27"/>
      <c r="C1297" s="24"/>
      <c r="D1297" s="24"/>
      <c r="E1297" s="27"/>
      <c r="F1297" s="27"/>
      <c r="G1297" s="27"/>
      <c r="H1297" s="27"/>
      <c r="I1297" s="27"/>
      <c r="J1297" s="27"/>
      <c r="K1297" s="27"/>
      <c r="L1297" s="27"/>
      <c r="M1297" s="27"/>
      <c r="N1297" s="24"/>
      <c r="O1297" s="24"/>
      <c r="P1297" s="24"/>
      <c r="Q1297" s="24"/>
      <c r="R1297" s="24"/>
      <c r="S1297" s="24"/>
      <c r="T1297" s="24"/>
      <c r="U1297" s="27"/>
      <c r="V1297" s="27"/>
      <c r="W1297" s="24"/>
      <c r="X1297" s="24"/>
    </row>
    <row r="1298" spans="1:24" ht="14.25" customHeight="1" x14ac:dyDescent="0.25">
      <c r="A1298" s="27"/>
      <c r="B1298" s="27"/>
      <c r="C1298" s="24"/>
      <c r="D1298" s="24"/>
      <c r="E1298" s="27"/>
      <c r="F1298" s="27"/>
      <c r="G1298" s="27"/>
      <c r="H1298" s="27"/>
      <c r="I1298" s="27"/>
      <c r="J1298" s="27"/>
      <c r="K1298" s="27"/>
      <c r="L1298" s="27"/>
      <c r="M1298" s="27"/>
      <c r="N1298" s="24"/>
      <c r="O1298" s="24"/>
      <c r="P1298" s="24"/>
      <c r="Q1298" s="24"/>
      <c r="R1298" s="24"/>
      <c r="S1298" s="24"/>
      <c r="T1298" s="24"/>
      <c r="U1298" s="27"/>
      <c r="V1298" s="27"/>
      <c r="W1298" s="24"/>
      <c r="X1298" s="24"/>
    </row>
    <row r="1299" spans="1:24" ht="14.25" customHeight="1" x14ac:dyDescent="0.25">
      <c r="A1299" s="27"/>
      <c r="B1299" s="27"/>
      <c r="C1299" s="24"/>
      <c r="D1299" s="24"/>
      <c r="E1299" s="27"/>
      <c r="F1299" s="27"/>
      <c r="G1299" s="27"/>
      <c r="H1299" s="27"/>
      <c r="I1299" s="27"/>
      <c r="J1299" s="27"/>
      <c r="K1299" s="27"/>
      <c r="L1299" s="27"/>
      <c r="M1299" s="27"/>
      <c r="N1299" s="24"/>
      <c r="O1299" s="24"/>
      <c r="P1299" s="24"/>
      <c r="Q1299" s="24"/>
      <c r="R1299" s="24"/>
      <c r="S1299" s="24"/>
      <c r="T1299" s="24"/>
      <c r="U1299" s="27"/>
      <c r="V1299" s="27"/>
      <c r="W1299" s="24"/>
      <c r="X1299" s="24"/>
    </row>
    <row r="1300" spans="1:24" ht="14.25" customHeight="1" x14ac:dyDescent="0.25">
      <c r="A1300" s="27"/>
      <c r="B1300" s="27"/>
      <c r="C1300" s="24"/>
      <c r="D1300" s="24"/>
      <c r="E1300" s="27"/>
      <c r="F1300" s="27"/>
      <c r="G1300" s="27"/>
      <c r="H1300" s="27"/>
      <c r="I1300" s="27"/>
      <c r="J1300" s="27"/>
      <c r="K1300" s="27"/>
      <c r="L1300" s="27"/>
      <c r="M1300" s="27"/>
      <c r="N1300" s="24"/>
      <c r="O1300" s="24"/>
      <c r="P1300" s="24"/>
      <c r="Q1300" s="24"/>
      <c r="R1300" s="24"/>
      <c r="S1300" s="24"/>
      <c r="T1300" s="24"/>
      <c r="U1300" s="27"/>
      <c r="V1300" s="27"/>
      <c r="W1300" s="24"/>
      <c r="X1300" s="24"/>
    </row>
    <row r="1301" spans="1:24" ht="14.25" customHeight="1" x14ac:dyDescent="0.25">
      <c r="A1301" s="27"/>
      <c r="B1301" s="27"/>
      <c r="C1301" s="24"/>
      <c r="D1301" s="24"/>
      <c r="E1301" s="27"/>
      <c r="F1301" s="27"/>
      <c r="G1301" s="27"/>
      <c r="H1301" s="27"/>
      <c r="I1301" s="27"/>
      <c r="J1301" s="27"/>
      <c r="K1301" s="27"/>
      <c r="L1301" s="27"/>
      <c r="M1301" s="27"/>
      <c r="N1301" s="24"/>
      <c r="O1301" s="24"/>
      <c r="P1301" s="24"/>
      <c r="Q1301" s="24"/>
      <c r="R1301" s="24"/>
      <c r="S1301" s="24"/>
      <c r="T1301" s="24"/>
      <c r="U1301" s="27"/>
      <c r="V1301" s="27"/>
      <c r="W1301" s="24"/>
      <c r="X1301" s="24"/>
    </row>
    <row r="1302" spans="1:24" ht="14.25" customHeight="1" x14ac:dyDescent="0.25">
      <c r="A1302" s="27"/>
      <c r="B1302" s="27"/>
      <c r="C1302" s="24"/>
      <c r="D1302" s="24"/>
      <c r="E1302" s="27"/>
      <c r="F1302" s="27"/>
      <c r="G1302" s="27"/>
      <c r="H1302" s="27"/>
      <c r="I1302" s="27"/>
      <c r="J1302" s="27"/>
      <c r="K1302" s="27"/>
      <c r="L1302" s="27"/>
      <c r="M1302" s="27"/>
      <c r="N1302" s="24"/>
      <c r="O1302" s="24"/>
      <c r="P1302" s="24"/>
      <c r="Q1302" s="24"/>
      <c r="R1302" s="24"/>
      <c r="S1302" s="24"/>
      <c r="T1302" s="24"/>
      <c r="U1302" s="27"/>
      <c r="V1302" s="27"/>
      <c r="W1302" s="24"/>
      <c r="X1302" s="24"/>
    </row>
    <row r="1303" spans="1:24" ht="14.25" customHeight="1" x14ac:dyDescent="0.25">
      <c r="A1303" s="27"/>
      <c r="B1303" s="27"/>
      <c r="C1303" s="24"/>
      <c r="D1303" s="24"/>
      <c r="E1303" s="27"/>
      <c r="F1303" s="27"/>
      <c r="G1303" s="27"/>
      <c r="H1303" s="27"/>
      <c r="I1303" s="27"/>
      <c r="J1303" s="27"/>
      <c r="K1303" s="27"/>
      <c r="L1303" s="27"/>
      <c r="M1303" s="27"/>
      <c r="N1303" s="24"/>
      <c r="O1303" s="24"/>
      <c r="P1303" s="24"/>
      <c r="Q1303" s="24"/>
      <c r="R1303" s="24"/>
      <c r="S1303" s="24"/>
      <c r="T1303" s="24"/>
      <c r="U1303" s="27"/>
      <c r="V1303" s="27"/>
      <c r="W1303" s="24"/>
      <c r="X1303" s="24"/>
    </row>
    <row r="1304" spans="1:24" ht="14.25" customHeight="1" x14ac:dyDescent="0.25">
      <c r="A1304" s="27"/>
      <c r="B1304" s="27"/>
      <c r="C1304" s="24"/>
      <c r="D1304" s="24"/>
      <c r="E1304" s="27"/>
      <c r="F1304" s="27"/>
      <c r="G1304" s="27"/>
      <c r="H1304" s="27"/>
      <c r="I1304" s="27"/>
      <c r="J1304" s="27"/>
      <c r="K1304" s="27"/>
      <c r="L1304" s="27"/>
      <c r="M1304" s="27"/>
      <c r="N1304" s="24"/>
      <c r="O1304" s="24"/>
      <c r="P1304" s="24"/>
      <c r="Q1304" s="24"/>
      <c r="R1304" s="24"/>
      <c r="S1304" s="24"/>
      <c r="T1304" s="24"/>
      <c r="U1304" s="27"/>
      <c r="V1304" s="27"/>
      <c r="W1304" s="24"/>
      <c r="X1304" s="24"/>
    </row>
    <row r="1305" spans="1:24" ht="14.25" customHeight="1" x14ac:dyDescent="0.25">
      <c r="A1305" s="27"/>
      <c r="B1305" s="27"/>
      <c r="C1305" s="24"/>
      <c r="D1305" s="24"/>
      <c r="E1305" s="27"/>
      <c r="F1305" s="27"/>
      <c r="G1305" s="27"/>
      <c r="H1305" s="27"/>
      <c r="I1305" s="27"/>
      <c r="J1305" s="27"/>
      <c r="K1305" s="27"/>
      <c r="L1305" s="27"/>
      <c r="M1305" s="27"/>
      <c r="N1305" s="24"/>
      <c r="O1305" s="24"/>
      <c r="P1305" s="24"/>
      <c r="Q1305" s="24"/>
      <c r="R1305" s="24"/>
      <c r="S1305" s="24"/>
      <c r="T1305" s="24"/>
      <c r="U1305" s="27"/>
      <c r="V1305" s="27"/>
      <c r="W1305" s="24"/>
      <c r="X1305" s="24"/>
    </row>
    <row r="1306" spans="1:24" ht="14.25" customHeight="1" x14ac:dyDescent="0.25">
      <c r="A1306" s="27"/>
      <c r="B1306" s="27"/>
      <c r="C1306" s="24"/>
      <c r="D1306" s="24"/>
      <c r="E1306" s="27"/>
      <c r="F1306" s="27"/>
      <c r="G1306" s="27"/>
      <c r="H1306" s="27"/>
      <c r="I1306" s="27"/>
      <c r="J1306" s="27"/>
      <c r="K1306" s="27"/>
      <c r="L1306" s="27"/>
      <c r="M1306" s="27"/>
      <c r="N1306" s="24"/>
      <c r="O1306" s="24"/>
      <c r="P1306" s="24"/>
      <c r="Q1306" s="24"/>
      <c r="R1306" s="24"/>
      <c r="S1306" s="24"/>
      <c r="T1306" s="24"/>
      <c r="U1306" s="27"/>
      <c r="V1306" s="27"/>
      <c r="W1306" s="24"/>
      <c r="X1306" s="24"/>
    </row>
    <row r="1307" spans="1:24" ht="14.25" customHeight="1" x14ac:dyDescent="0.25">
      <c r="A1307" s="27"/>
      <c r="B1307" s="27"/>
      <c r="C1307" s="24"/>
      <c r="D1307" s="24"/>
      <c r="E1307" s="27"/>
      <c r="F1307" s="27"/>
      <c r="G1307" s="27"/>
      <c r="H1307" s="27"/>
      <c r="I1307" s="27"/>
      <c r="J1307" s="27"/>
      <c r="K1307" s="27"/>
      <c r="L1307" s="27"/>
      <c r="M1307" s="27"/>
      <c r="N1307" s="24"/>
      <c r="O1307" s="24"/>
      <c r="P1307" s="24"/>
      <c r="Q1307" s="24"/>
      <c r="R1307" s="24"/>
      <c r="S1307" s="24"/>
      <c r="T1307" s="24"/>
      <c r="U1307" s="27"/>
      <c r="V1307" s="27"/>
      <c r="W1307" s="24"/>
      <c r="X1307" s="24"/>
    </row>
    <row r="1308" spans="1:24" ht="14.25" customHeight="1" x14ac:dyDescent="0.25">
      <c r="A1308" s="27"/>
      <c r="B1308" s="27"/>
      <c r="C1308" s="24"/>
      <c r="D1308" s="24"/>
      <c r="E1308" s="27"/>
      <c r="F1308" s="27"/>
      <c r="G1308" s="27"/>
      <c r="H1308" s="27"/>
      <c r="I1308" s="27"/>
      <c r="J1308" s="27"/>
      <c r="K1308" s="27"/>
      <c r="L1308" s="27"/>
      <c r="M1308" s="27"/>
      <c r="N1308" s="24"/>
      <c r="O1308" s="24"/>
      <c r="P1308" s="24"/>
      <c r="Q1308" s="24"/>
      <c r="R1308" s="24"/>
      <c r="S1308" s="24"/>
      <c r="T1308" s="24"/>
      <c r="U1308" s="27"/>
      <c r="V1308" s="27"/>
      <c r="W1308" s="24"/>
      <c r="X1308" s="24"/>
    </row>
    <row r="1309" spans="1:24" ht="14.25" customHeight="1" x14ac:dyDescent="0.25">
      <c r="A1309" s="27"/>
      <c r="B1309" s="27"/>
      <c r="C1309" s="24"/>
      <c r="D1309" s="24"/>
      <c r="E1309" s="27"/>
      <c r="F1309" s="27"/>
      <c r="G1309" s="27"/>
      <c r="H1309" s="27"/>
      <c r="I1309" s="27"/>
      <c r="J1309" s="27"/>
      <c r="K1309" s="27"/>
      <c r="L1309" s="27"/>
      <c r="M1309" s="27"/>
      <c r="N1309" s="24"/>
      <c r="O1309" s="24"/>
      <c r="P1309" s="24"/>
      <c r="Q1309" s="24"/>
      <c r="R1309" s="24"/>
      <c r="S1309" s="24"/>
      <c r="T1309" s="24"/>
      <c r="U1309" s="27"/>
      <c r="V1309" s="27"/>
      <c r="W1309" s="24"/>
      <c r="X1309" s="24"/>
    </row>
    <row r="1310" spans="1:24" ht="14.25" customHeight="1" x14ac:dyDescent="0.25">
      <c r="A1310" s="27"/>
      <c r="B1310" s="27"/>
      <c r="C1310" s="24"/>
      <c r="D1310" s="24"/>
      <c r="E1310" s="27"/>
      <c r="F1310" s="27"/>
      <c r="G1310" s="27"/>
      <c r="H1310" s="27"/>
      <c r="I1310" s="27"/>
      <c r="J1310" s="27"/>
      <c r="K1310" s="27"/>
      <c r="L1310" s="27"/>
      <c r="M1310" s="27"/>
      <c r="N1310" s="24"/>
      <c r="O1310" s="24"/>
      <c r="P1310" s="24"/>
      <c r="Q1310" s="24"/>
      <c r="R1310" s="24"/>
      <c r="S1310" s="24"/>
      <c r="T1310" s="24"/>
      <c r="U1310" s="27"/>
      <c r="V1310" s="27"/>
      <c r="W1310" s="24"/>
      <c r="X1310" s="24"/>
    </row>
    <row r="1311" spans="1:24" ht="14.25" customHeight="1" x14ac:dyDescent="0.25">
      <c r="A1311" s="27"/>
      <c r="B1311" s="27"/>
      <c r="C1311" s="24"/>
      <c r="D1311" s="24"/>
      <c r="E1311" s="27"/>
      <c r="F1311" s="27"/>
      <c r="G1311" s="27"/>
      <c r="H1311" s="27"/>
      <c r="I1311" s="27"/>
      <c r="J1311" s="27"/>
      <c r="K1311" s="27"/>
      <c r="L1311" s="27"/>
      <c r="M1311" s="27"/>
      <c r="N1311" s="24"/>
      <c r="O1311" s="24"/>
      <c r="P1311" s="24"/>
      <c r="Q1311" s="24"/>
      <c r="R1311" s="24"/>
      <c r="S1311" s="24"/>
      <c r="T1311" s="24"/>
      <c r="U1311" s="27"/>
      <c r="V1311" s="27"/>
      <c r="W1311" s="24"/>
      <c r="X1311" s="24"/>
    </row>
    <row r="1312" spans="1:24" ht="14.25" customHeight="1" x14ac:dyDescent="0.25">
      <c r="A1312" s="27"/>
      <c r="B1312" s="27"/>
      <c r="C1312" s="24"/>
      <c r="D1312" s="24"/>
      <c r="E1312" s="27"/>
      <c r="F1312" s="27"/>
      <c r="G1312" s="27"/>
      <c r="H1312" s="27"/>
      <c r="I1312" s="27"/>
      <c r="J1312" s="27"/>
      <c r="K1312" s="27"/>
      <c r="L1312" s="27"/>
      <c r="M1312" s="27"/>
      <c r="N1312" s="24"/>
      <c r="O1312" s="24"/>
      <c r="P1312" s="24"/>
      <c r="Q1312" s="24"/>
      <c r="R1312" s="24"/>
      <c r="S1312" s="24"/>
      <c r="T1312" s="24"/>
      <c r="U1312" s="27"/>
      <c r="V1312" s="27"/>
      <c r="W1312" s="24"/>
      <c r="X1312" s="24"/>
    </row>
    <row r="1313" spans="1:24" ht="14.25" customHeight="1" x14ac:dyDescent="0.25">
      <c r="A1313" s="27"/>
      <c r="B1313" s="27"/>
      <c r="C1313" s="24"/>
      <c r="D1313" s="24"/>
      <c r="E1313" s="27"/>
      <c r="F1313" s="27"/>
      <c r="G1313" s="27"/>
      <c r="H1313" s="27"/>
      <c r="I1313" s="27"/>
      <c r="J1313" s="27"/>
      <c r="K1313" s="27"/>
      <c r="L1313" s="27"/>
      <c r="M1313" s="27"/>
      <c r="N1313" s="24"/>
      <c r="O1313" s="24"/>
      <c r="P1313" s="24"/>
      <c r="Q1313" s="24"/>
      <c r="R1313" s="24"/>
      <c r="S1313" s="24"/>
      <c r="T1313" s="24"/>
      <c r="U1313" s="27"/>
      <c r="V1313" s="27"/>
      <c r="W1313" s="24"/>
      <c r="X1313" s="24"/>
    </row>
    <row r="1314" spans="1:24" ht="14.25" customHeight="1" x14ac:dyDescent="0.25">
      <c r="A1314" s="27"/>
      <c r="B1314" s="27"/>
      <c r="C1314" s="24"/>
      <c r="D1314" s="24"/>
      <c r="E1314" s="27"/>
      <c r="F1314" s="27"/>
      <c r="G1314" s="27"/>
      <c r="H1314" s="27"/>
      <c r="I1314" s="27"/>
      <c r="J1314" s="27"/>
      <c r="K1314" s="27"/>
      <c r="L1314" s="27"/>
      <c r="M1314" s="27"/>
      <c r="N1314" s="24"/>
      <c r="O1314" s="24"/>
      <c r="P1314" s="24"/>
      <c r="Q1314" s="24"/>
      <c r="R1314" s="24"/>
      <c r="S1314" s="24"/>
      <c r="T1314" s="24"/>
      <c r="U1314" s="27"/>
      <c r="V1314" s="27"/>
      <c r="W1314" s="24"/>
      <c r="X1314" s="24"/>
    </row>
    <row r="1315" spans="1:24" ht="14.25" customHeight="1" x14ac:dyDescent="0.25">
      <c r="A1315" s="27"/>
      <c r="B1315" s="27"/>
      <c r="C1315" s="24"/>
      <c r="D1315" s="24"/>
      <c r="E1315" s="27"/>
      <c r="F1315" s="27"/>
      <c r="G1315" s="27"/>
      <c r="H1315" s="27"/>
      <c r="I1315" s="27"/>
      <c r="J1315" s="27"/>
      <c r="K1315" s="27"/>
      <c r="L1315" s="27"/>
      <c r="M1315" s="27"/>
      <c r="N1315" s="24"/>
      <c r="O1315" s="24"/>
      <c r="P1315" s="24"/>
      <c r="Q1315" s="24"/>
      <c r="R1315" s="24"/>
      <c r="S1315" s="24"/>
      <c r="T1315" s="24"/>
      <c r="U1315" s="27"/>
      <c r="V1315" s="27"/>
      <c r="W1315" s="24"/>
      <c r="X1315" s="24"/>
    </row>
    <row r="1316" spans="1:24" ht="14.25" customHeight="1" x14ac:dyDescent="0.25">
      <c r="A1316" s="27"/>
      <c r="B1316" s="27"/>
      <c r="C1316" s="24"/>
      <c r="D1316" s="24"/>
      <c r="E1316" s="27"/>
      <c r="F1316" s="27"/>
      <c r="G1316" s="27"/>
      <c r="H1316" s="27"/>
      <c r="I1316" s="27"/>
      <c r="J1316" s="27"/>
      <c r="K1316" s="27"/>
      <c r="L1316" s="27"/>
      <c r="M1316" s="27"/>
      <c r="N1316" s="24"/>
      <c r="O1316" s="24"/>
      <c r="P1316" s="24"/>
      <c r="Q1316" s="24"/>
      <c r="R1316" s="24"/>
      <c r="S1316" s="24"/>
      <c r="T1316" s="24"/>
      <c r="U1316" s="27"/>
      <c r="V1316" s="27"/>
      <c r="W1316" s="24"/>
      <c r="X1316" s="24"/>
    </row>
    <row r="1317" spans="1:24" ht="14.25" customHeight="1" x14ac:dyDescent="0.25">
      <c r="A1317" s="27"/>
      <c r="B1317" s="27"/>
      <c r="C1317" s="24"/>
      <c r="D1317" s="24"/>
      <c r="E1317" s="27"/>
      <c r="F1317" s="27"/>
      <c r="G1317" s="27"/>
      <c r="H1317" s="27"/>
      <c r="I1317" s="27"/>
      <c r="J1317" s="27"/>
      <c r="K1317" s="27"/>
      <c r="L1317" s="27"/>
      <c r="M1317" s="27"/>
      <c r="N1317" s="24"/>
      <c r="O1317" s="24"/>
      <c r="P1317" s="24"/>
      <c r="Q1317" s="24"/>
      <c r="R1317" s="24"/>
      <c r="S1317" s="24"/>
      <c r="T1317" s="24"/>
      <c r="U1317" s="27"/>
      <c r="V1317" s="27"/>
      <c r="W1317" s="24"/>
      <c r="X1317" s="24"/>
    </row>
    <row r="1318" spans="1:24" ht="14.25" customHeight="1" x14ac:dyDescent="0.25">
      <c r="A1318" s="27"/>
      <c r="B1318" s="27"/>
      <c r="C1318" s="24"/>
      <c r="D1318" s="24"/>
      <c r="E1318" s="27"/>
      <c r="F1318" s="27"/>
      <c r="G1318" s="27"/>
      <c r="H1318" s="27"/>
      <c r="I1318" s="27"/>
      <c r="J1318" s="27"/>
      <c r="K1318" s="27"/>
      <c r="L1318" s="27"/>
      <c r="M1318" s="27"/>
      <c r="N1318" s="24"/>
      <c r="O1318" s="24"/>
      <c r="P1318" s="24"/>
      <c r="Q1318" s="24"/>
      <c r="R1318" s="24"/>
      <c r="S1318" s="24"/>
      <c r="T1318" s="24"/>
      <c r="U1318" s="27"/>
      <c r="V1318" s="27"/>
      <c r="W1318" s="24"/>
      <c r="X1318" s="24"/>
    </row>
    <row r="1319" spans="1:24" ht="14.25" customHeight="1" x14ac:dyDescent="0.25">
      <c r="A1319" s="27"/>
      <c r="B1319" s="27"/>
      <c r="C1319" s="24"/>
      <c r="D1319" s="24"/>
      <c r="E1319" s="27"/>
      <c r="F1319" s="27"/>
      <c r="G1319" s="27"/>
      <c r="H1319" s="27"/>
      <c r="I1319" s="27"/>
      <c r="J1319" s="27"/>
      <c r="K1319" s="27"/>
      <c r="L1319" s="27"/>
      <c r="M1319" s="27"/>
      <c r="N1319" s="24"/>
      <c r="O1319" s="24"/>
      <c r="P1319" s="24"/>
      <c r="Q1319" s="24"/>
      <c r="R1319" s="24"/>
      <c r="S1319" s="24"/>
      <c r="T1319" s="24"/>
      <c r="U1319" s="27"/>
      <c r="V1319" s="27"/>
      <c r="W1319" s="24"/>
      <c r="X1319" s="24"/>
    </row>
    <row r="1320" spans="1:24" ht="14.25" customHeight="1" x14ac:dyDescent="0.25">
      <c r="A1320" s="27"/>
      <c r="B1320" s="27"/>
      <c r="C1320" s="24"/>
      <c r="D1320" s="24"/>
      <c r="E1320" s="27"/>
      <c r="F1320" s="27"/>
      <c r="G1320" s="27"/>
      <c r="H1320" s="27"/>
      <c r="I1320" s="27"/>
      <c r="J1320" s="27"/>
      <c r="K1320" s="27"/>
      <c r="L1320" s="27"/>
      <c r="M1320" s="27"/>
      <c r="N1320" s="24"/>
      <c r="O1320" s="24"/>
      <c r="P1320" s="24"/>
      <c r="Q1320" s="24"/>
      <c r="R1320" s="24"/>
      <c r="S1320" s="24"/>
      <c r="T1320" s="24"/>
      <c r="U1320" s="27"/>
      <c r="V1320" s="27"/>
      <c r="W1320" s="24"/>
      <c r="X1320" s="24"/>
    </row>
    <row r="1321" spans="1:24" ht="14.25" customHeight="1" x14ac:dyDescent="0.25">
      <c r="A1321" s="27"/>
      <c r="B1321" s="27"/>
      <c r="C1321" s="24"/>
      <c r="D1321" s="24"/>
      <c r="E1321" s="27"/>
      <c r="F1321" s="27"/>
      <c r="G1321" s="27"/>
      <c r="H1321" s="27"/>
      <c r="I1321" s="27"/>
      <c r="J1321" s="27"/>
      <c r="K1321" s="27"/>
      <c r="L1321" s="27"/>
      <c r="M1321" s="27"/>
      <c r="N1321" s="24"/>
      <c r="O1321" s="24"/>
      <c r="P1321" s="24"/>
      <c r="Q1321" s="24"/>
      <c r="R1321" s="24"/>
      <c r="S1321" s="24"/>
      <c r="T1321" s="24"/>
      <c r="U1321" s="27"/>
      <c r="V1321" s="27"/>
      <c r="W1321" s="24"/>
      <c r="X1321" s="24"/>
    </row>
    <row r="1322" spans="1:24" ht="14.25" customHeight="1" x14ac:dyDescent="0.25">
      <c r="A1322" s="27"/>
      <c r="B1322" s="27"/>
      <c r="C1322" s="24"/>
      <c r="D1322" s="24"/>
      <c r="E1322" s="27"/>
      <c r="F1322" s="27"/>
      <c r="G1322" s="27"/>
      <c r="H1322" s="27"/>
      <c r="I1322" s="27"/>
      <c r="J1322" s="27"/>
      <c r="K1322" s="27"/>
      <c r="L1322" s="27"/>
      <c r="M1322" s="27"/>
      <c r="N1322" s="24"/>
      <c r="O1322" s="24"/>
      <c r="P1322" s="24"/>
      <c r="Q1322" s="24"/>
      <c r="R1322" s="24"/>
      <c r="S1322" s="24"/>
      <c r="T1322" s="24"/>
      <c r="U1322" s="27"/>
      <c r="V1322" s="27"/>
      <c r="W1322" s="24"/>
      <c r="X1322" s="24"/>
    </row>
    <row r="1323" spans="1:24" ht="14.25" customHeight="1" x14ac:dyDescent="0.25">
      <c r="A1323" s="27"/>
      <c r="B1323" s="27"/>
      <c r="C1323" s="24"/>
      <c r="D1323" s="24"/>
      <c r="E1323" s="27"/>
      <c r="F1323" s="27"/>
      <c r="G1323" s="27"/>
      <c r="H1323" s="27"/>
      <c r="I1323" s="27"/>
      <c r="J1323" s="27"/>
      <c r="K1323" s="27"/>
      <c r="L1323" s="27"/>
      <c r="M1323" s="27"/>
      <c r="N1323" s="24"/>
      <c r="O1323" s="24"/>
      <c r="P1323" s="24"/>
      <c r="Q1323" s="24"/>
      <c r="R1323" s="24"/>
      <c r="S1323" s="24"/>
      <c r="T1323" s="24"/>
      <c r="U1323" s="27"/>
      <c r="V1323" s="27"/>
      <c r="W1323" s="24"/>
      <c r="X1323" s="24"/>
    </row>
    <row r="1324" spans="1:24" ht="14.25" customHeight="1" x14ac:dyDescent="0.25">
      <c r="A1324" s="27"/>
      <c r="B1324" s="27"/>
      <c r="C1324" s="24"/>
      <c r="D1324" s="24"/>
      <c r="E1324" s="27"/>
      <c r="F1324" s="27"/>
      <c r="G1324" s="27"/>
      <c r="H1324" s="27"/>
      <c r="I1324" s="27"/>
      <c r="J1324" s="27"/>
      <c r="K1324" s="27"/>
      <c r="L1324" s="27"/>
      <c r="M1324" s="27"/>
      <c r="N1324" s="24"/>
      <c r="O1324" s="24"/>
      <c r="P1324" s="24"/>
      <c r="Q1324" s="24"/>
      <c r="R1324" s="24"/>
      <c r="S1324" s="24"/>
      <c r="T1324" s="24"/>
      <c r="U1324" s="27"/>
      <c r="V1324" s="27"/>
      <c r="W1324" s="24"/>
      <c r="X1324" s="24"/>
    </row>
    <row r="1325" spans="1:24" ht="14.25" customHeight="1" x14ac:dyDescent="0.25">
      <c r="A1325" s="27"/>
      <c r="B1325" s="27"/>
      <c r="C1325" s="24"/>
      <c r="D1325" s="24"/>
      <c r="E1325" s="27"/>
      <c r="F1325" s="27"/>
      <c r="G1325" s="27"/>
      <c r="H1325" s="27"/>
      <c r="I1325" s="27"/>
      <c r="J1325" s="27"/>
      <c r="K1325" s="27"/>
      <c r="L1325" s="27"/>
      <c r="M1325" s="27"/>
      <c r="N1325" s="24"/>
      <c r="O1325" s="24"/>
      <c r="P1325" s="24"/>
      <c r="Q1325" s="24"/>
      <c r="R1325" s="24"/>
      <c r="S1325" s="24"/>
      <c r="T1325" s="24"/>
      <c r="U1325" s="27"/>
      <c r="V1325" s="27"/>
      <c r="W1325" s="24"/>
      <c r="X1325" s="24"/>
    </row>
    <row r="1326" spans="1:24" ht="14.25" customHeight="1" x14ac:dyDescent="0.25">
      <c r="A1326" s="27"/>
      <c r="B1326" s="27"/>
      <c r="C1326" s="24"/>
      <c r="D1326" s="24"/>
      <c r="E1326" s="27"/>
      <c r="F1326" s="27"/>
      <c r="G1326" s="27"/>
      <c r="H1326" s="27"/>
      <c r="I1326" s="27"/>
      <c r="J1326" s="27"/>
      <c r="K1326" s="27"/>
      <c r="L1326" s="27"/>
      <c r="M1326" s="27"/>
      <c r="N1326" s="24"/>
      <c r="O1326" s="24"/>
      <c r="P1326" s="24"/>
      <c r="Q1326" s="24"/>
      <c r="R1326" s="24"/>
      <c r="S1326" s="24"/>
      <c r="T1326" s="24"/>
      <c r="U1326" s="27"/>
      <c r="V1326" s="27"/>
      <c r="W1326" s="24"/>
      <c r="X1326" s="24"/>
    </row>
    <row r="1327" spans="1:24" ht="14.25" customHeight="1" x14ac:dyDescent="0.25">
      <c r="A1327" s="27"/>
      <c r="B1327" s="27"/>
      <c r="C1327" s="24"/>
      <c r="D1327" s="24"/>
      <c r="E1327" s="27"/>
      <c r="F1327" s="27"/>
      <c r="G1327" s="27"/>
      <c r="H1327" s="27"/>
      <c r="I1327" s="27"/>
      <c r="J1327" s="27"/>
      <c r="K1327" s="27"/>
      <c r="L1327" s="27"/>
      <c r="M1327" s="27"/>
      <c r="N1327" s="24"/>
      <c r="O1327" s="24"/>
      <c r="P1327" s="24"/>
      <c r="Q1327" s="24"/>
      <c r="R1327" s="24"/>
      <c r="S1327" s="24"/>
      <c r="T1327" s="24"/>
      <c r="U1327" s="27"/>
      <c r="V1327" s="27"/>
      <c r="W1327" s="24"/>
      <c r="X1327" s="24"/>
    </row>
    <row r="1328" spans="1:24" ht="14.25" customHeight="1" x14ac:dyDescent="0.25">
      <c r="A1328" s="27"/>
      <c r="B1328" s="27"/>
      <c r="C1328" s="24"/>
      <c r="D1328" s="24"/>
      <c r="E1328" s="27"/>
      <c r="F1328" s="27"/>
      <c r="G1328" s="27"/>
      <c r="H1328" s="27"/>
      <c r="I1328" s="27"/>
      <c r="J1328" s="27"/>
      <c r="K1328" s="27"/>
      <c r="L1328" s="27"/>
      <c r="M1328" s="27"/>
      <c r="N1328" s="24"/>
      <c r="O1328" s="24"/>
      <c r="P1328" s="24"/>
      <c r="Q1328" s="24"/>
      <c r="R1328" s="24"/>
      <c r="S1328" s="24"/>
      <c r="T1328" s="24"/>
      <c r="U1328" s="27"/>
      <c r="V1328" s="27"/>
      <c r="W1328" s="24"/>
      <c r="X1328" s="24"/>
    </row>
    <row r="1329" spans="1:24" ht="14.25" customHeight="1" x14ac:dyDescent="0.25">
      <c r="A1329" s="27"/>
      <c r="B1329" s="27"/>
      <c r="C1329" s="24"/>
      <c r="D1329" s="24"/>
      <c r="E1329" s="27"/>
      <c r="F1329" s="27"/>
      <c r="G1329" s="27"/>
      <c r="H1329" s="27"/>
      <c r="I1329" s="27"/>
      <c r="J1329" s="27"/>
      <c r="K1329" s="27"/>
      <c r="L1329" s="27"/>
      <c r="M1329" s="27"/>
      <c r="N1329" s="24"/>
      <c r="O1329" s="24"/>
      <c r="P1329" s="24"/>
      <c r="Q1329" s="24"/>
      <c r="R1329" s="24"/>
      <c r="S1329" s="24"/>
      <c r="T1329" s="24"/>
      <c r="U1329" s="27"/>
      <c r="V1329" s="27"/>
      <c r="W1329" s="24"/>
      <c r="X1329" s="24"/>
    </row>
    <row r="1330" spans="1:24" ht="14.25" customHeight="1" x14ac:dyDescent="0.25">
      <c r="A1330" s="27"/>
      <c r="B1330" s="27"/>
      <c r="C1330" s="24"/>
      <c r="D1330" s="24"/>
      <c r="E1330" s="27"/>
      <c r="F1330" s="27"/>
      <c r="G1330" s="27"/>
      <c r="H1330" s="27"/>
      <c r="I1330" s="27"/>
      <c r="J1330" s="27"/>
      <c r="K1330" s="27"/>
      <c r="L1330" s="27"/>
      <c r="M1330" s="27"/>
      <c r="N1330" s="24"/>
      <c r="O1330" s="24"/>
      <c r="P1330" s="24"/>
      <c r="Q1330" s="24"/>
      <c r="R1330" s="24"/>
      <c r="S1330" s="24"/>
      <c r="T1330" s="24"/>
      <c r="U1330" s="27"/>
      <c r="V1330" s="27"/>
      <c r="W1330" s="24"/>
      <c r="X1330" s="24"/>
    </row>
    <row r="1331" spans="1:24" ht="14.25" customHeight="1" x14ac:dyDescent="0.25">
      <c r="A1331" s="27"/>
      <c r="B1331" s="27"/>
      <c r="C1331" s="24"/>
      <c r="D1331" s="24"/>
      <c r="E1331" s="27"/>
      <c r="F1331" s="27"/>
      <c r="G1331" s="27"/>
      <c r="H1331" s="27"/>
      <c r="I1331" s="27"/>
      <c r="J1331" s="27"/>
      <c r="K1331" s="27"/>
      <c r="L1331" s="27"/>
      <c r="M1331" s="27"/>
      <c r="N1331" s="24"/>
      <c r="O1331" s="24"/>
      <c r="P1331" s="24"/>
      <c r="Q1331" s="24"/>
      <c r="R1331" s="24"/>
      <c r="S1331" s="24"/>
      <c r="T1331" s="24"/>
      <c r="U1331" s="27"/>
      <c r="V1331" s="27"/>
      <c r="W1331" s="24"/>
      <c r="X1331" s="24"/>
    </row>
    <row r="1332" spans="1:24" ht="14.25" customHeight="1" x14ac:dyDescent="0.25">
      <c r="A1332" s="27"/>
      <c r="B1332" s="27"/>
      <c r="C1332" s="24"/>
      <c r="D1332" s="24"/>
      <c r="E1332" s="27"/>
      <c r="F1332" s="27"/>
      <c r="G1332" s="27"/>
      <c r="H1332" s="27"/>
      <c r="I1332" s="27"/>
      <c r="J1332" s="27"/>
      <c r="K1332" s="27"/>
      <c r="L1332" s="27"/>
      <c r="M1332" s="27"/>
      <c r="N1332" s="24"/>
      <c r="O1332" s="24"/>
      <c r="P1332" s="24"/>
      <c r="Q1332" s="24"/>
      <c r="R1332" s="24"/>
      <c r="S1332" s="24"/>
      <c r="T1332" s="24"/>
      <c r="U1332" s="27"/>
      <c r="V1332" s="27"/>
      <c r="W1332" s="24"/>
      <c r="X1332" s="24"/>
    </row>
    <row r="1333" spans="1:24" ht="14.25" customHeight="1" x14ac:dyDescent="0.25">
      <c r="A1333" s="27"/>
      <c r="B1333" s="27"/>
      <c r="C1333" s="24"/>
      <c r="D1333" s="24"/>
      <c r="E1333" s="27"/>
      <c r="F1333" s="27"/>
      <c r="G1333" s="27"/>
      <c r="H1333" s="27"/>
      <c r="I1333" s="27"/>
      <c r="J1333" s="27"/>
      <c r="K1333" s="27"/>
      <c r="L1333" s="27"/>
      <c r="M1333" s="27"/>
      <c r="N1333" s="24"/>
      <c r="O1333" s="24"/>
      <c r="P1333" s="24"/>
      <c r="Q1333" s="24"/>
      <c r="R1333" s="24"/>
      <c r="S1333" s="24"/>
      <c r="T1333" s="24"/>
      <c r="U1333" s="27"/>
      <c r="V1333" s="27"/>
      <c r="W1333" s="24"/>
      <c r="X1333" s="24"/>
    </row>
    <row r="1334" spans="1:24" ht="14.25" customHeight="1" x14ac:dyDescent="0.25">
      <c r="A1334" s="27"/>
      <c r="B1334" s="27"/>
      <c r="C1334" s="24"/>
      <c r="D1334" s="24"/>
      <c r="E1334" s="27"/>
      <c r="F1334" s="27"/>
      <c r="G1334" s="27"/>
      <c r="H1334" s="27"/>
      <c r="I1334" s="27"/>
      <c r="J1334" s="27"/>
      <c r="K1334" s="27"/>
      <c r="L1334" s="27"/>
      <c r="M1334" s="27"/>
      <c r="N1334" s="24"/>
      <c r="O1334" s="24"/>
      <c r="P1334" s="24"/>
      <c r="Q1334" s="24"/>
      <c r="R1334" s="24"/>
      <c r="S1334" s="24"/>
      <c r="T1334" s="24"/>
      <c r="U1334" s="27"/>
      <c r="V1334" s="27"/>
      <c r="W1334" s="24"/>
      <c r="X1334" s="24"/>
    </row>
    <row r="1335" spans="1:24" ht="14.25" customHeight="1" x14ac:dyDescent="0.25">
      <c r="A1335" s="27"/>
      <c r="B1335" s="27"/>
      <c r="C1335" s="24"/>
      <c r="D1335" s="24"/>
      <c r="E1335" s="27"/>
      <c r="F1335" s="27"/>
      <c r="G1335" s="27"/>
      <c r="H1335" s="27"/>
      <c r="I1335" s="27"/>
      <c r="J1335" s="27"/>
      <c r="K1335" s="27"/>
      <c r="L1335" s="27"/>
      <c r="M1335" s="27"/>
      <c r="N1335" s="24"/>
      <c r="O1335" s="24"/>
      <c r="P1335" s="24"/>
      <c r="Q1335" s="24"/>
      <c r="R1335" s="24"/>
      <c r="S1335" s="24"/>
      <c r="T1335" s="24"/>
      <c r="U1335" s="27"/>
      <c r="V1335" s="27"/>
      <c r="W1335" s="24"/>
      <c r="X1335" s="24"/>
    </row>
    <row r="1336" spans="1:24" ht="14.25" customHeight="1" x14ac:dyDescent="0.25">
      <c r="A1336" s="27"/>
      <c r="B1336" s="27"/>
      <c r="C1336" s="24"/>
      <c r="D1336" s="24"/>
      <c r="E1336" s="27"/>
      <c r="F1336" s="27"/>
      <c r="G1336" s="27"/>
      <c r="H1336" s="27"/>
      <c r="I1336" s="27"/>
      <c r="J1336" s="27"/>
      <c r="K1336" s="27"/>
      <c r="L1336" s="27"/>
      <c r="M1336" s="27"/>
      <c r="N1336" s="24"/>
      <c r="O1336" s="24"/>
      <c r="P1336" s="24"/>
      <c r="Q1336" s="24"/>
      <c r="R1336" s="24"/>
      <c r="S1336" s="24"/>
      <c r="T1336" s="24"/>
      <c r="U1336" s="27"/>
      <c r="V1336" s="27"/>
      <c r="W1336" s="24"/>
      <c r="X1336" s="24"/>
    </row>
    <row r="1337" spans="1:24" ht="14.25" customHeight="1" x14ac:dyDescent="0.25">
      <c r="A1337" s="27"/>
      <c r="B1337" s="27"/>
      <c r="C1337" s="24"/>
      <c r="D1337" s="24"/>
      <c r="E1337" s="27"/>
      <c r="F1337" s="27"/>
      <c r="G1337" s="27"/>
      <c r="H1337" s="27"/>
      <c r="I1337" s="27"/>
      <c r="J1337" s="27"/>
      <c r="K1337" s="27"/>
      <c r="L1337" s="27"/>
      <c r="M1337" s="27"/>
      <c r="N1337" s="24"/>
      <c r="O1337" s="24"/>
      <c r="P1337" s="24"/>
      <c r="Q1337" s="24"/>
      <c r="R1337" s="24"/>
      <c r="S1337" s="24"/>
      <c r="T1337" s="24"/>
      <c r="U1337" s="27"/>
      <c r="V1337" s="27"/>
      <c r="W1337" s="24"/>
      <c r="X1337" s="24"/>
    </row>
    <row r="1338" spans="1:24" ht="14.25" customHeight="1" x14ac:dyDescent="0.25">
      <c r="A1338" s="27"/>
      <c r="B1338" s="27"/>
      <c r="C1338" s="24"/>
      <c r="D1338" s="24"/>
      <c r="E1338" s="27"/>
      <c r="F1338" s="27"/>
      <c r="G1338" s="27"/>
      <c r="H1338" s="27"/>
      <c r="I1338" s="27"/>
      <c r="J1338" s="27"/>
      <c r="K1338" s="27"/>
      <c r="L1338" s="27"/>
      <c r="M1338" s="27"/>
      <c r="N1338" s="24"/>
      <c r="O1338" s="24"/>
      <c r="P1338" s="24"/>
      <c r="Q1338" s="24"/>
      <c r="R1338" s="24"/>
      <c r="S1338" s="24"/>
      <c r="T1338" s="24"/>
      <c r="U1338" s="27"/>
      <c r="V1338" s="27"/>
      <c r="W1338" s="24"/>
      <c r="X1338" s="24"/>
    </row>
    <row r="1339" spans="1:24" ht="14.25" customHeight="1" x14ac:dyDescent="0.25">
      <c r="A1339" s="27"/>
      <c r="B1339" s="27"/>
      <c r="C1339" s="24"/>
      <c r="D1339" s="24"/>
      <c r="E1339" s="27"/>
      <c r="F1339" s="27"/>
      <c r="G1339" s="27"/>
      <c r="H1339" s="27"/>
      <c r="I1339" s="27"/>
      <c r="J1339" s="27"/>
      <c r="K1339" s="27"/>
      <c r="L1339" s="27"/>
      <c r="M1339" s="27"/>
      <c r="N1339" s="24"/>
      <c r="O1339" s="24"/>
      <c r="P1339" s="24"/>
      <c r="Q1339" s="24"/>
      <c r="R1339" s="24"/>
      <c r="S1339" s="24"/>
      <c r="T1339" s="24"/>
      <c r="U1339" s="27"/>
      <c r="V1339" s="27"/>
      <c r="W1339" s="24"/>
      <c r="X1339" s="24"/>
    </row>
    <row r="1340" spans="1:24" ht="14.25" customHeight="1" x14ac:dyDescent="0.25">
      <c r="A1340" s="27"/>
      <c r="B1340" s="27"/>
      <c r="C1340" s="24"/>
      <c r="D1340" s="24"/>
      <c r="E1340" s="27"/>
      <c r="F1340" s="27"/>
      <c r="G1340" s="27"/>
      <c r="H1340" s="27"/>
      <c r="I1340" s="27"/>
      <c r="J1340" s="27"/>
      <c r="K1340" s="27"/>
      <c r="L1340" s="27"/>
      <c r="M1340" s="27"/>
      <c r="N1340" s="24"/>
      <c r="O1340" s="24"/>
      <c r="P1340" s="24"/>
      <c r="Q1340" s="24"/>
      <c r="R1340" s="24"/>
      <c r="S1340" s="24"/>
      <c r="T1340" s="24"/>
      <c r="U1340" s="27"/>
      <c r="V1340" s="27"/>
      <c r="W1340" s="24"/>
      <c r="X1340" s="24"/>
    </row>
    <row r="1341" spans="1:24" ht="14.25" customHeight="1" x14ac:dyDescent="0.25">
      <c r="A1341" s="27"/>
      <c r="B1341" s="27"/>
      <c r="C1341" s="24"/>
      <c r="D1341" s="24"/>
      <c r="E1341" s="27"/>
      <c r="F1341" s="27"/>
      <c r="G1341" s="27"/>
      <c r="H1341" s="27"/>
      <c r="I1341" s="27"/>
      <c r="J1341" s="27"/>
      <c r="K1341" s="27"/>
      <c r="L1341" s="27"/>
      <c r="M1341" s="27"/>
      <c r="N1341" s="24"/>
      <c r="O1341" s="24"/>
      <c r="P1341" s="24"/>
      <c r="Q1341" s="24"/>
      <c r="R1341" s="24"/>
      <c r="S1341" s="24"/>
      <c r="T1341" s="24"/>
      <c r="U1341" s="27"/>
      <c r="V1341" s="27"/>
      <c r="W1341" s="24"/>
      <c r="X1341" s="24"/>
    </row>
    <row r="1342" spans="1:24" ht="14.25" customHeight="1" x14ac:dyDescent="0.25">
      <c r="A1342" s="27"/>
      <c r="B1342" s="27"/>
      <c r="C1342" s="24"/>
      <c r="D1342" s="24"/>
      <c r="E1342" s="27"/>
      <c r="F1342" s="27"/>
      <c r="G1342" s="27"/>
      <c r="H1342" s="27"/>
      <c r="I1342" s="27"/>
      <c r="J1342" s="27"/>
      <c r="K1342" s="27"/>
      <c r="L1342" s="27"/>
      <c r="M1342" s="27"/>
      <c r="N1342" s="24"/>
      <c r="O1342" s="24"/>
      <c r="P1342" s="24"/>
      <c r="Q1342" s="24"/>
      <c r="R1342" s="24"/>
      <c r="S1342" s="24"/>
      <c r="T1342" s="24"/>
      <c r="U1342" s="27"/>
      <c r="V1342" s="27"/>
      <c r="W1342" s="24"/>
      <c r="X1342" s="24"/>
    </row>
    <row r="1343" spans="1:24" ht="14.25" customHeight="1" x14ac:dyDescent="0.25">
      <c r="A1343" s="27"/>
      <c r="B1343" s="27"/>
      <c r="C1343" s="24"/>
      <c r="D1343" s="24"/>
      <c r="E1343" s="27"/>
      <c r="F1343" s="27"/>
      <c r="G1343" s="27"/>
      <c r="H1343" s="27"/>
      <c r="I1343" s="27"/>
      <c r="J1343" s="27"/>
      <c r="K1343" s="27"/>
      <c r="L1343" s="27"/>
      <c r="M1343" s="27"/>
      <c r="N1343" s="24"/>
      <c r="O1343" s="24"/>
      <c r="P1343" s="24"/>
      <c r="Q1343" s="24"/>
      <c r="R1343" s="24"/>
      <c r="S1343" s="24"/>
      <c r="T1343" s="24"/>
      <c r="U1343" s="27"/>
      <c r="V1343" s="27"/>
      <c r="W1343" s="24"/>
      <c r="X1343" s="24"/>
    </row>
    <row r="1344" spans="1:24" ht="14.25" customHeight="1" x14ac:dyDescent="0.25">
      <c r="A1344" s="27"/>
      <c r="B1344" s="27"/>
      <c r="C1344" s="24"/>
      <c r="D1344" s="24"/>
      <c r="E1344" s="27"/>
      <c r="F1344" s="27"/>
      <c r="G1344" s="27"/>
      <c r="H1344" s="27"/>
      <c r="I1344" s="27"/>
      <c r="J1344" s="27"/>
      <c r="K1344" s="27"/>
      <c r="L1344" s="27"/>
      <c r="M1344" s="27"/>
      <c r="N1344" s="24"/>
      <c r="O1344" s="24"/>
      <c r="P1344" s="24"/>
      <c r="Q1344" s="24"/>
      <c r="R1344" s="24"/>
      <c r="S1344" s="24"/>
      <c r="T1344" s="24"/>
      <c r="U1344" s="27"/>
      <c r="V1344" s="27"/>
      <c r="W1344" s="24"/>
      <c r="X1344" s="24"/>
    </row>
    <row r="1345" spans="1:24" ht="14.25" customHeight="1" x14ac:dyDescent="0.25">
      <c r="A1345" s="27"/>
      <c r="B1345" s="27"/>
      <c r="C1345" s="24"/>
      <c r="D1345" s="24"/>
      <c r="E1345" s="27"/>
      <c r="F1345" s="27"/>
      <c r="G1345" s="27"/>
      <c r="H1345" s="27"/>
      <c r="I1345" s="27"/>
      <c r="J1345" s="27"/>
      <c r="K1345" s="27"/>
      <c r="L1345" s="27"/>
      <c r="M1345" s="27"/>
      <c r="N1345" s="24"/>
      <c r="O1345" s="24"/>
      <c r="P1345" s="24"/>
      <c r="Q1345" s="24"/>
      <c r="R1345" s="24"/>
      <c r="S1345" s="24"/>
      <c r="T1345" s="24"/>
      <c r="U1345" s="27"/>
      <c r="V1345" s="27"/>
      <c r="W1345" s="24"/>
      <c r="X1345" s="24"/>
    </row>
    <row r="1346" spans="1:24" ht="14.25" customHeight="1" x14ac:dyDescent="0.25">
      <c r="A1346" s="27"/>
      <c r="B1346" s="27"/>
      <c r="C1346" s="24"/>
      <c r="D1346" s="24"/>
      <c r="E1346" s="27"/>
      <c r="F1346" s="27"/>
      <c r="G1346" s="27"/>
      <c r="H1346" s="27"/>
      <c r="I1346" s="27"/>
      <c r="J1346" s="27"/>
      <c r="K1346" s="27"/>
      <c r="L1346" s="27"/>
      <c r="M1346" s="27"/>
      <c r="N1346" s="24"/>
      <c r="O1346" s="24"/>
      <c r="P1346" s="24"/>
      <c r="Q1346" s="24"/>
      <c r="R1346" s="24"/>
      <c r="S1346" s="24"/>
      <c r="T1346" s="24"/>
      <c r="U1346" s="27"/>
      <c r="V1346" s="27"/>
      <c r="W1346" s="24"/>
      <c r="X1346" s="24"/>
    </row>
    <row r="1347" spans="1:24" ht="14.25" customHeight="1" x14ac:dyDescent="0.25">
      <c r="A1347" s="27"/>
      <c r="B1347" s="27"/>
      <c r="C1347" s="24"/>
      <c r="D1347" s="24"/>
      <c r="E1347" s="27"/>
      <c r="F1347" s="27"/>
      <c r="G1347" s="27"/>
      <c r="H1347" s="27"/>
      <c r="I1347" s="27"/>
      <c r="J1347" s="27"/>
      <c r="K1347" s="27"/>
      <c r="L1347" s="27"/>
      <c r="M1347" s="27"/>
      <c r="N1347" s="24"/>
      <c r="O1347" s="24"/>
      <c r="P1347" s="24"/>
      <c r="Q1347" s="24"/>
      <c r="R1347" s="24"/>
      <c r="S1347" s="24"/>
      <c r="T1347" s="24"/>
      <c r="U1347" s="27"/>
      <c r="V1347" s="27"/>
      <c r="W1347" s="24"/>
      <c r="X1347" s="24"/>
    </row>
    <row r="1348" spans="1:24" ht="14.25" customHeight="1" x14ac:dyDescent="0.25">
      <c r="A1348" s="27"/>
      <c r="B1348" s="27"/>
      <c r="C1348" s="24"/>
      <c r="D1348" s="24"/>
      <c r="E1348" s="27"/>
      <c r="F1348" s="27"/>
      <c r="G1348" s="27"/>
      <c r="H1348" s="27"/>
      <c r="I1348" s="27"/>
      <c r="J1348" s="27"/>
      <c r="K1348" s="27"/>
      <c r="L1348" s="27"/>
      <c r="M1348" s="27"/>
      <c r="N1348" s="24"/>
      <c r="O1348" s="24"/>
      <c r="P1348" s="24"/>
      <c r="Q1348" s="24"/>
      <c r="R1348" s="24"/>
      <c r="S1348" s="24"/>
      <c r="T1348" s="24"/>
      <c r="U1348" s="27"/>
      <c r="V1348" s="27"/>
      <c r="W1348" s="24"/>
      <c r="X1348" s="24"/>
    </row>
    <row r="1349" spans="1:24" ht="14.25" customHeight="1" x14ac:dyDescent="0.25">
      <c r="A1349" s="27"/>
      <c r="B1349" s="27"/>
      <c r="C1349" s="24"/>
      <c r="D1349" s="24"/>
      <c r="E1349" s="27"/>
      <c r="F1349" s="27"/>
      <c r="G1349" s="27"/>
      <c r="H1349" s="27"/>
      <c r="I1349" s="27"/>
      <c r="J1349" s="27"/>
      <c r="K1349" s="27"/>
      <c r="L1349" s="27"/>
      <c r="M1349" s="27"/>
      <c r="N1349" s="24"/>
      <c r="O1349" s="24"/>
      <c r="P1349" s="24"/>
      <c r="Q1349" s="24"/>
      <c r="R1349" s="24"/>
      <c r="S1349" s="24"/>
      <c r="T1349" s="24"/>
      <c r="U1349" s="27"/>
      <c r="V1349" s="27"/>
      <c r="W1349" s="24"/>
      <c r="X1349" s="24"/>
    </row>
    <row r="1350" spans="1:24" ht="14.25" customHeight="1" x14ac:dyDescent="0.25">
      <c r="A1350" s="27"/>
      <c r="B1350" s="27"/>
      <c r="C1350" s="24"/>
      <c r="D1350" s="24"/>
      <c r="E1350" s="27"/>
      <c r="F1350" s="27"/>
      <c r="G1350" s="27"/>
      <c r="H1350" s="27"/>
      <c r="I1350" s="27"/>
      <c r="J1350" s="27"/>
      <c r="K1350" s="27"/>
      <c r="L1350" s="27"/>
      <c r="M1350" s="27"/>
      <c r="N1350" s="24"/>
      <c r="O1350" s="24"/>
      <c r="P1350" s="24"/>
      <c r="Q1350" s="24"/>
      <c r="R1350" s="24"/>
      <c r="S1350" s="24"/>
      <c r="T1350" s="24"/>
      <c r="U1350" s="27"/>
      <c r="V1350" s="27"/>
      <c r="W1350" s="24"/>
      <c r="X1350" s="24"/>
    </row>
    <row r="1351" spans="1:24" ht="14.25" customHeight="1" x14ac:dyDescent="0.25">
      <c r="A1351" s="27"/>
      <c r="B1351" s="27"/>
      <c r="C1351" s="24"/>
      <c r="D1351" s="24"/>
      <c r="E1351" s="27"/>
      <c r="F1351" s="27"/>
      <c r="G1351" s="27"/>
      <c r="H1351" s="27"/>
      <c r="I1351" s="27"/>
      <c r="J1351" s="27"/>
      <c r="K1351" s="27"/>
      <c r="L1351" s="27"/>
      <c r="M1351" s="27"/>
      <c r="N1351" s="24"/>
      <c r="O1351" s="24"/>
      <c r="P1351" s="24"/>
      <c r="Q1351" s="24"/>
      <c r="R1351" s="24"/>
      <c r="S1351" s="24"/>
      <c r="T1351" s="24"/>
      <c r="U1351" s="27"/>
      <c r="V1351" s="27"/>
      <c r="W1351" s="24"/>
      <c r="X1351" s="24"/>
    </row>
    <row r="1352" spans="1:24" ht="14.25" customHeight="1" x14ac:dyDescent="0.25">
      <c r="A1352" s="27"/>
      <c r="B1352" s="27"/>
      <c r="C1352" s="24"/>
      <c r="D1352" s="24"/>
      <c r="E1352" s="27"/>
      <c r="F1352" s="27"/>
      <c r="G1352" s="27"/>
      <c r="H1352" s="27"/>
      <c r="I1352" s="27"/>
      <c r="J1352" s="27"/>
      <c r="K1352" s="27"/>
      <c r="L1352" s="27"/>
      <c r="M1352" s="27"/>
      <c r="N1352" s="24"/>
      <c r="O1352" s="24"/>
      <c r="P1352" s="24"/>
      <c r="Q1352" s="24"/>
      <c r="R1352" s="24"/>
      <c r="S1352" s="24"/>
      <c r="T1352" s="24"/>
      <c r="U1352" s="27"/>
      <c r="V1352" s="27"/>
      <c r="W1352" s="24"/>
      <c r="X1352" s="24"/>
    </row>
    <row r="1353" spans="1:24" ht="14.25" customHeight="1" x14ac:dyDescent="0.25">
      <c r="A1353" s="27"/>
      <c r="B1353" s="27"/>
      <c r="C1353" s="24"/>
      <c r="D1353" s="24"/>
      <c r="E1353" s="27"/>
      <c r="F1353" s="27"/>
      <c r="G1353" s="27"/>
      <c r="H1353" s="27"/>
      <c r="I1353" s="27"/>
      <c r="J1353" s="27"/>
      <c r="K1353" s="27"/>
      <c r="L1353" s="27"/>
      <c r="M1353" s="27"/>
      <c r="N1353" s="24"/>
      <c r="O1353" s="24"/>
      <c r="P1353" s="24"/>
      <c r="Q1353" s="24"/>
      <c r="R1353" s="24"/>
      <c r="S1353" s="24"/>
      <c r="T1353" s="24"/>
      <c r="U1353" s="27"/>
      <c r="V1353" s="27"/>
      <c r="W1353" s="24"/>
      <c r="X1353" s="24"/>
    </row>
    <row r="1354" spans="1:24" ht="14.25" customHeight="1" x14ac:dyDescent="0.25">
      <c r="A1354" s="27"/>
      <c r="B1354" s="27"/>
      <c r="C1354" s="24"/>
      <c r="D1354" s="24"/>
      <c r="E1354" s="27"/>
      <c r="F1354" s="27"/>
      <c r="G1354" s="27"/>
      <c r="H1354" s="27"/>
      <c r="I1354" s="27"/>
      <c r="J1354" s="27"/>
      <c r="K1354" s="27"/>
      <c r="L1354" s="27"/>
      <c r="M1354" s="27"/>
      <c r="N1354" s="24"/>
      <c r="O1354" s="24"/>
      <c r="P1354" s="24"/>
      <c r="Q1354" s="24"/>
      <c r="R1354" s="24"/>
      <c r="S1354" s="24"/>
      <c r="T1354" s="24"/>
      <c r="U1354" s="27"/>
      <c r="V1354" s="27"/>
      <c r="W1354" s="24"/>
      <c r="X1354" s="24"/>
    </row>
    <row r="1355" spans="1:24" ht="14.25" customHeight="1" x14ac:dyDescent="0.25">
      <c r="A1355" s="27"/>
      <c r="B1355" s="27"/>
      <c r="C1355" s="24"/>
      <c r="D1355" s="24"/>
      <c r="E1355" s="27"/>
      <c r="F1355" s="27"/>
      <c r="G1355" s="27"/>
      <c r="H1355" s="27"/>
      <c r="I1355" s="27"/>
      <c r="J1355" s="27"/>
      <c r="K1355" s="27"/>
      <c r="L1355" s="27"/>
      <c r="M1355" s="27"/>
      <c r="N1355" s="24"/>
      <c r="O1355" s="24"/>
      <c r="P1355" s="24"/>
      <c r="Q1355" s="24"/>
      <c r="R1355" s="24"/>
      <c r="S1355" s="24"/>
      <c r="T1355" s="24"/>
      <c r="U1355" s="27"/>
      <c r="V1355" s="27"/>
      <c r="W1355" s="24"/>
      <c r="X1355" s="24"/>
    </row>
    <row r="1356" spans="1:24" ht="14.25" customHeight="1" x14ac:dyDescent="0.25">
      <c r="A1356" s="27"/>
      <c r="B1356" s="27"/>
      <c r="C1356" s="24"/>
      <c r="D1356" s="24"/>
      <c r="E1356" s="27"/>
      <c r="F1356" s="27"/>
      <c r="G1356" s="27"/>
      <c r="H1356" s="27"/>
      <c r="I1356" s="27"/>
      <c r="J1356" s="27"/>
      <c r="K1356" s="27"/>
      <c r="L1356" s="27"/>
      <c r="M1356" s="27"/>
      <c r="N1356" s="24"/>
      <c r="O1356" s="24"/>
      <c r="P1356" s="24"/>
      <c r="Q1356" s="24"/>
      <c r="R1356" s="24"/>
      <c r="S1356" s="24"/>
      <c r="T1356" s="24"/>
      <c r="U1356" s="27"/>
      <c r="V1356" s="27"/>
      <c r="W1356" s="24"/>
      <c r="X1356" s="24"/>
    </row>
    <row r="1357" spans="1:24" ht="14.25" customHeight="1" x14ac:dyDescent="0.25">
      <c r="A1357" s="27"/>
      <c r="B1357" s="27"/>
      <c r="C1357" s="24"/>
      <c r="D1357" s="24"/>
      <c r="E1357" s="27"/>
      <c r="F1357" s="27"/>
      <c r="G1357" s="27"/>
      <c r="H1357" s="27"/>
      <c r="I1357" s="27"/>
      <c r="J1357" s="27"/>
      <c r="K1357" s="27"/>
      <c r="L1357" s="27"/>
      <c r="M1357" s="27"/>
      <c r="N1357" s="24"/>
      <c r="O1357" s="24"/>
      <c r="P1357" s="24"/>
      <c r="Q1357" s="24"/>
      <c r="R1357" s="24"/>
      <c r="S1357" s="24"/>
      <c r="T1357" s="24"/>
      <c r="U1357" s="27"/>
      <c r="V1357" s="27"/>
      <c r="W1357" s="24"/>
      <c r="X1357" s="24"/>
    </row>
    <row r="1358" spans="1:24" ht="14.25" customHeight="1" x14ac:dyDescent="0.25">
      <c r="A1358" s="27"/>
      <c r="B1358" s="27"/>
      <c r="C1358" s="24"/>
      <c r="D1358" s="24"/>
      <c r="E1358" s="27"/>
      <c r="F1358" s="27"/>
      <c r="G1358" s="27"/>
      <c r="H1358" s="27"/>
      <c r="I1358" s="27"/>
      <c r="J1358" s="27"/>
      <c r="K1358" s="27"/>
      <c r="L1358" s="27"/>
      <c r="M1358" s="27"/>
      <c r="N1358" s="24"/>
      <c r="O1358" s="24"/>
      <c r="P1358" s="24"/>
      <c r="Q1358" s="24"/>
      <c r="R1358" s="24"/>
      <c r="S1358" s="24"/>
      <c r="T1358" s="24"/>
      <c r="U1358" s="27"/>
      <c r="V1358" s="27"/>
      <c r="W1358" s="24"/>
      <c r="X1358" s="24"/>
    </row>
    <row r="1359" spans="1:24" ht="14.25" customHeight="1" x14ac:dyDescent="0.25">
      <c r="A1359" s="27"/>
      <c r="B1359" s="27"/>
      <c r="C1359" s="24"/>
      <c r="D1359" s="24"/>
      <c r="E1359" s="27"/>
      <c r="F1359" s="27"/>
      <c r="G1359" s="27"/>
      <c r="H1359" s="27"/>
      <c r="I1359" s="27"/>
      <c r="J1359" s="27"/>
      <c r="K1359" s="27"/>
      <c r="L1359" s="27"/>
      <c r="M1359" s="27"/>
      <c r="N1359" s="24"/>
      <c r="O1359" s="24"/>
      <c r="P1359" s="24"/>
      <c r="Q1359" s="24"/>
      <c r="R1359" s="24"/>
      <c r="S1359" s="24"/>
      <c r="T1359" s="24"/>
      <c r="U1359" s="27"/>
      <c r="V1359" s="27"/>
      <c r="W1359" s="24"/>
      <c r="X1359" s="24"/>
    </row>
    <row r="1360" spans="1:24" ht="14.25" customHeight="1" x14ac:dyDescent="0.25">
      <c r="A1360" s="27"/>
      <c r="B1360" s="27"/>
      <c r="C1360" s="24"/>
      <c r="D1360" s="24"/>
      <c r="E1360" s="27"/>
      <c r="F1360" s="27"/>
      <c r="G1360" s="27"/>
      <c r="H1360" s="27"/>
      <c r="I1360" s="27"/>
      <c r="J1360" s="27"/>
      <c r="K1360" s="27"/>
      <c r="L1360" s="27"/>
      <c r="M1360" s="27"/>
      <c r="N1360" s="24"/>
      <c r="O1360" s="24"/>
      <c r="P1360" s="24"/>
      <c r="Q1360" s="24"/>
      <c r="R1360" s="24"/>
      <c r="S1360" s="24"/>
      <c r="T1360" s="24"/>
      <c r="U1360" s="27"/>
      <c r="V1360" s="27"/>
      <c r="W1360" s="24"/>
      <c r="X1360" s="24"/>
    </row>
    <row r="1361" spans="1:24" ht="14.25" customHeight="1" x14ac:dyDescent="0.25">
      <c r="A1361" s="27"/>
      <c r="B1361" s="27"/>
      <c r="C1361" s="24"/>
      <c r="D1361" s="24"/>
      <c r="E1361" s="27"/>
      <c r="F1361" s="27"/>
      <c r="G1361" s="27"/>
      <c r="H1361" s="27"/>
      <c r="I1361" s="27"/>
      <c r="J1361" s="27"/>
      <c r="K1361" s="27"/>
      <c r="L1361" s="27"/>
      <c r="M1361" s="27"/>
      <c r="N1361" s="24"/>
      <c r="O1361" s="24"/>
      <c r="P1361" s="24"/>
      <c r="Q1361" s="24"/>
      <c r="R1361" s="24"/>
      <c r="S1361" s="24"/>
      <c r="T1361" s="24"/>
      <c r="U1361" s="27"/>
      <c r="V1361" s="27"/>
      <c r="W1361" s="24"/>
      <c r="X1361" s="24"/>
    </row>
    <row r="1362" spans="1:24" ht="14.25" customHeight="1" x14ac:dyDescent="0.25">
      <c r="A1362" s="27"/>
      <c r="B1362" s="27"/>
      <c r="C1362" s="24"/>
      <c r="D1362" s="24"/>
      <c r="E1362" s="27"/>
      <c r="F1362" s="27"/>
      <c r="G1362" s="27"/>
      <c r="H1362" s="27"/>
      <c r="I1362" s="27"/>
      <c r="J1362" s="27"/>
      <c r="K1362" s="27"/>
      <c r="L1362" s="27"/>
      <c r="M1362" s="27"/>
      <c r="N1362" s="24"/>
      <c r="O1362" s="24"/>
      <c r="P1362" s="24"/>
      <c r="Q1362" s="24"/>
      <c r="R1362" s="24"/>
      <c r="S1362" s="24"/>
      <c r="T1362" s="24"/>
      <c r="U1362" s="27"/>
      <c r="V1362" s="27"/>
      <c r="W1362" s="24"/>
      <c r="X1362" s="24"/>
    </row>
    <row r="1363" spans="1:24" ht="14.25" customHeight="1" x14ac:dyDescent="0.25">
      <c r="A1363" s="27"/>
      <c r="B1363" s="27"/>
      <c r="C1363" s="24"/>
      <c r="D1363" s="24"/>
      <c r="E1363" s="27"/>
      <c r="F1363" s="27"/>
      <c r="G1363" s="27"/>
      <c r="H1363" s="27"/>
      <c r="I1363" s="27"/>
      <c r="J1363" s="27"/>
      <c r="K1363" s="27"/>
      <c r="L1363" s="27"/>
      <c r="M1363" s="27"/>
      <c r="N1363" s="24"/>
      <c r="O1363" s="24"/>
      <c r="P1363" s="24"/>
      <c r="Q1363" s="24"/>
      <c r="R1363" s="24"/>
      <c r="S1363" s="24"/>
      <c r="T1363" s="24"/>
      <c r="U1363" s="27"/>
      <c r="V1363" s="27"/>
      <c r="W1363" s="24"/>
      <c r="X1363" s="24"/>
    </row>
    <row r="1364" spans="1:24" ht="14.25" customHeight="1" x14ac:dyDescent="0.25">
      <c r="A1364" s="27"/>
      <c r="B1364" s="27"/>
      <c r="C1364" s="24"/>
      <c r="D1364" s="24"/>
      <c r="E1364" s="27"/>
      <c r="F1364" s="27"/>
      <c r="G1364" s="27"/>
      <c r="H1364" s="27"/>
      <c r="I1364" s="27"/>
      <c r="J1364" s="27"/>
      <c r="K1364" s="27"/>
      <c r="L1364" s="27"/>
      <c r="M1364" s="27"/>
      <c r="N1364" s="24"/>
      <c r="O1364" s="24"/>
      <c r="P1364" s="24"/>
      <c r="Q1364" s="24"/>
      <c r="R1364" s="24"/>
      <c r="S1364" s="24"/>
      <c r="T1364" s="24"/>
      <c r="U1364" s="27"/>
      <c r="V1364" s="27"/>
      <c r="W1364" s="24"/>
      <c r="X1364" s="24"/>
    </row>
    <row r="1365" spans="1:24" ht="14.25" customHeight="1" x14ac:dyDescent="0.25">
      <c r="A1365" s="27"/>
      <c r="B1365" s="27"/>
      <c r="C1365" s="24"/>
      <c r="D1365" s="24"/>
      <c r="E1365" s="27"/>
      <c r="F1365" s="27"/>
      <c r="G1365" s="27"/>
      <c r="H1365" s="27"/>
      <c r="I1365" s="27"/>
      <c r="J1365" s="27"/>
      <c r="K1365" s="27"/>
      <c r="L1365" s="27"/>
      <c r="M1365" s="27"/>
      <c r="N1365" s="24"/>
      <c r="O1365" s="24"/>
      <c r="P1365" s="24"/>
      <c r="Q1365" s="24"/>
      <c r="R1365" s="24"/>
      <c r="S1365" s="24"/>
      <c r="T1365" s="24"/>
      <c r="U1365" s="27"/>
      <c r="V1365" s="27"/>
      <c r="W1365" s="24"/>
      <c r="X1365" s="24"/>
    </row>
    <row r="1366" spans="1:24" ht="14.25" customHeight="1" x14ac:dyDescent="0.25">
      <c r="A1366" s="27"/>
      <c r="B1366" s="27"/>
      <c r="C1366" s="24"/>
      <c r="D1366" s="24"/>
      <c r="E1366" s="27"/>
      <c r="F1366" s="27"/>
      <c r="G1366" s="27"/>
      <c r="H1366" s="27"/>
      <c r="I1366" s="27"/>
      <c r="J1366" s="27"/>
      <c r="K1366" s="27"/>
      <c r="L1366" s="27"/>
      <c r="M1366" s="27"/>
      <c r="N1366" s="24"/>
      <c r="O1366" s="24"/>
      <c r="P1366" s="24"/>
      <c r="Q1366" s="24"/>
      <c r="R1366" s="24"/>
      <c r="S1366" s="24"/>
      <c r="T1366" s="24"/>
      <c r="U1366" s="27"/>
      <c r="V1366" s="27"/>
      <c r="W1366" s="24"/>
      <c r="X1366" s="24"/>
    </row>
    <row r="1367" spans="1:24" ht="14.25" customHeight="1" x14ac:dyDescent="0.25">
      <c r="A1367" s="27"/>
      <c r="B1367" s="27"/>
      <c r="C1367" s="24"/>
      <c r="D1367" s="24"/>
      <c r="E1367" s="27"/>
      <c r="F1367" s="27"/>
      <c r="G1367" s="27"/>
      <c r="H1367" s="27"/>
      <c r="I1367" s="27"/>
      <c r="J1367" s="27"/>
      <c r="K1367" s="27"/>
      <c r="L1367" s="27"/>
      <c r="M1367" s="27"/>
      <c r="N1367" s="24"/>
      <c r="O1367" s="24"/>
      <c r="P1367" s="24"/>
      <c r="Q1367" s="24"/>
      <c r="R1367" s="24"/>
      <c r="S1367" s="24"/>
      <c r="T1367" s="24"/>
      <c r="U1367" s="27"/>
      <c r="V1367" s="27"/>
      <c r="W1367" s="24"/>
      <c r="X1367" s="24"/>
    </row>
    <row r="1368" spans="1:24" ht="14.25" customHeight="1" x14ac:dyDescent="0.25">
      <c r="A1368" s="27"/>
      <c r="B1368" s="27"/>
      <c r="C1368" s="24"/>
      <c r="D1368" s="24"/>
      <c r="E1368" s="27"/>
      <c r="F1368" s="27"/>
      <c r="G1368" s="27"/>
      <c r="H1368" s="27"/>
      <c r="I1368" s="27"/>
      <c r="J1368" s="27"/>
      <c r="K1368" s="27"/>
      <c r="L1368" s="27"/>
      <c r="M1368" s="27"/>
      <c r="N1368" s="24"/>
      <c r="O1368" s="24"/>
      <c r="P1368" s="24"/>
      <c r="Q1368" s="24"/>
      <c r="R1368" s="24"/>
      <c r="S1368" s="24"/>
      <c r="T1368" s="24"/>
      <c r="U1368" s="27"/>
      <c r="V1368" s="27"/>
      <c r="W1368" s="24"/>
      <c r="X1368" s="24"/>
    </row>
    <row r="1369" spans="1:24" ht="14.25" customHeight="1" x14ac:dyDescent="0.25">
      <c r="A1369" s="27"/>
      <c r="B1369" s="27"/>
      <c r="C1369" s="24"/>
      <c r="D1369" s="24"/>
      <c r="E1369" s="27"/>
      <c r="F1369" s="27"/>
      <c r="G1369" s="27"/>
      <c r="H1369" s="27"/>
      <c r="I1369" s="27"/>
      <c r="J1369" s="27"/>
      <c r="K1369" s="27"/>
      <c r="L1369" s="27"/>
      <c r="M1369" s="27"/>
      <c r="N1369" s="24"/>
      <c r="O1369" s="24"/>
      <c r="P1369" s="24"/>
      <c r="Q1369" s="24"/>
      <c r="R1369" s="24"/>
      <c r="S1369" s="24"/>
      <c r="T1369" s="24"/>
      <c r="U1369" s="27"/>
      <c r="V1369" s="27"/>
      <c r="W1369" s="24"/>
      <c r="X1369" s="24"/>
    </row>
    <row r="1370" spans="1:24" ht="14.25" customHeight="1" x14ac:dyDescent="0.25">
      <c r="A1370" s="27"/>
      <c r="B1370" s="27"/>
      <c r="C1370" s="24"/>
      <c r="D1370" s="24"/>
      <c r="E1370" s="27"/>
      <c r="F1370" s="27"/>
      <c r="G1370" s="27"/>
      <c r="H1370" s="27"/>
      <c r="I1370" s="27"/>
      <c r="J1370" s="27"/>
      <c r="K1370" s="27"/>
      <c r="L1370" s="27"/>
      <c r="M1370" s="27"/>
      <c r="N1370" s="24"/>
      <c r="O1370" s="24"/>
      <c r="P1370" s="24"/>
      <c r="Q1370" s="24"/>
      <c r="R1370" s="24"/>
      <c r="S1370" s="24"/>
      <c r="T1370" s="24"/>
      <c r="U1370" s="27"/>
      <c r="V1370" s="27"/>
      <c r="W1370" s="24"/>
      <c r="X1370" s="24"/>
    </row>
    <row r="1371" spans="1:24" ht="14.25" customHeight="1" x14ac:dyDescent="0.25">
      <c r="A1371" s="27"/>
      <c r="B1371" s="27"/>
      <c r="C1371" s="24"/>
      <c r="D1371" s="24"/>
      <c r="E1371" s="27"/>
      <c r="F1371" s="27"/>
      <c r="G1371" s="27"/>
      <c r="H1371" s="27"/>
      <c r="I1371" s="27"/>
      <c r="J1371" s="27"/>
      <c r="K1371" s="27"/>
      <c r="L1371" s="27"/>
      <c r="M1371" s="27"/>
      <c r="N1371" s="24"/>
      <c r="O1371" s="24"/>
      <c r="P1371" s="24"/>
      <c r="Q1371" s="24"/>
      <c r="R1371" s="24"/>
      <c r="S1371" s="24"/>
      <c r="T1371" s="24"/>
      <c r="U1371" s="27"/>
      <c r="V1371" s="27"/>
      <c r="W1371" s="24"/>
      <c r="X1371" s="24"/>
    </row>
    <row r="1372" spans="1:24" ht="14.25" customHeight="1" x14ac:dyDescent="0.25">
      <c r="A1372" s="27"/>
      <c r="B1372" s="27"/>
      <c r="C1372" s="24"/>
      <c r="D1372" s="24"/>
      <c r="E1372" s="27"/>
      <c r="F1372" s="27"/>
      <c r="G1372" s="27"/>
      <c r="H1372" s="27"/>
      <c r="I1372" s="27"/>
      <c r="J1372" s="27"/>
      <c r="K1372" s="27"/>
      <c r="L1372" s="27"/>
      <c r="M1372" s="27"/>
      <c r="N1372" s="24"/>
      <c r="O1372" s="24"/>
      <c r="P1372" s="24"/>
      <c r="Q1372" s="24"/>
      <c r="R1372" s="24"/>
      <c r="S1372" s="24"/>
      <c r="T1372" s="24"/>
      <c r="U1372" s="27"/>
      <c r="V1372" s="27"/>
      <c r="W1372" s="24"/>
      <c r="X1372" s="24"/>
    </row>
    <row r="1373" spans="1:24" ht="14.25" customHeight="1" x14ac:dyDescent="0.25">
      <c r="A1373" s="27"/>
      <c r="B1373" s="27"/>
      <c r="C1373" s="24"/>
      <c r="D1373" s="24"/>
      <c r="E1373" s="27"/>
      <c r="F1373" s="27"/>
      <c r="G1373" s="27"/>
      <c r="H1373" s="27"/>
      <c r="I1373" s="27"/>
      <c r="J1373" s="27"/>
      <c r="K1373" s="27"/>
      <c r="L1373" s="27"/>
      <c r="M1373" s="27"/>
      <c r="N1373" s="24"/>
      <c r="O1373" s="24"/>
      <c r="P1373" s="24"/>
      <c r="Q1373" s="24"/>
      <c r="R1373" s="24"/>
      <c r="S1373" s="24"/>
      <c r="T1373" s="24"/>
      <c r="U1373" s="27"/>
      <c r="V1373" s="27"/>
      <c r="W1373" s="24"/>
      <c r="X1373" s="24"/>
    </row>
    <row r="1374" spans="1:24" ht="14.25" customHeight="1" x14ac:dyDescent="0.25">
      <c r="A1374" s="27"/>
      <c r="B1374" s="27"/>
      <c r="C1374" s="24"/>
      <c r="D1374" s="24"/>
      <c r="E1374" s="27"/>
      <c r="F1374" s="27"/>
      <c r="G1374" s="27"/>
      <c r="H1374" s="27"/>
      <c r="I1374" s="27"/>
      <c r="J1374" s="27"/>
      <c r="K1374" s="27"/>
      <c r="L1374" s="27"/>
      <c r="M1374" s="27"/>
      <c r="N1374" s="24"/>
      <c r="O1374" s="24"/>
      <c r="P1374" s="24"/>
      <c r="Q1374" s="24"/>
      <c r="R1374" s="24"/>
      <c r="S1374" s="24"/>
      <c r="T1374" s="24"/>
      <c r="U1374" s="27"/>
      <c r="V1374" s="27"/>
      <c r="W1374" s="24"/>
      <c r="X1374" s="24"/>
    </row>
    <row r="1375" spans="1:24" ht="14.25" customHeight="1" x14ac:dyDescent="0.25">
      <c r="A1375" s="27"/>
      <c r="B1375" s="27"/>
      <c r="C1375" s="24"/>
      <c r="D1375" s="24"/>
      <c r="E1375" s="27"/>
      <c r="F1375" s="27"/>
      <c r="G1375" s="27"/>
      <c r="H1375" s="27"/>
      <c r="I1375" s="27"/>
      <c r="J1375" s="27"/>
      <c r="K1375" s="27"/>
      <c r="L1375" s="27"/>
      <c r="M1375" s="27"/>
      <c r="N1375" s="24"/>
      <c r="O1375" s="24"/>
      <c r="P1375" s="24"/>
      <c r="Q1375" s="24"/>
      <c r="R1375" s="24"/>
      <c r="S1375" s="24"/>
      <c r="T1375" s="24"/>
      <c r="U1375" s="27"/>
      <c r="V1375" s="27"/>
      <c r="W1375" s="24"/>
      <c r="X1375" s="24"/>
    </row>
    <row r="1376" spans="1:24" ht="14.25" customHeight="1" x14ac:dyDescent="0.25">
      <c r="A1376" s="27"/>
      <c r="B1376" s="27"/>
      <c r="C1376" s="24"/>
      <c r="D1376" s="24"/>
      <c r="E1376" s="27"/>
      <c r="F1376" s="27"/>
      <c r="G1376" s="27"/>
      <c r="H1376" s="27"/>
      <c r="I1376" s="27"/>
      <c r="J1376" s="27"/>
      <c r="K1376" s="27"/>
      <c r="L1376" s="27"/>
      <c r="M1376" s="27"/>
      <c r="N1376" s="24"/>
      <c r="O1376" s="24"/>
      <c r="P1376" s="24"/>
      <c r="Q1376" s="24"/>
      <c r="R1376" s="24"/>
      <c r="S1376" s="24"/>
      <c r="T1376" s="24"/>
      <c r="U1376" s="27"/>
      <c r="V1376" s="27"/>
      <c r="W1376" s="24"/>
      <c r="X1376" s="24"/>
    </row>
    <row r="1377" spans="1:24" ht="14.25" customHeight="1" x14ac:dyDescent="0.25">
      <c r="A1377" s="27"/>
      <c r="B1377" s="27"/>
      <c r="C1377" s="24"/>
      <c r="D1377" s="24"/>
      <c r="E1377" s="27"/>
      <c r="F1377" s="27"/>
      <c r="G1377" s="27"/>
      <c r="H1377" s="27"/>
      <c r="I1377" s="27"/>
      <c r="J1377" s="27"/>
      <c r="K1377" s="27"/>
      <c r="L1377" s="27"/>
      <c r="M1377" s="27"/>
      <c r="N1377" s="24"/>
      <c r="O1377" s="24"/>
      <c r="P1377" s="24"/>
      <c r="Q1377" s="24"/>
      <c r="R1377" s="24"/>
      <c r="S1377" s="24"/>
      <c r="T1377" s="24"/>
      <c r="U1377" s="27"/>
      <c r="V1377" s="27"/>
      <c r="W1377" s="24"/>
      <c r="X1377" s="24"/>
    </row>
    <row r="1378" spans="1:24" ht="14.25" customHeight="1" x14ac:dyDescent="0.25">
      <c r="A1378" s="27"/>
      <c r="B1378" s="27"/>
      <c r="C1378" s="24"/>
      <c r="D1378" s="24"/>
      <c r="E1378" s="27"/>
      <c r="F1378" s="27"/>
      <c r="G1378" s="27"/>
      <c r="H1378" s="27"/>
      <c r="I1378" s="27"/>
      <c r="J1378" s="27"/>
      <c r="K1378" s="27"/>
      <c r="L1378" s="27"/>
      <c r="M1378" s="27"/>
      <c r="N1378" s="24"/>
      <c r="O1378" s="24"/>
      <c r="P1378" s="24"/>
      <c r="Q1378" s="24"/>
      <c r="R1378" s="24"/>
      <c r="S1378" s="24"/>
      <c r="T1378" s="24"/>
      <c r="U1378" s="27"/>
      <c r="V1378" s="27"/>
      <c r="W1378" s="24"/>
      <c r="X1378" s="24"/>
    </row>
    <row r="1379" spans="1:24" ht="14.25" customHeight="1" x14ac:dyDescent="0.25">
      <c r="A1379" s="27"/>
      <c r="B1379" s="27"/>
      <c r="C1379" s="24"/>
      <c r="D1379" s="24"/>
      <c r="E1379" s="27"/>
      <c r="F1379" s="27"/>
      <c r="G1379" s="27"/>
      <c r="H1379" s="27"/>
      <c r="I1379" s="27"/>
      <c r="J1379" s="27"/>
      <c r="K1379" s="27"/>
      <c r="L1379" s="27"/>
      <c r="M1379" s="27"/>
      <c r="N1379" s="24"/>
      <c r="O1379" s="24"/>
      <c r="P1379" s="24"/>
      <c r="Q1379" s="24"/>
      <c r="R1379" s="24"/>
      <c r="S1379" s="24"/>
      <c r="T1379" s="24"/>
      <c r="U1379" s="27"/>
      <c r="V1379" s="27"/>
      <c r="W1379" s="24"/>
      <c r="X1379" s="24"/>
    </row>
    <row r="1380" spans="1:24" ht="14.25" customHeight="1" x14ac:dyDescent="0.25">
      <c r="A1380" s="27"/>
      <c r="B1380" s="27"/>
      <c r="C1380" s="24"/>
      <c r="D1380" s="24"/>
      <c r="E1380" s="27"/>
      <c r="F1380" s="27"/>
      <c r="G1380" s="27"/>
      <c r="H1380" s="27"/>
      <c r="I1380" s="27"/>
      <c r="J1380" s="27"/>
      <c r="K1380" s="27"/>
      <c r="L1380" s="27"/>
      <c r="M1380" s="27"/>
      <c r="N1380" s="24"/>
      <c r="O1380" s="24"/>
      <c r="P1380" s="24"/>
      <c r="Q1380" s="24"/>
      <c r="R1380" s="24"/>
      <c r="S1380" s="24"/>
      <c r="T1380" s="24"/>
      <c r="U1380" s="27"/>
      <c r="V1380" s="27"/>
      <c r="W1380" s="24"/>
      <c r="X1380" s="24"/>
    </row>
    <row r="1381" spans="1:24" ht="14.25" customHeight="1" x14ac:dyDescent="0.25">
      <c r="A1381" s="27"/>
      <c r="B1381" s="27"/>
      <c r="C1381" s="24"/>
      <c r="D1381" s="24"/>
      <c r="E1381" s="27"/>
      <c r="F1381" s="27"/>
      <c r="G1381" s="27"/>
      <c r="H1381" s="27"/>
      <c r="I1381" s="27"/>
      <c r="J1381" s="27"/>
      <c r="K1381" s="27"/>
      <c r="L1381" s="27"/>
      <c r="M1381" s="27"/>
      <c r="N1381" s="24"/>
      <c r="O1381" s="24"/>
      <c r="P1381" s="24"/>
      <c r="Q1381" s="24"/>
      <c r="R1381" s="24"/>
      <c r="S1381" s="24"/>
      <c r="T1381" s="24"/>
      <c r="U1381" s="27"/>
      <c r="V1381" s="27"/>
      <c r="W1381" s="24"/>
      <c r="X1381" s="24"/>
    </row>
    <row r="1382" spans="1:24" ht="14.25" customHeight="1" x14ac:dyDescent="0.25">
      <c r="A1382" s="27"/>
      <c r="B1382" s="27"/>
      <c r="C1382" s="24"/>
      <c r="D1382" s="24"/>
      <c r="E1382" s="27"/>
      <c r="F1382" s="27"/>
      <c r="G1382" s="27"/>
      <c r="H1382" s="27"/>
      <c r="I1382" s="27"/>
      <c r="J1382" s="27"/>
      <c r="K1382" s="27"/>
      <c r="L1382" s="27"/>
      <c r="M1382" s="27"/>
      <c r="N1382" s="24"/>
      <c r="O1382" s="24"/>
      <c r="P1382" s="24"/>
      <c r="Q1382" s="24"/>
      <c r="R1382" s="24"/>
      <c r="S1382" s="24"/>
      <c r="T1382" s="24"/>
      <c r="U1382" s="27"/>
      <c r="V1382" s="27"/>
      <c r="W1382" s="24"/>
      <c r="X1382" s="24"/>
    </row>
    <row r="1383" spans="1:24" ht="14.25" customHeight="1" x14ac:dyDescent="0.25">
      <c r="A1383" s="27"/>
      <c r="B1383" s="27"/>
      <c r="C1383" s="24"/>
      <c r="D1383" s="24"/>
      <c r="E1383" s="27"/>
      <c r="F1383" s="27"/>
      <c r="G1383" s="27"/>
      <c r="H1383" s="27"/>
      <c r="I1383" s="27"/>
      <c r="J1383" s="27"/>
      <c r="K1383" s="27"/>
      <c r="L1383" s="27"/>
      <c r="M1383" s="27"/>
      <c r="N1383" s="24"/>
      <c r="O1383" s="24"/>
      <c r="P1383" s="24"/>
      <c r="Q1383" s="24"/>
      <c r="R1383" s="24"/>
      <c r="S1383" s="24"/>
      <c r="T1383" s="24"/>
      <c r="U1383" s="27"/>
      <c r="V1383" s="27"/>
      <c r="W1383" s="24"/>
      <c r="X1383" s="24"/>
    </row>
    <row r="1384" spans="1:24" ht="14.25" customHeight="1" x14ac:dyDescent="0.25">
      <c r="A1384" s="27"/>
      <c r="B1384" s="27"/>
      <c r="C1384" s="24"/>
      <c r="D1384" s="24"/>
      <c r="E1384" s="27"/>
      <c r="F1384" s="27"/>
      <c r="G1384" s="27"/>
      <c r="H1384" s="27"/>
      <c r="I1384" s="27"/>
      <c r="J1384" s="27"/>
      <c r="K1384" s="27"/>
      <c r="L1384" s="27"/>
      <c r="M1384" s="27"/>
      <c r="N1384" s="24"/>
      <c r="O1384" s="24"/>
      <c r="P1384" s="24"/>
      <c r="Q1384" s="24"/>
      <c r="R1384" s="24"/>
      <c r="S1384" s="24"/>
      <c r="T1384" s="24"/>
      <c r="U1384" s="27"/>
      <c r="V1384" s="27"/>
      <c r="W1384" s="24"/>
      <c r="X1384" s="24"/>
    </row>
    <row r="1385" spans="1:24" ht="14.25" customHeight="1" x14ac:dyDescent="0.25">
      <c r="A1385" s="27"/>
      <c r="B1385" s="27"/>
      <c r="C1385" s="24"/>
      <c r="D1385" s="24"/>
      <c r="E1385" s="27"/>
      <c r="F1385" s="27"/>
      <c r="G1385" s="27"/>
      <c r="H1385" s="27"/>
      <c r="I1385" s="27"/>
      <c r="J1385" s="27"/>
      <c r="K1385" s="27"/>
      <c r="L1385" s="27"/>
      <c r="M1385" s="27"/>
      <c r="N1385" s="24"/>
      <c r="O1385" s="24"/>
      <c r="P1385" s="24"/>
      <c r="Q1385" s="24"/>
      <c r="R1385" s="24"/>
      <c r="S1385" s="24"/>
      <c r="T1385" s="24"/>
      <c r="U1385" s="27"/>
      <c r="V1385" s="27"/>
      <c r="W1385" s="24"/>
      <c r="X1385" s="24"/>
    </row>
    <row r="1386" spans="1:24" ht="14.25" customHeight="1" x14ac:dyDescent="0.25">
      <c r="A1386" s="27"/>
      <c r="B1386" s="27"/>
      <c r="C1386" s="24"/>
      <c r="D1386" s="24"/>
      <c r="E1386" s="27"/>
      <c r="F1386" s="27"/>
      <c r="G1386" s="27"/>
      <c r="H1386" s="27"/>
      <c r="I1386" s="27"/>
      <c r="J1386" s="27"/>
      <c r="K1386" s="27"/>
      <c r="L1386" s="27"/>
      <c r="M1386" s="27"/>
      <c r="N1386" s="24"/>
      <c r="O1386" s="24"/>
      <c r="P1386" s="24"/>
      <c r="Q1386" s="24"/>
      <c r="R1386" s="24"/>
      <c r="S1386" s="24"/>
      <c r="T1386" s="24"/>
      <c r="U1386" s="27"/>
      <c r="V1386" s="27"/>
      <c r="W1386" s="24"/>
      <c r="X1386" s="24"/>
    </row>
    <row r="1387" spans="1:24" ht="14.25" customHeight="1" x14ac:dyDescent="0.25">
      <c r="A1387" s="27"/>
      <c r="B1387" s="27"/>
      <c r="C1387" s="24"/>
      <c r="D1387" s="24"/>
      <c r="E1387" s="27"/>
      <c r="F1387" s="27"/>
      <c r="G1387" s="27"/>
      <c r="H1387" s="27"/>
      <c r="I1387" s="27"/>
      <c r="J1387" s="27"/>
      <c r="K1387" s="27"/>
      <c r="L1387" s="27"/>
      <c r="M1387" s="27"/>
      <c r="N1387" s="24"/>
      <c r="O1387" s="24"/>
      <c r="P1387" s="24"/>
      <c r="Q1387" s="24"/>
      <c r="R1387" s="24"/>
      <c r="S1387" s="24"/>
      <c r="T1387" s="24"/>
      <c r="U1387" s="27"/>
      <c r="V1387" s="27"/>
      <c r="W1387" s="24"/>
      <c r="X1387" s="24"/>
    </row>
    <row r="1388" spans="1:24" ht="14.25" customHeight="1" x14ac:dyDescent="0.25">
      <c r="A1388" s="27"/>
      <c r="B1388" s="27"/>
      <c r="C1388" s="24"/>
      <c r="D1388" s="24"/>
      <c r="E1388" s="27"/>
      <c r="F1388" s="27"/>
      <c r="G1388" s="27"/>
      <c r="H1388" s="27"/>
      <c r="I1388" s="27"/>
      <c r="J1388" s="27"/>
      <c r="K1388" s="27"/>
      <c r="L1388" s="27"/>
      <c r="M1388" s="27"/>
      <c r="N1388" s="24"/>
      <c r="O1388" s="24"/>
      <c r="P1388" s="24"/>
      <c r="Q1388" s="24"/>
      <c r="R1388" s="24"/>
      <c r="S1388" s="24"/>
      <c r="T1388" s="24"/>
      <c r="U1388" s="27"/>
      <c r="V1388" s="27"/>
      <c r="W1388" s="24"/>
      <c r="X1388" s="24"/>
    </row>
    <row r="1389" spans="1:24" ht="14.25" customHeight="1" x14ac:dyDescent="0.25">
      <c r="A1389" s="27"/>
      <c r="B1389" s="27"/>
      <c r="C1389" s="24"/>
      <c r="D1389" s="24"/>
      <c r="E1389" s="27"/>
      <c r="F1389" s="27"/>
      <c r="G1389" s="27"/>
      <c r="H1389" s="27"/>
      <c r="I1389" s="27"/>
      <c r="J1389" s="27"/>
      <c r="K1389" s="27"/>
      <c r="L1389" s="27"/>
      <c r="M1389" s="27"/>
      <c r="N1389" s="24"/>
      <c r="O1389" s="24"/>
      <c r="P1389" s="24"/>
      <c r="Q1389" s="24"/>
      <c r="R1389" s="24"/>
      <c r="S1389" s="24"/>
      <c r="T1389" s="24"/>
      <c r="U1389" s="27"/>
      <c r="V1389" s="27"/>
      <c r="W1389" s="24"/>
      <c r="X1389" s="24"/>
    </row>
    <row r="1390" spans="1:24" ht="14.25" customHeight="1" x14ac:dyDescent="0.25">
      <c r="A1390" s="27"/>
      <c r="B1390" s="27"/>
      <c r="C1390" s="24"/>
      <c r="D1390" s="24"/>
      <c r="E1390" s="27"/>
      <c r="F1390" s="27"/>
      <c r="G1390" s="27"/>
      <c r="H1390" s="27"/>
      <c r="I1390" s="27"/>
      <c r="J1390" s="27"/>
      <c r="K1390" s="27"/>
      <c r="L1390" s="27"/>
      <c r="M1390" s="27"/>
      <c r="N1390" s="24"/>
      <c r="O1390" s="24"/>
      <c r="P1390" s="24"/>
      <c r="Q1390" s="24"/>
      <c r="R1390" s="24"/>
      <c r="S1390" s="24"/>
      <c r="T1390" s="24"/>
      <c r="U1390" s="27"/>
      <c r="V1390" s="27"/>
      <c r="W1390" s="24"/>
      <c r="X1390" s="24"/>
    </row>
    <row r="1391" spans="1:24" ht="14.25" customHeight="1" x14ac:dyDescent="0.25">
      <c r="A1391" s="27"/>
      <c r="B1391" s="27"/>
      <c r="C1391" s="24"/>
      <c r="D1391" s="24"/>
      <c r="E1391" s="27"/>
      <c r="F1391" s="27"/>
      <c r="G1391" s="27"/>
      <c r="H1391" s="27"/>
      <c r="I1391" s="27"/>
      <c r="J1391" s="27"/>
      <c r="K1391" s="27"/>
      <c r="L1391" s="27"/>
      <c r="M1391" s="27"/>
      <c r="N1391" s="24"/>
      <c r="O1391" s="24"/>
      <c r="P1391" s="24"/>
      <c r="Q1391" s="24"/>
      <c r="R1391" s="24"/>
      <c r="S1391" s="24"/>
      <c r="T1391" s="24"/>
      <c r="U1391" s="27"/>
      <c r="V1391" s="27"/>
      <c r="W1391" s="24"/>
      <c r="X1391" s="24"/>
    </row>
    <row r="1392" spans="1:24" ht="14.25" customHeight="1" x14ac:dyDescent="0.25">
      <c r="A1392" s="27"/>
      <c r="B1392" s="27"/>
      <c r="C1392" s="24"/>
      <c r="D1392" s="24"/>
      <c r="E1392" s="27"/>
      <c r="F1392" s="27"/>
      <c r="G1392" s="27"/>
      <c r="H1392" s="27"/>
      <c r="I1392" s="27"/>
      <c r="J1392" s="27"/>
      <c r="K1392" s="27"/>
      <c r="L1392" s="27"/>
      <c r="M1392" s="27"/>
      <c r="N1392" s="24"/>
      <c r="O1392" s="24"/>
      <c r="P1392" s="24"/>
      <c r="Q1392" s="24"/>
      <c r="R1392" s="24"/>
      <c r="S1392" s="24"/>
      <c r="T1392" s="24"/>
      <c r="U1392" s="27"/>
      <c r="V1392" s="27"/>
      <c r="W1392" s="24"/>
      <c r="X1392" s="24"/>
    </row>
    <row r="1393" spans="1:24" ht="14.25" customHeight="1" x14ac:dyDescent="0.25">
      <c r="A1393" s="27"/>
      <c r="B1393" s="27"/>
      <c r="C1393" s="24"/>
      <c r="D1393" s="24"/>
      <c r="E1393" s="27"/>
      <c r="F1393" s="27"/>
      <c r="G1393" s="27"/>
      <c r="H1393" s="27"/>
      <c r="I1393" s="27"/>
      <c r="J1393" s="27"/>
      <c r="K1393" s="27"/>
      <c r="L1393" s="27"/>
      <c r="M1393" s="27"/>
      <c r="N1393" s="24"/>
      <c r="O1393" s="24"/>
      <c r="P1393" s="24"/>
      <c r="Q1393" s="24"/>
      <c r="R1393" s="24"/>
      <c r="S1393" s="24"/>
      <c r="T1393" s="24"/>
      <c r="U1393" s="27"/>
      <c r="V1393" s="27"/>
      <c r="W1393" s="24"/>
      <c r="X1393" s="24"/>
    </row>
    <row r="1394" spans="1:24" ht="14.25" customHeight="1" x14ac:dyDescent="0.25">
      <c r="A1394" s="27"/>
      <c r="B1394" s="27"/>
      <c r="C1394" s="24"/>
      <c r="D1394" s="24"/>
      <c r="E1394" s="27"/>
      <c r="F1394" s="27"/>
      <c r="G1394" s="27"/>
      <c r="H1394" s="27"/>
      <c r="I1394" s="27"/>
      <c r="J1394" s="27"/>
      <c r="K1394" s="27"/>
      <c r="L1394" s="27"/>
      <c r="M1394" s="27"/>
      <c r="N1394" s="24"/>
      <c r="O1394" s="24"/>
      <c r="P1394" s="24"/>
      <c r="Q1394" s="24"/>
      <c r="R1394" s="24"/>
      <c r="S1394" s="24"/>
      <c r="T1394" s="24"/>
      <c r="U1394" s="27"/>
      <c r="V1394" s="27"/>
      <c r="W1394" s="24"/>
      <c r="X1394" s="24"/>
    </row>
    <row r="1395" spans="1:24" ht="14.25" customHeight="1" x14ac:dyDescent="0.25">
      <c r="A1395" s="27"/>
      <c r="B1395" s="27"/>
      <c r="C1395" s="24"/>
      <c r="D1395" s="24"/>
      <c r="E1395" s="27"/>
      <c r="F1395" s="27"/>
      <c r="G1395" s="27"/>
      <c r="H1395" s="27"/>
      <c r="I1395" s="27"/>
      <c r="J1395" s="27"/>
      <c r="K1395" s="27"/>
      <c r="L1395" s="27"/>
      <c r="M1395" s="27"/>
      <c r="N1395" s="24"/>
      <c r="O1395" s="24"/>
      <c r="P1395" s="24"/>
      <c r="Q1395" s="24"/>
      <c r="R1395" s="24"/>
      <c r="S1395" s="24"/>
      <c r="T1395" s="24"/>
      <c r="U1395" s="27"/>
      <c r="V1395" s="27"/>
      <c r="W1395" s="24"/>
      <c r="X1395" s="24"/>
    </row>
    <row r="1396" spans="1:24" ht="14.25" customHeight="1" x14ac:dyDescent="0.25">
      <c r="A1396" s="27"/>
      <c r="B1396" s="27"/>
      <c r="C1396" s="24"/>
      <c r="D1396" s="24"/>
      <c r="E1396" s="27"/>
      <c r="F1396" s="27"/>
      <c r="G1396" s="27"/>
      <c r="H1396" s="27"/>
      <c r="I1396" s="27"/>
      <c r="J1396" s="27"/>
      <c r="K1396" s="27"/>
      <c r="L1396" s="27"/>
      <c r="M1396" s="27"/>
      <c r="N1396" s="24"/>
      <c r="O1396" s="24"/>
      <c r="P1396" s="24"/>
      <c r="Q1396" s="24"/>
      <c r="R1396" s="24"/>
      <c r="S1396" s="24"/>
      <c r="T1396" s="24"/>
      <c r="U1396" s="27"/>
      <c r="V1396" s="27"/>
      <c r="W1396" s="24"/>
      <c r="X1396" s="24"/>
    </row>
    <row r="1397" spans="1:24" ht="14.25" customHeight="1" x14ac:dyDescent="0.25">
      <c r="A1397" s="27"/>
      <c r="B1397" s="27"/>
      <c r="C1397" s="24"/>
      <c r="D1397" s="24"/>
      <c r="E1397" s="27"/>
      <c r="F1397" s="27"/>
      <c r="G1397" s="27"/>
      <c r="H1397" s="27"/>
      <c r="I1397" s="27"/>
      <c r="J1397" s="27"/>
      <c r="K1397" s="27"/>
      <c r="L1397" s="27"/>
      <c r="M1397" s="27"/>
      <c r="N1397" s="24"/>
      <c r="O1397" s="24"/>
      <c r="P1397" s="24"/>
      <c r="Q1397" s="24"/>
      <c r="R1397" s="24"/>
      <c r="S1397" s="24"/>
      <c r="T1397" s="24"/>
      <c r="U1397" s="27"/>
      <c r="V1397" s="27"/>
      <c r="W1397" s="24"/>
      <c r="X1397" s="24"/>
    </row>
    <row r="1398" spans="1:24" ht="14.25" customHeight="1" x14ac:dyDescent="0.25">
      <c r="A1398" s="27"/>
      <c r="B1398" s="27"/>
      <c r="C1398" s="24"/>
      <c r="D1398" s="24"/>
      <c r="E1398" s="27"/>
      <c r="F1398" s="27"/>
      <c r="G1398" s="27"/>
      <c r="H1398" s="27"/>
      <c r="I1398" s="27"/>
      <c r="J1398" s="27"/>
      <c r="K1398" s="27"/>
      <c r="L1398" s="27"/>
      <c r="M1398" s="27"/>
      <c r="N1398" s="24"/>
      <c r="O1398" s="24"/>
      <c r="P1398" s="24"/>
      <c r="Q1398" s="24"/>
      <c r="R1398" s="24"/>
      <c r="S1398" s="24"/>
      <c r="T1398" s="24"/>
      <c r="U1398" s="27"/>
      <c r="V1398" s="27"/>
      <c r="W1398" s="24"/>
      <c r="X1398" s="24"/>
    </row>
    <row r="1399" spans="1:24" ht="14.25" customHeight="1" x14ac:dyDescent="0.25">
      <c r="A1399" s="27"/>
      <c r="B1399" s="27"/>
      <c r="C1399" s="24"/>
      <c r="D1399" s="24"/>
      <c r="E1399" s="27"/>
      <c r="F1399" s="27"/>
      <c r="G1399" s="27"/>
      <c r="H1399" s="27"/>
      <c r="I1399" s="27"/>
      <c r="J1399" s="27"/>
      <c r="K1399" s="27"/>
      <c r="L1399" s="27"/>
      <c r="M1399" s="27"/>
      <c r="N1399" s="24"/>
      <c r="O1399" s="24"/>
      <c r="P1399" s="24"/>
      <c r="Q1399" s="24"/>
      <c r="R1399" s="24"/>
      <c r="S1399" s="24"/>
      <c r="T1399" s="24"/>
      <c r="U1399" s="27"/>
      <c r="V1399" s="27"/>
      <c r="W1399" s="24"/>
      <c r="X1399" s="24"/>
    </row>
    <row r="1400" spans="1:24" ht="14.25" customHeight="1" x14ac:dyDescent="0.25">
      <c r="A1400" s="27"/>
      <c r="B1400" s="27"/>
      <c r="C1400" s="24"/>
      <c r="D1400" s="24"/>
      <c r="E1400" s="27"/>
      <c r="F1400" s="27"/>
      <c r="G1400" s="27"/>
      <c r="H1400" s="27"/>
      <c r="I1400" s="27"/>
      <c r="J1400" s="27"/>
      <c r="K1400" s="27"/>
      <c r="L1400" s="27"/>
      <c r="M1400" s="27"/>
      <c r="N1400" s="24"/>
      <c r="O1400" s="24"/>
      <c r="P1400" s="24"/>
      <c r="Q1400" s="24"/>
      <c r="R1400" s="24"/>
      <c r="S1400" s="24"/>
      <c r="T1400" s="24"/>
      <c r="U1400" s="27"/>
      <c r="V1400" s="27"/>
      <c r="W1400" s="24"/>
      <c r="X1400" s="24"/>
    </row>
    <row r="1401" spans="1:24" ht="14.25" customHeight="1" x14ac:dyDescent="0.25">
      <c r="A1401" s="27"/>
      <c r="B1401" s="27"/>
      <c r="C1401" s="24"/>
      <c r="D1401" s="24"/>
      <c r="E1401" s="27"/>
      <c r="F1401" s="27"/>
      <c r="G1401" s="27"/>
      <c r="H1401" s="27"/>
      <c r="I1401" s="27"/>
      <c r="J1401" s="27"/>
      <c r="K1401" s="27"/>
      <c r="L1401" s="27"/>
      <c r="M1401" s="27"/>
      <c r="N1401" s="24"/>
      <c r="O1401" s="24"/>
      <c r="P1401" s="24"/>
      <c r="Q1401" s="24"/>
      <c r="R1401" s="24"/>
      <c r="S1401" s="24"/>
      <c r="T1401" s="24"/>
      <c r="U1401" s="27"/>
      <c r="V1401" s="27"/>
      <c r="W1401" s="24"/>
      <c r="X1401" s="24"/>
    </row>
    <row r="1402" spans="1:24" ht="14.25" customHeight="1" x14ac:dyDescent="0.25">
      <c r="A1402" s="27"/>
      <c r="B1402" s="27"/>
      <c r="C1402" s="24"/>
      <c r="D1402" s="24"/>
      <c r="E1402" s="27"/>
      <c r="F1402" s="27"/>
      <c r="G1402" s="27"/>
      <c r="H1402" s="27"/>
      <c r="I1402" s="27"/>
      <c r="J1402" s="27"/>
      <c r="K1402" s="27"/>
      <c r="L1402" s="27"/>
      <c r="M1402" s="27"/>
      <c r="N1402" s="24"/>
      <c r="O1402" s="24"/>
      <c r="P1402" s="24"/>
      <c r="Q1402" s="24"/>
      <c r="R1402" s="24"/>
      <c r="S1402" s="24"/>
      <c r="T1402" s="24"/>
      <c r="U1402" s="27"/>
      <c r="V1402" s="27"/>
      <c r="W1402" s="24"/>
      <c r="X1402" s="24"/>
    </row>
    <row r="1403" spans="1:24" ht="14.25" customHeight="1" x14ac:dyDescent="0.25">
      <c r="A1403" s="27"/>
      <c r="B1403" s="27"/>
      <c r="C1403" s="24"/>
      <c r="D1403" s="24"/>
      <c r="E1403" s="27"/>
      <c r="F1403" s="27"/>
      <c r="G1403" s="27"/>
      <c r="H1403" s="27"/>
      <c r="I1403" s="27"/>
      <c r="J1403" s="27"/>
      <c r="K1403" s="27"/>
      <c r="L1403" s="27"/>
      <c r="M1403" s="27"/>
      <c r="N1403" s="24"/>
      <c r="O1403" s="24"/>
      <c r="P1403" s="24"/>
      <c r="Q1403" s="24"/>
      <c r="R1403" s="24"/>
      <c r="S1403" s="24"/>
      <c r="T1403" s="24"/>
      <c r="U1403" s="27"/>
      <c r="V1403" s="27"/>
      <c r="W1403" s="24"/>
      <c r="X1403" s="24"/>
    </row>
    <row r="1404" spans="1:24" ht="14.25" customHeight="1" x14ac:dyDescent="0.25">
      <c r="A1404" s="27"/>
      <c r="B1404" s="27"/>
      <c r="C1404" s="24"/>
      <c r="D1404" s="24"/>
      <c r="E1404" s="27"/>
      <c r="F1404" s="27"/>
      <c r="G1404" s="27"/>
      <c r="H1404" s="27"/>
      <c r="I1404" s="27"/>
      <c r="J1404" s="27"/>
      <c r="K1404" s="27"/>
      <c r="L1404" s="27"/>
      <c r="M1404" s="27"/>
      <c r="N1404" s="24"/>
      <c r="O1404" s="24"/>
      <c r="P1404" s="24"/>
      <c r="Q1404" s="24"/>
      <c r="R1404" s="24"/>
      <c r="S1404" s="24"/>
      <c r="T1404" s="24"/>
      <c r="U1404" s="27"/>
      <c r="V1404" s="27"/>
      <c r="W1404" s="24"/>
      <c r="X1404" s="24"/>
    </row>
    <row r="1405" spans="1:24" ht="14.25" customHeight="1" x14ac:dyDescent="0.25">
      <c r="A1405" s="27"/>
      <c r="B1405" s="27"/>
      <c r="C1405" s="24"/>
      <c r="D1405" s="24"/>
      <c r="E1405" s="27"/>
      <c r="F1405" s="27"/>
      <c r="G1405" s="27"/>
      <c r="H1405" s="27"/>
      <c r="I1405" s="27"/>
      <c r="J1405" s="27"/>
      <c r="K1405" s="27"/>
      <c r="L1405" s="27"/>
      <c r="M1405" s="27"/>
      <c r="N1405" s="24"/>
      <c r="O1405" s="24"/>
      <c r="P1405" s="24"/>
      <c r="Q1405" s="24"/>
      <c r="R1405" s="24"/>
      <c r="S1405" s="24"/>
      <c r="T1405" s="24"/>
      <c r="U1405" s="27"/>
      <c r="V1405" s="27"/>
      <c r="W1405" s="24"/>
      <c r="X1405" s="24"/>
    </row>
    <row r="1406" spans="1:24" ht="14.25" customHeight="1" x14ac:dyDescent="0.25">
      <c r="A1406" s="27"/>
      <c r="B1406" s="27"/>
      <c r="C1406" s="24"/>
      <c r="D1406" s="24"/>
      <c r="E1406" s="27"/>
      <c r="F1406" s="27"/>
      <c r="G1406" s="27"/>
      <c r="H1406" s="27"/>
      <c r="I1406" s="27"/>
      <c r="J1406" s="27"/>
      <c r="K1406" s="27"/>
      <c r="L1406" s="27"/>
      <c r="M1406" s="27"/>
      <c r="N1406" s="24"/>
      <c r="O1406" s="24"/>
      <c r="P1406" s="24"/>
      <c r="Q1406" s="24"/>
      <c r="R1406" s="24"/>
      <c r="S1406" s="24"/>
      <c r="T1406" s="24"/>
      <c r="U1406" s="27"/>
      <c r="V1406" s="27"/>
      <c r="W1406" s="24"/>
      <c r="X1406" s="24"/>
    </row>
    <row r="1407" spans="1:24" ht="14.25" customHeight="1" x14ac:dyDescent="0.25">
      <c r="A1407" s="27"/>
      <c r="B1407" s="27"/>
      <c r="C1407" s="24"/>
      <c r="D1407" s="24"/>
      <c r="E1407" s="27"/>
      <c r="F1407" s="27"/>
      <c r="G1407" s="27"/>
      <c r="H1407" s="27"/>
      <c r="I1407" s="27"/>
      <c r="J1407" s="27"/>
      <c r="K1407" s="27"/>
      <c r="L1407" s="27"/>
      <c r="M1407" s="27"/>
      <c r="N1407" s="24"/>
      <c r="O1407" s="24"/>
      <c r="P1407" s="24"/>
      <c r="Q1407" s="24"/>
      <c r="R1407" s="24"/>
      <c r="S1407" s="24"/>
      <c r="T1407" s="24"/>
      <c r="U1407" s="27"/>
      <c r="V1407" s="27"/>
      <c r="W1407" s="24"/>
      <c r="X1407" s="24"/>
    </row>
    <row r="1408" spans="1:24" ht="14.25" customHeight="1" x14ac:dyDescent="0.25">
      <c r="A1408" s="27"/>
      <c r="B1408" s="27"/>
      <c r="C1408" s="24"/>
      <c r="D1408" s="24"/>
      <c r="E1408" s="27"/>
      <c r="F1408" s="27"/>
      <c r="G1408" s="27"/>
      <c r="H1408" s="27"/>
      <c r="I1408" s="27"/>
      <c r="J1408" s="27"/>
      <c r="K1408" s="27"/>
      <c r="L1408" s="27"/>
      <c r="M1408" s="27"/>
      <c r="N1408" s="24"/>
      <c r="O1408" s="24"/>
      <c r="P1408" s="24"/>
      <c r="Q1408" s="24"/>
      <c r="R1408" s="24"/>
      <c r="S1408" s="24"/>
      <c r="T1408" s="24"/>
      <c r="U1408" s="27"/>
      <c r="V1408" s="27"/>
      <c r="W1408" s="24"/>
      <c r="X1408" s="24"/>
    </row>
    <row r="1409" spans="1:24" ht="14.25" customHeight="1" x14ac:dyDescent="0.25">
      <c r="A1409" s="27"/>
      <c r="B1409" s="27"/>
      <c r="C1409" s="24"/>
      <c r="D1409" s="24"/>
      <c r="E1409" s="27"/>
      <c r="F1409" s="27"/>
      <c r="G1409" s="27"/>
      <c r="H1409" s="27"/>
      <c r="I1409" s="27"/>
      <c r="J1409" s="27"/>
      <c r="K1409" s="27"/>
      <c r="L1409" s="27"/>
      <c r="M1409" s="27"/>
      <c r="N1409" s="24"/>
      <c r="O1409" s="24"/>
      <c r="P1409" s="24"/>
      <c r="Q1409" s="24"/>
      <c r="R1409" s="24"/>
      <c r="S1409" s="24"/>
      <c r="T1409" s="24"/>
      <c r="U1409" s="27"/>
      <c r="V1409" s="27"/>
      <c r="W1409" s="24"/>
      <c r="X1409" s="24"/>
    </row>
    <row r="1410" spans="1:24" ht="14.25" customHeight="1" x14ac:dyDescent="0.25">
      <c r="A1410" s="27"/>
      <c r="B1410" s="27"/>
      <c r="C1410" s="24"/>
      <c r="D1410" s="24"/>
      <c r="E1410" s="27"/>
      <c r="F1410" s="27"/>
      <c r="G1410" s="27"/>
      <c r="H1410" s="27"/>
      <c r="I1410" s="27"/>
      <c r="J1410" s="27"/>
      <c r="K1410" s="27"/>
      <c r="L1410" s="27"/>
      <c r="M1410" s="27"/>
      <c r="N1410" s="24"/>
      <c r="O1410" s="24"/>
      <c r="P1410" s="24"/>
      <c r="Q1410" s="24"/>
      <c r="R1410" s="24"/>
      <c r="S1410" s="24"/>
      <c r="T1410" s="24"/>
      <c r="U1410" s="27"/>
      <c r="V1410" s="27"/>
      <c r="W1410" s="24"/>
      <c r="X1410" s="24"/>
    </row>
    <row r="1411" spans="1:24" ht="14.25" customHeight="1" x14ac:dyDescent="0.25">
      <c r="A1411" s="27"/>
      <c r="B1411" s="27"/>
      <c r="C1411" s="24"/>
      <c r="D1411" s="24"/>
      <c r="E1411" s="27"/>
      <c r="F1411" s="27"/>
      <c r="G1411" s="27"/>
      <c r="H1411" s="27"/>
      <c r="I1411" s="27"/>
      <c r="J1411" s="27"/>
      <c r="K1411" s="27"/>
      <c r="L1411" s="27"/>
      <c r="M1411" s="27"/>
      <c r="N1411" s="24"/>
      <c r="O1411" s="24"/>
      <c r="P1411" s="24"/>
      <c r="Q1411" s="24"/>
      <c r="R1411" s="24"/>
      <c r="S1411" s="24"/>
      <c r="T1411" s="24"/>
      <c r="U1411" s="27"/>
      <c r="V1411" s="27"/>
      <c r="W1411" s="24"/>
      <c r="X1411" s="24"/>
    </row>
    <row r="1412" spans="1:24" ht="14.25" customHeight="1" x14ac:dyDescent="0.25">
      <c r="A1412" s="27"/>
      <c r="B1412" s="27"/>
      <c r="C1412" s="24"/>
      <c r="D1412" s="24"/>
      <c r="E1412" s="27"/>
      <c r="F1412" s="27"/>
      <c r="G1412" s="27"/>
      <c r="H1412" s="27"/>
      <c r="I1412" s="27"/>
      <c r="J1412" s="27"/>
      <c r="K1412" s="27"/>
      <c r="L1412" s="27"/>
      <c r="M1412" s="27"/>
      <c r="N1412" s="24"/>
      <c r="O1412" s="24"/>
      <c r="P1412" s="24"/>
      <c r="Q1412" s="24"/>
      <c r="R1412" s="24"/>
      <c r="S1412" s="24"/>
      <c r="T1412" s="24"/>
      <c r="U1412" s="27"/>
      <c r="V1412" s="27"/>
      <c r="W1412" s="24"/>
      <c r="X1412" s="24"/>
    </row>
    <row r="1413" spans="1:24" ht="14.25" customHeight="1" x14ac:dyDescent="0.25">
      <c r="A1413" s="27"/>
      <c r="B1413" s="27"/>
      <c r="C1413" s="24"/>
      <c r="D1413" s="24"/>
      <c r="E1413" s="27"/>
      <c r="F1413" s="27"/>
      <c r="G1413" s="27"/>
      <c r="H1413" s="27"/>
      <c r="I1413" s="27"/>
      <c r="J1413" s="27"/>
      <c r="K1413" s="27"/>
      <c r="L1413" s="27"/>
      <c r="M1413" s="27"/>
      <c r="N1413" s="24"/>
      <c r="O1413" s="24"/>
      <c r="P1413" s="24"/>
      <c r="Q1413" s="24"/>
      <c r="R1413" s="24"/>
      <c r="S1413" s="24"/>
      <c r="T1413" s="24"/>
      <c r="U1413" s="27"/>
      <c r="V1413" s="27"/>
      <c r="W1413" s="24"/>
      <c r="X1413" s="24"/>
    </row>
    <row r="1414" spans="1:24" ht="14.25" customHeight="1" x14ac:dyDescent="0.25">
      <c r="A1414" s="27"/>
      <c r="B1414" s="27"/>
      <c r="C1414" s="24"/>
      <c r="D1414" s="24"/>
      <c r="E1414" s="27"/>
      <c r="F1414" s="27"/>
      <c r="G1414" s="27"/>
      <c r="H1414" s="27"/>
      <c r="I1414" s="27"/>
      <c r="J1414" s="27"/>
      <c r="K1414" s="27"/>
      <c r="L1414" s="27"/>
      <c r="M1414" s="27"/>
      <c r="N1414" s="24"/>
      <c r="O1414" s="24"/>
      <c r="P1414" s="24"/>
      <c r="Q1414" s="24"/>
      <c r="R1414" s="24"/>
      <c r="S1414" s="24"/>
      <c r="T1414" s="24"/>
      <c r="U1414" s="27"/>
      <c r="V1414" s="27"/>
      <c r="W1414" s="24"/>
      <c r="X1414" s="24"/>
    </row>
    <row r="1415" spans="1:24" ht="14.25" customHeight="1" x14ac:dyDescent="0.25">
      <c r="A1415" s="27"/>
      <c r="B1415" s="27"/>
      <c r="C1415" s="24"/>
      <c r="D1415" s="24"/>
      <c r="E1415" s="27"/>
      <c r="F1415" s="27"/>
      <c r="G1415" s="27"/>
      <c r="H1415" s="27"/>
      <c r="I1415" s="27"/>
      <c r="J1415" s="27"/>
      <c r="K1415" s="27"/>
      <c r="L1415" s="27"/>
      <c r="M1415" s="27"/>
      <c r="N1415" s="24"/>
      <c r="O1415" s="24"/>
      <c r="P1415" s="24"/>
      <c r="Q1415" s="24"/>
      <c r="R1415" s="24"/>
      <c r="S1415" s="24"/>
      <c r="T1415" s="24"/>
      <c r="U1415" s="27"/>
      <c r="V1415" s="27"/>
      <c r="W1415" s="24"/>
      <c r="X1415" s="24"/>
    </row>
    <row r="1416" spans="1:24" ht="14.25" customHeight="1" x14ac:dyDescent="0.25">
      <c r="A1416" s="27"/>
      <c r="B1416" s="27"/>
      <c r="C1416" s="24"/>
      <c r="D1416" s="24"/>
      <c r="E1416" s="27"/>
      <c r="F1416" s="27"/>
      <c r="G1416" s="27"/>
      <c r="H1416" s="27"/>
      <c r="I1416" s="27"/>
      <c r="J1416" s="27"/>
      <c r="K1416" s="27"/>
      <c r="L1416" s="27"/>
      <c r="M1416" s="27"/>
      <c r="N1416" s="24"/>
      <c r="O1416" s="24"/>
      <c r="P1416" s="24"/>
      <c r="Q1416" s="24"/>
      <c r="R1416" s="24"/>
      <c r="S1416" s="24"/>
      <c r="T1416" s="24"/>
      <c r="U1416" s="27"/>
      <c r="V1416" s="27"/>
      <c r="W1416" s="24"/>
      <c r="X1416" s="24"/>
    </row>
    <row r="1417" spans="1:24" ht="14.25" customHeight="1" x14ac:dyDescent="0.25">
      <c r="A1417" s="27"/>
      <c r="B1417" s="27"/>
      <c r="C1417" s="24"/>
      <c r="D1417" s="24"/>
      <c r="E1417" s="27"/>
      <c r="F1417" s="27"/>
      <c r="G1417" s="27"/>
      <c r="H1417" s="27"/>
      <c r="I1417" s="27"/>
      <c r="J1417" s="27"/>
      <c r="K1417" s="27"/>
      <c r="L1417" s="27"/>
      <c r="M1417" s="27"/>
      <c r="N1417" s="24"/>
      <c r="O1417" s="24"/>
      <c r="P1417" s="24"/>
      <c r="Q1417" s="24"/>
      <c r="R1417" s="24"/>
      <c r="S1417" s="24"/>
      <c r="T1417" s="24"/>
      <c r="U1417" s="27"/>
      <c r="V1417" s="27"/>
      <c r="W1417" s="24"/>
      <c r="X1417" s="24"/>
    </row>
    <row r="1418" spans="1:24" ht="14.25" customHeight="1" x14ac:dyDescent="0.25">
      <c r="A1418" s="27"/>
      <c r="B1418" s="27"/>
      <c r="C1418" s="24"/>
      <c r="D1418" s="24"/>
      <c r="E1418" s="27"/>
      <c r="F1418" s="27"/>
      <c r="G1418" s="27"/>
      <c r="H1418" s="27"/>
      <c r="I1418" s="27"/>
      <c r="J1418" s="27"/>
      <c r="K1418" s="27"/>
      <c r="L1418" s="27"/>
      <c r="M1418" s="27"/>
      <c r="N1418" s="24"/>
      <c r="O1418" s="24"/>
      <c r="P1418" s="24"/>
      <c r="Q1418" s="24"/>
      <c r="R1418" s="24"/>
      <c r="S1418" s="24"/>
      <c r="T1418" s="24"/>
      <c r="U1418" s="27"/>
      <c r="V1418" s="27"/>
      <c r="W1418" s="24"/>
      <c r="X1418" s="24"/>
    </row>
    <row r="1419" spans="1:24" ht="14.25" customHeight="1" x14ac:dyDescent="0.25">
      <c r="A1419" s="27"/>
      <c r="B1419" s="27"/>
      <c r="C1419" s="24"/>
      <c r="D1419" s="24"/>
      <c r="E1419" s="27"/>
      <c r="F1419" s="27"/>
      <c r="G1419" s="27"/>
      <c r="H1419" s="27"/>
      <c r="I1419" s="27"/>
      <c r="J1419" s="27"/>
      <c r="K1419" s="27"/>
      <c r="L1419" s="27"/>
      <c r="M1419" s="27"/>
      <c r="N1419" s="24"/>
      <c r="O1419" s="24"/>
      <c r="P1419" s="24"/>
      <c r="Q1419" s="24"/>
      <c r="R1419" s="24"/>
      <c r="S1419" s="24"/>
      <c r="T1419" s="24"/>
      <c r="U1419" s="27"/>
      <c r="V1419" s="27"/>
      <c r="W1419" s="24"/>
      <c r="X1419" s="24"/>
    </row>
    <row r="1420" spans="1:24" ht="14.25" customHeight="1" x14ac:dyDescent="0.25">
      <c r="A1420" s="27"/>
      <c r="B1420" s="27"/>
      <c r="C1420" s="24"/>
      <c r="D1420" s="24"/>
      <c r="E1420" s="27"/>
      <c r="F1420" s="27"/>
      <c r="G1420" s="27"/>
      <c r="H1420" s="27"/>
      <c r="I1420" s="27"/>
      <c r="J1420" s="27"/>
      <c r="K1420" s="27"/>
      <c r="L1420" s="27"/>
      <c r="M1420" s="27"/>
      <c r="N1420" s="24"/>
      <c r="O1420" s="24"/>
      <c r="P1420" s="24"/>
      <c r="Q1420" s="24"/>
      <c r="R1420" s="24"/>
      <c r="S1420" s="24"/>
      <c r="T1420" s="24"/>
      <c r="U1420" s="27"/>
      <c r="V1420" s="27"/>
      <c r="W1420" s="24"/>
      <c r="X1420" s="24"/>
    </row>
    <row r="1421" spans="1:24" ht="14.25" customHeight="1" x14ac:dyDescent="0.25">
      <c r="A1421" s="27"/>
      <c r="B1421" s="27"/>
      <c r="C1421" s="24"/>
      <c r="D1421" s="24"/>
      <c r="E1421" s="27"/>
      <c r="F1421" s="27"/>
      <c r="G1421" s="27"/>
      <c r="H1421" s="27"/>
      <c r="I1421" s="27"/>
      <c r="J1421" s="27"/>
      <c r="K1421" s="27"/>
      <c r="L1421" s="27"/>
      <c r="M1421" s="27"/>
      <c r="N1421" s="24"/>
      <c r="O1421" s="24"/>
      <c r="P1421" s="24"/>
      <c r="Q1421" s="24"/>
      <c r="R1421" s="24"/>
      <c r="S1421" s="24"/>
      <c r="T1421" s="24"/>
      <c r="U1421" s="27"/>
      <c r="V1421" s="27"/>
      <c r="W1421" s="24"/>
      <c r="X1421" s="24"/>
    </row>
    <row r="1422" spans="1:24" ht="14.25" customHeight="1" x14ac:dyDescent="0.25">
      <c r="A1422" s="27"/>
      <c r="B1422" s="27"/>
      <c r="C1422" s="24"/>
      <c r="D1422" s="24"/>
      <c r="E1422" s="27"/>
      <c r="F1422" s="27"/>
      <c r="G1422" s="27"/>
      <c r="H1422" s="27"/>
      <c r="I1422" s="27"/>
      <c r="J1422" s="27"/>
      <c r="K1422" s="27"/>
      <c r="L1422" s="27"/>
      <c r="M1422" s="27"/>
      <c r="N1422" s="24"/>
      <c r="O1422" s="24"/>
      <c r="P1422" s="24"/>
      <c r="Q1422" s="24"/>
      <c r="R1422" s="24"/>
      <c r="S1422" s="24"/>
      <c r="T1422" s="24"/>
      <c r="U1422" s="27"/>
      <c r="V1422" s="27"/>
      <c r="W1422" s="24"/>
      <c r="X1422" s="24"/>
    </row>
    <row r="1423" spans="1:24" ht="14.25" customHeight="1" x14ac:dyDescent="0.25">
      <c r="A1423" s="27"/>
      <c r="B1423" s="27"/>
      <c r="C1423" s="24"/>
      <c r="D1423" s="24"/>
      <c r="E1423" s="27"/>
      <c r="F1423" s="27"/>
      <c r="G1423" s="27"/>
      <c r="H1423" s="27"/>
      <c r="I1423" s="27"/>
      <c r="J1423" s="27"/>
      <c r="K1423" s="27"/>
      <c r="L1423" s="27"/>
      <c r="M1423" s="27"/>
      <c r="N1423" s="24"/>
      <c r="O1423" s="24"/>
      <c r="P1423" s="24"/>
      <c r="Q1423" s="24"/>
      <c r="R1423" s="24"/>
      <c r="S1423" s="24"/>
      <c r="T1423" s="24"/>
      <c r="U1423" s="27"/>
      <c r="V1423" s="27"/>
      <c r="W1423" s="24"/>
      <c r="X1423" s="24"/>
    </row>
    <row r="1424" spans="1:24" ht="14.25" customHeight="1" x14ac:dyDescent="0.25">
      <c r="A1424" s="27"/>
      <c r="B1424" s="27"/>
      <c r="C1424" s="24"/>
      <c r="D1424" s="24"/>
      <c r="E1424" s="27"/>
      <c r="F1424" s="27"/>
      <c r="G1424" s="27"/>
      <c r="H1424" s="27"/>
      <c r="I1424" s="27"/>
      <c r="J1424" s="27"/>
      <c r="K1424" s="27"/>
      <c r="L1424" s="27"/>
      <c r="M1424" s="27"/>
      <c r="N1424" s="24"/>
      <c r="O1424" s="24"/>
      <c r="P1424" s="24"/>
      <c r="Q1424" s="24"/>
      <c r="R1424" s="24"/>
      <c r="S1424" s="24"/>
      <c r="T1424" s="24"/>
      <c r="U1424" s="27"/>
      <c r="V1424" s="27"/>
      <c r="W1424" s="24"/>
      <c r="X1424" s="24"/>
    </row>
    <row r="1425" spans="1:24" ht="14.25" customHeight="1" x14ac:dyDescent="0.25">
      <c r="A1425" s="27"/>
      <c r="B1425" s="27"/>
      <c r="C1425" s="24"/>
      <c r="D1425" s="24"/>
      <c r="E1425" s="27"/>
      <c r="F1425" s="27"/>
      <c r="G1425" s="27"/>
      <c r="H1425" s="27"/>
      <c r="I1425" s="27"/>
      <c r="J1425" s="27"/>
      <c r="K1425" s="27"/>
      <c r="L1425" s="27"/>
      <c r="M1425" s="27"/>
      <c r="N1425" s="24"/>
      <c r="O1425" s="24"/>
      <c r="P1425" s="24"/>
      <c r="Q1425" s="24"/>
      <c r="R1425" s="24"/>
      <c r="S1425" s="24"/>
      <c r="T1425" s="24"/>
      <c r="U1425" s="27"/>
      <c r="V1425" s="27"/>
      <c r="W1425" s="24"/>
      <c r="X1425" s="24"/>
    </row>
    <row r="1426" spans="1:24" ht="14.25" customHeight="1" x14ac:dyDescent="0.25">
      <c r="A1426" s="27"/>
      <c r="B1426" s="27"/>
      <c r="C1426" s="24"/>
      <c r="D1426" s="24"/>
      <c r="E1426" s="27"/>
      <c r="F1426" s="27"/>
      <c r="G1426" s="27"/>
      <c r="H1426" s="27"/>
      <c r="I1426" s="27"/>
      <c r="J1426" s="27"/>
      <c r="K1426" s="27"/>
      <c r="L1426" s="27"/>
      <c r="M1426" s="27"/>
      <c r="N1426" s="24"/>
      <c r="O1426" s="24"/>
      <c r="P1426" s="24"/>
      <c r="Q1426" s="24"/>
      <c r="R1426" s="24"/>
      <c r="S1426" s="24"/>
      <c r="T1426" s="24"/>
      <c r="U1426" s="27"/>
      <c r="V1426" s="27"/>
      <c r="W1426" s="24"/>
      <c r="X1426" s="24"/>
    </row>
    <row r="1427" spans="1:24" ht="14.25" customHeight="1" x14ac:dyDescent="0.25">
      <c r="A1427" s="27"/>
      <c r="B1427" s="27"/>
      <c r="C1427" s="24"/>
      <c r="D1427" s="24"/>
      <c r="E1427" s="27"/>
      <c r="F1427" s="27"/>
      <c r="G1427" s="27"/>
      <c r="H1427" s="27"/>
      <c r="I1427" s="27"/>
      <c r="J1427" s="27"/>
      <c r="K1427" s="27"/>
      <c r="L1427" s="27"/>
      <c r="M1427" s="27"/>
      <c r="N1427" s="24"/>
      <c r="O1427" s="24"/>
      <c r="P1427" s="24"/>
      <c r="Q1427" s="24"/>
      <c r="R1427" s="24"/>
      <c r="S1427" s="24"/>
      <c r="T1427" s="24"/>
      <c r="U1427" s="27"/>
      <c r="V1427" s="27"/>
      <c r="W1427" s="24"/>
      <c r="X1427" s="24"/>
    </row>
    <row r="1428" spans="1:24" ht="14.25" customHeight="1" x14ac:dyDescent="0.25">
      <c r="A1428" s="27"/>
      <c r="B1428" s="27"/>
      <c r="C1428" s="24"/>
      <c r="D1428" s="24"/>
      <c r="E1428" s="27"/>
      <c r="F1428" s="27"/>
      <c r="G1428" s="27"/>
      <c r="H1428" s="27"/>
      <c r="I1428" s="27"/>
      <c r="J1428" s="27"/>
      <c r="K1428" s="27"/>
      <c r="L1428" s="27"/>
      <c r="M1428" s="27"/>
      <c r="N1428" s="24"/>
      <c r="O1428" s="24"/>
      <c r="P1428" s="24"/>
      <c r="Q1428" s="24"/>
      <c r="R1428" s="24"/>
      <c r="S1428" s="24"/>
      <c r="T1428" s="24"/>
      <c r="U1428" s="27"/>
      <c r="V1428" s="27"/>
      <c r="W1428" s="24"/>
      <c r="X1428" s="24"/>
    </row>
    <row r="1429" spans="1:24" ht="14.25" customHeight="1" x14ac:dyDescent="0.25">
      <c r="A1429" s="27"/>
      <c r="B1429" s="27"/>
      <c r="C1429" s="24"/>
      <c r="D1429" s="24"/>
      <c r="E1429" s="27"/>
      <c r="F1429" s="27"/>
      <c r="G1429" s="27"/>
      <c r="H1429" s="27"/>
      <c r="I1429" s="27"/>
      <c r="J1429" s="27"/>
      <c r="K1429" s="27"/>
      <c r="L1429" s="27"/>
      <c r="M1429" s="27"/>
      <c r="N1429" s="24"/>
      <c r="O1429" s="24"/>
      <c r="P1429" s="24"/>
      <c r="Q1429" s="24"/>
      <c r="R1429" s="24"/>
      <c r="S1429" s="24"/>
      <c r="T1429" s="24"/>
      <c r="U1429" s="27"/>
      <c r="V1429" s="27"/>
      <c r="W1429" s="24"/>
      <c r="X1429" s="24"/>
    </row>
    <row r="1430" spans="1:24" ht="14.25" customHeight="1" x14ac:dyDescent="0.25">
      <c r="A1430" s="27"/>
      <c r="B1430" s="27"/>
      <c r="C1430" s="24"/>
      <c r="D1430" s="24"/>
      <c r="E1430" s="27"/>
      <c r="F1430" s="27"/>
      <c r="G1430" s="27"/>
      <c r="H1430" s="27"/>
      <c r="I1430" s="27"/>
      <c r="J1430" s="27"/>
      <c r="K1430" s="27"/>
      <c r="L1430" s="27"/>
      <c r="M1430" s="27"/>
      <c r="N1430" s="24"/>
      <c r="O1430" s="24"/>
      <c r="P1430" s="24"/>
      <c r="Q1430" s="24"/>
      <c r="R1430" s="24"/>
      <c r="S1430" s="24"/>
      <c r="T1430" s="24"/>
      <c r="U1430" s="27"/>
      <c r="V1430" s="27"/>
      <c r="W1430" s="24"/>
      <c r="X1430" s="24"/>
    </row>
    <row r="1431" spans="1:24" ht="14.25" customHeight="1" x14ac:dyDescent="0.25">
      <c r="A1431" s="27"/>
      <c r="B1431" s="27"/>
      <c r="C1431" s="24"/>
      <c r="D1431" s="24"/>
      <c r="E1431" s="27"/>
      <c r="F1431" s="27"/>
      <c r="G1431" s="27"/>
      <c r="H1431" s="27"/>
      <c r="I1431" s="27"/>
      <c r="J1431" s="27"/>
      <c r="K1431" s="27"/>
      <c r="L1431" s="27"/>
      <c r="M1431" s="27"/>
      <c r="N1431" s="24"/>
      <c r="O1431" s="24"/>
      <c r="P1431" s="24"/>
      <c r="Q1431" s="24"/>
      <c r="R1431" s="24"/>
      <c r="S1431" s="24"/>
      <c r="T1431" s="24"/>
      <c r="U1431" s="27"/>
      <c r="V1431" s="27"/>
      <c r="W1431" s="24"/>
      <c r="X1431" s="24"/>
    </row>
    <row r="1432" spans="1:24" ht="14.25" customHeight="1" x14ac:dyDescent="0.25">
      <c r="A1432" s="27"/>
      <c r="B1432" s="27"/>
      <c r="C1432" s="24"/>
      <c r="D1432" s="24"/>
      <c r="E1432" s="27"/>
      <c r="F1432" s="27"/>
      <c r="G1432" s="27"/>
      <c r="H1432" s="27"/>
      <c r="I1432" s="27"/>
      <c r="J1432" s="27"/>
      <c r="K1432" s="27"/>
      <c r="L1432" s="27"/>
      <c r="M1432" s="27"/>
      <c r="N1432" s="24"/>
      <c r="O1432" s="24"/>
      <c r="P1432" s="24"/>
      <c r="Q1432" s="24"/>
      <c r="R1432" s="24"/>
      <c r="S1432" s="24"/>
      <c r="T1432" s="24"/>
      <c r="U1432" s="27"/>
      <c r="V1432" s="27"/>
      <c r="W1432" s="24"/>
      <c r="X1432" s="24"/>
    </row>
    <row r="1433" spans="1:24" ht="14.25" customHeight="1" x14ac:dyDescent="0.25">
      <c r="A1433" s="27"/>
      <c r="B1433" s="27"/>
      <c r="C1433" s="24"/>
      <c r="D1433" s="24"/>
      <c r="E1433" s="27"/>
      <c r="F1433" s="27"/>
      <c r="G1433" s="27"/>
      <c r="H1433" s="27"/>
      <c r="I1433" s="27"/>
      <c r="J1433" s="27"/>
      <c r="K1433" s="27"/>
      <c r="L1433" s="27"/>
      <c r="M1433" s="27"/>
      <c r="N1433" s="24"/>
      <c r="O1433" s="24"/>
      <c r="P1433" s="24"/>
      <c r="Q1433" s="24"/>
      <c r="R1433" s="24"/>
      <c r="S1433" s="24"/>
      <c r="T1433" s="24"/>
      <c r="U1433" s="27"/>
      <c r="V1433" s="27"/>
      <c r="W1433" s="24"/>
      <c r="X1433" s="24"/>
    </row>
    <row r="1434" spans="1:24" ht="14.25" customHeight="1" x14ac:dyDescent="0.25">
      <c r="A1434" s="27"/>
      <c r="B1434" s="27"/>
      <c r="C1434" s="24"/>
      <c r="D1434" s="24"/>
      <c r="E1434" s="27"/>
      <c r="F1434" s="27"/>
      <c r="G1434" s="27"/>
      <c r="H1434" s="27"/>
      <c r="I1434" s="27"/>
      <c r="J1434" s="27"/>
      <c r="K1434" s="27"/>
      <c r="L1434" s="27"/>
      <c r="M1434" s="27"/>
      <c r="N1434" s="24"/>
      <c r="O1434" s="24"/>
      <c r="P1434" s="24"/>
      <c r="Q1434" s="24"/>
      <c r="R1434" s="24"/>
      <c r="S1434" s="24"/>
      <c r="T1434" s="24"/>
      <c r="U1434" s="27"/>
      <c r="V1434" s="27"/>
      <c r="W1434" s="24"/>
      <c r="X1434" s="24"/>
    </row>
    <row r="1435" spans="1:24" ht="14.25" customHeight="1" x14ac:dyDescent="0.25">
      <c r="A1435" s="27"/>
      <c r="B1435" s="27"/>
      <c r="C1435" s="24"/>
      <c r="D1435" s="24"/>
      <c r="E1435" s="27"/>
      <c r="F1435" s="27"/>
      <c r="G1435" s="27"/>
      <c r="H1435" s="27"/>
      <c r="I1435" s="27"/>
      <c r="J1435" s="27"/>
      <c r="K1435" s="27"/>
      <c r="L1435" s="27"/>
      <c r="M1435" s="27"/>
      <c r="N1435" s="24"/>
      <c r="O1435" s="24"/>
      <c r="P1435" s="24"/>
      <c r="Q1435" s="24"/>
      <c r="R1435" s="24"/>
      <c r="S1435" s="24"/>
      <c r="T1435" s="24"/>
      <c r="U1435" s="27"/>
      <c r="V1435" s="27"/>
      <c r="W1435" s="24"/>
      <c r="X1435" s="24"/>
    </row>
    <row r="1436" spans="1:24" ht="14.25" customHeight="1" x14ac:dyDescent="0.25">
      <c r="A1436" s="27"/>
      <c r="B1436" s="27"/>
      <c r="C1436" s="24"/>
      <c r="D1436" s="24"/>
      <c r="E1436" s="27"/>
      <c r="F1436" s="27"/>
      <c r="G1436" s="27"/>
      <c r="H1436" s="27"/>
      <c r="I1436" s="27"/>
      <c r="J1436" s="27"/>
      <c r="K1436" s="27"/>
      <c r="L1436" s="27"/>
      <c r="M1436" s="27"/>
      <c r="N1436" s="24"/>
      <c r="O1436" s="24"/>
      <c r="P1436" s="24"/>
      <c r="Q1436" s="24"/>
      <c r="R1436" s="24"/>
      <c r="S1436" s="24"/>
      <c r="T1436" s="24"/>
      <c r="U1436" s="27"/>
      <c r="V1436" s="27"/>
      <c r="W1436" s="24"/>
      <c r="X1436" s="24"/>
    </row>
    <row r="1437" spans="1:24" ht="14.25" customHeight="1" x14ac:dyDescent="0.25">
      <c r="A1437" s="27"/>
      <c r="B1437" s="27"/>
      <c r="C1437" s="24"/>
      <c r="D1437" s="24"/>
      <c r="E1437" s="27"/>
      <c r="F1437" s="27"/>
      <c r="G1437" s="27"/>
      <c r="H1437" s="27"/>
      <c r="I1437" s="27"/>
      <c r="J1437" s="27"/>
      <c r="K1437" s="27"/>
      <c r="L1437" s="27"/>
      <c r="M1437" s="27"/>
      <c r="N1437" s="24"/>
      <c r="O1437" s="24"/>
      <c r="P1437" s="24"/>
      <c r="Q1437" s="24"/>
      <c r="R1437" s="24"/>
      <c r="S1437" s="24"/>
      <c r="T1437" s="24"/>
      <c r="U1437" s="27"/>
      <c r="V1437" s="27"/>
      <c r="W1437" s="24"/>
      <c r="X1437" s="24"/>
    </row>
    <row r="1438" spans="1:24" ht="14.25" customHeight="1" x14ac:dyDescent="0.25">
      <c r="A1438" s="27"/>
      <c r="B1438" s="27"/>
      <c r="C1438" s="24"/>
      <c r="D1438" s="24"/>
      <c r="E1438" s="27"/>
      <c r="F1438" s="27"/>
      <c r="G1438" s="27"/>
      <c r="H1438" s="27"/>
      <c r="I1438" s="27"/>
      <c r="J1438" s="27"/>
      <c r="K1438" s="27"/>
      <c r="L1438" s="27"/>
      <c r="M1438" s="27"/>
      <c r="N1438" s="24"/>
      <c r="O1438" s="24"/>
      <c r="P1438" s="24"/>
      <c r="Q1438" s="24"/>
      <c r="R1438" s="24"/>
      <c r="S1438" s="24"/>
      <c r="T1438" s="24"/>
      <c r="U1438" s="27"/>
      <c r="V1438" s="27"/>
      <c r="W1438" s="24"/>
      <c r="X1438" s="24"/>
    </row>
    <row r="1439" spans="1:24" ht="14.25" customHeight="1" x14ac:dyDescent="0.25">
      <c r="A1439" s="27"/>
      <c r="B1439" s="27"/>
      <c r="C1439" s="24"/>
      <c r="D1439" s="24"/>
      <c r="E1439" s="27"/>
      <c r="F1439" s="27"/>
      <c r="G1439" s="27"/>
      <c r="H1439" s="27"/>
      <c r="I1439" s="27"/>
      <c r="J1439" s="27"/>
      <c r="K1439" s="27"/>
      <c r="L1439" s="27"/>
      <c r="M1439" s="27"/>
      <c r="N1439" s="24"/>
      <c r="O1439" s="24"/>
      <c r="P1439" s="24"/>
      <c r="Q1439" s="24"/>
      <c r="R1439" s="24"/>
      <c r="S1439" s="24"/>
      <c r="T1439" s="24"/>
      <c r="U1439" s="27"/>
      <c r="V1439" s="27"/>
      <c r="W1439" s="24"/>
      <c r="X1439" s="24"/>
    </row>
    <row r="1440" spans="1:24" ht="14.25" customHeight="1" x14ac:dyDescent="0.25">
      <c r="A1440" s="27"/>
      <c r="B1440" s="27"/>
      <c r="C1440" s="24"/>
      <c r="D1440" s="24"/>
      <c r="E1440" s="27"/>
      <c r="F1440" s="27"/>
      <c r="G1440" s="27"/>
      <c r="H1440" s="27"/>
      <c r="I1440" s="27"/>
      <c r="J1440" s="27"/>
      <c r="K1440" s="27"/>
      <c r="L1440" s="27"/>
      <c r="M1440" s="27"/>
      <c r="N1440" s="24"/>
      <c r="O1440" s="24"/>
      <c r="P1440" s="24"/>
      <c r="Q1440" s="24"/>
      <c r="R1440" s="24"/>
      <c r="S1440" s="24"/>
      <c r="T1440" s="24"/>
      <c r="U1440" s="27"/>
      <c r="V1440" s="27"/>
      <c r="W1440" s="24"/>
      <c r="X1440" s="24"/>
    </row>
    <row r="1441" spans="1:24" ht="14.25" customHeight="1" x14ac:dyDescent="0.25">
      <c r="A1441" s="27"/>
      <c r="B1441" s="27"/>
      <c r="C1441" s="24"/>
      <c r="D1441" s="24"/>
      <c r="E1441" s="27"/>
      <c r="F1441" s="27"/>
      <c r="G1441" s="27"/>
      <c r="H1441" s="27"/>
      <c r="I1441" s="27"/>
      <c r="J1441" s="27"/>
      <c r="K1441" s="27"/>
      <c r="L1441" s="27"/>
      <c r="M1441" s="27"/>
      <c r="N1441" s="24"/>
      <c r="O1441" s="24"/>
      <c r="P1441" s="24"/>
      <c r="Q1441" s="24"/>
      <c r="R1441" s="24"/>
      <c r="S1441" s="24"/>
      <c r="T1441" s="24"/>
      <c r="U1441" s="27"/>
      <c r="V1441" s="27"/>
      <c r="W1441" s="24"/>
      <c r="X1441" s="24"/>
    </row>
    <row r="1442" spans="1:24" ht="14.25" customHeight="1" x14ac:dyDescent="0.25">
      <c r="A1442" s="27"/>
      <c r="B1442" s="27"/>
      <c r="C1442" s="24"/>
      <c r="D1442" s="24"/>
      <c r="E1442" s="27"/>
      <c r="F1442" s="27"/>
      <c r="G1442" s="27"/>
      <c r="H1442" s="27"/>
      <c r="I1442" s="27"/>
      <c r="J1442" s="27"/>
      <c r="K1442" s="27"/>
      <c r="L1442" s="27"/>
      <c r="M1442" s="27"/>
      <c r="N1442" s="24"/>
      <c r="O1442" s="24"/>
      <c r="P1442" s="24"/>
      <c r="Q1442" s="24"/>
      <c r="R1442" s="24"/>
      <c r="S1442" s="24"/>
      <c r="T1442" s="24"/>
      <c r="U1442" s="27"/>
      <c r="V1442" s="27"/>
      <c r="W1442" s="24"/>
      <c r="X1442" s="24"/>
    </row>
    <row r="1443" spans="1:24" ht="14.25" customHeight="1" x14ac:dyDescent="0.25">
      <c r="A1443" s="27"/>
      <c r="B1443" s="27"/>
      <c r="C1443" s="24"/>
      <c r="D1443" s="24"/>
      <c r="E1443" s="27"/>
      <c r="F1443" s="27"/>
      <c r="G1443" s="27"/>
      <c r="H1443" s="27"/>
      <c r="I1443" s="27"/>
      <c r="J1443" s="27"/>
      <c r="K1443" s="27"/>
      <c r="L1443" s="27"/>
      <c r="M1443" s="27"/>
      <c r="N1443" s="24"/>
      <c r="O1443" s="24"/>
      <c r="P1443" s="24"/>
      <c r="Q1443" s="24"/>
      <c r="R1443" s="24"/>
      <c r="S1443" s="24"/>
      <c r="T1443" s="24"/>
      <c r="U1443" s="27"/>
      <c r="V1443" s="27"/>
      <c r="W1443" s="24"/>
      <c r="X1443" s="24"/>
    </row>
    <row r="1444" spans="1:24" ht="14.25" customHeight="1" x14ac:dyDescent="0.25">
      <c r="A1444" s="27"/>
      <c r="B1444" s="27"/>
      <c r="C1444" s="24"/>
      <c r="D1444" s="24"/>
      <c r="E1444" s="27"/>
      <c r="F1444" s="27"/>
      <c r="G1444" s="27"/>
      <c r="H1444" s="27"/>
      <c r="I1444" s="27"/>
      <c r="J1444" s="27"/>
      <c r="K1444" s="27"/>
      <c r="L1444" s="27"/>
      <c r="M1444" s="27"/>
      <c r="N1444" s="24"/>
      <c r="O1444" s="24"/>
      <c r="P1444" s="24"/>
      <c r="Q1444" s="24"/>
      <c r="R1444" s="24"/>
      <c r="S1444" s="24"/>
      <c r="T1444" s="24"/>
      <c r="U1444" s="27"/>
      <c r="V1444" s="27"/>
      <c r="W1444" s="24"/>
      <c r="X1444" s="24"/>
    </row>
    <row r="1445" spans="1:24" ht="14.25" customHeight="1" x14ac:dyDescent="0.25">
      <c r="A1445" s="27"/>
      <c r="B1445" s="27"/>
      <c r="C1445" s="24"/>
      <c r="D1445" s="24"/>
      <c r="E1445" s="27"/>
      <c r="F1445" s="27"/>
      <c r="G1445" s="27"/>
      <c r="H1445" s="27"/>
      <c r="I1445" s="27"/>
      <c r="J1445" s="27"/>
      <c r="K1445" s="27"/>
      <c r="L1445" s="27"/>
      <c r="M1445" s="27"/>
      <c r="N1445" s="24"/>
      <c r="O1445" s="24"/>
      <c r="P1445" s="24"/>
      <c r="Q1445" s="24"/>
      <c r="R1445" s="24"/>
      <c r="S1445" s="24"/>
      <c r="T1445" s="24"/>
      <c r="U1445" s="27"/>
      <c r="V1445" s="27"/>
      <c r="W1445" s="24"/>
      <c r="X1445" s="24"/>
    </row>
    <row r="1446" spans="1:24" ht="14.25" customHeight="1" x14ac:dyDescent="0.25">
      <c r="A1446" s="27"/>
      <c r="B1446" s="27"/>
      <c r="C1446" s="24"/>
      <c r="D1446" s="24"/>
      <c r="E1446" s="27"/>
      <c r="F1446" s="27"/>
      <c r="G1446" s="27"/>
      <c r="H1446" s="27"/>
      <c r="I1446" s="27"/>
      <c r="J1446" s="27"/>
      <c r="K1446" s="27"/>
      <c r="L1446" s="27"/>
      <c r="M1446" s="27"/>
      <c r="N1446" s="24"/>
      <c r="O1446" s="24"/>
      <c r="P1446" s="24"/>
      <c r="Q1446" s="24"/>
      <c r="R1446" s="24"/>
      <c r="S1446" s="24"/>
      <c r="T1446" s="24"/>
      <c r="U1446" s="27"/>
      <c r="V1446" s="27"/>
      <c r="W1446" s="24"/>
      <c r="X1446" s="24"/>
    </row>
    <row r="1447" spans="1:24" ht="14.25" customHeight="1" x14ac:dyDescent="0.25">
      <c r="A1447" s="27"/>
      <c r="B1447" s="27"/>
      <c r="C1447" s="24"/>
      <c r="D1447" s="24"/>
      <c r="E1447" s="27"/>
      <c r="F1447" s="27"/>
      <c r="G1447" s="27"/>
      <c r="H1447" s="27"/>
      <c r="I1447" s="27"/>
      <c r="J1447" s="27"/>
      <c r="K1447" s="27"/>
      <c r="L1447" s="27"/>
      <c r="M1447" s="27"/>
      <c r="N1447" s="24"/>
      <c r="O1447" s="24"/>
      <c r="P1447" s="24"/>
      <c r="Q1447" s="24"/>
      <c r="R1447" s="24"/>
      <c r="S1447" s="24"/>
      <c r="T1447" s="24"/>
      <c r="U1447" s="27"/>
      <c r="V1447" s="27"/>
      <c r="W1447" s="24"/>
      <c r="X1447" s="24"/>
    </row>
    <row r="1448" spans="1:24" ht="14.25" customHeight="1" x14ac:dyDescent="0.25">
      <c r="A1448" s="27"/>
      <c r="B1448" s="27"/>
      <c r="C1448" s="24"/>
      <c r="D1448" s="24"/>
      <c r="E1448" s="27"/>
      <c r="F1448" s="27"/>
      <c r="G1448" s="27"/>
      <c r="H1448" s="27"/>
      <c r="I1448" s="27"/>
      <c r="J1448" s="27"/>
      <c r="K1448" s="27"/>
      <c r="L1448" s="27"/>
      <c r="M1448" s="27"/>
      <c r="N1448" s="24"/>
      <c r="O1448" s="24"/>
      <c r="P1448" s="24"/>
      <c r="Q1448" s="24"/>
      <c r="R1448" s="24"/>
      <c r="S1448" s="24"/>
      <c r="T1448" s="24"/>
      <c r="U1448" s="27"/>
      <c r="V1448" s="27"/>
      <c r="W1448" s="24"/>
      <c r="X1448" s="24"/>
    </row>
    <row r="1449" spans="1:24" ht="14.25" customHeight="1" x14ac:dyDescent="0.25">
      <c r="A1449" s="27"/>
      <c r="B1449" s="27"/>
      <c r="C1449" s="24"/>
      <c r="D1449" s="24"/>
      <c r="E1449" s="27"/>
      <c r="F1449" s="27"/>
      <c r="G1449" s="27"/>
      <c r="H1449" s="27"/>
      <c r="I1449" s="27"/>
      <c r="J1449" s="27"/>
      <c r="K1449" s="27"/>
      <c r="L1449" s="27"/>
      <c r="M1449" s="27"/>
      <c r="N1449" s="24"/>
      <c r="O1449" s="24"/>
      <c r="P1449" s="24"/>
      <c r="Q1449" s="24"/>
      <c r="R1449" s="24"/>
      <c r="S1449" s="24"/>
      <c r="T1449" s="24"/>
      <c r="U1449" s="27"/>
      <c r="V1449" s="27"/>
      <c r="W1449" s="24"/>
      <c r="X1449" s="24"/>
    </row>
    <row r="1450" spans="1:24" ht="14.25" customHeight="1" x14ac:dyDescent="0.25">
      <c r="A1450" s="27"/>
      <c r="B1450" s="27"/>
      <c r="C1450" s="24"/>
      <c r="D1450" s="24"/>
      <c r="E1450" s="27"/>
      <c r="F1450" s="27"/>
      <c r="G1450" s="27"/>
      <c r="H1450" s="27"/>
      <c r="I1450" s="27"/>
      <c r="J1450" s="27"/>
      <c r="K1450" s="27"/>
      <c r="L1450" s="27"/>
      <c r="M1450" s="27"/>
      <c r="N1450" s="24"/>
      <c r="O1450" s="24"/>
      <c r="P1450" s="24"/>
      <c r="Q1450" s="24"/>
      <c r="R1450" s="24"/>
      <c r="S1450" s="24"/>
      <c r="T1450" s="24"/>
      <c r="U1450" s="27"/>
      <c r="V1450" s="27"/>
      <c r="W1450" s="24"/>
      <c r="X1450" s="24"/>
    </row>
    <row r="1451" spans="1:24" ht="14.25" customHeight="1" x14ac:dyDescent="0.25">
      <c r="A1451" s="27"/>
      <c r="B1451" s="27"/>
      <c r="C1451" s="24"/>
      <c r="D1451" s="24"/>
      <c r="E1451" s="27"/>
      <c r="F1451" s="27"/>
      <c r="G1451" s="27"/>
      <c r="H1451" s="27"/>
      <c r="I1451" s="27"/>
      <c r="J1451" s="27"/>
      <c r="K1451" s="27"/>
      <c r="L1451" s="27"/>
      <c r="M1451" s="27"/>
      <c r="N1451" s="24"/>
      <c r="O1451" s="24"/>
      <c r="P1451" s="24"/>
      <c r="Q1451" s="24"/>
      <c r="R1451" s="24"/>
      <c r="S1451" s="24"/>
      <c r="T1451" s="24"/>
      <c r="U1451" s="27"/>
      <c r="V1451" s="27"/>
      <c r="W1451" s="24"/>
      <c r="X1451" s="24"/>
    </row>
    <row r="1452" spans="1:24" ht="14.25" customHeight="1" x14ac:dyDescent="0.25">
      <c r="A1452" s="27"/>
      <c r="B1452" s="27"/>
      <c r="C1452" s="24"/>
      <c r="D1452" s="24"/>
      <c r="E1452" s="27"/>
      <c r="F1452" s="27"/>
      <c r="G1452" s="27"/>
      <c r="H1452" s="27"/>
      <c r="I1452" s="27"/>
      <c r="J1452" s="27"/>
      <c r="K1452" s="27"/>
      <c r="L1452" s="27"/>
      <c r="M1452" s="27"/>
      <c r="N1452" s="24"/>
      <c r="O1452" s="24"/>
      <c r="P1452" s="24"/>
      <c r="Q1452" s="24"/>
      <c r="R1452" s="24"/>
      <c r="S1452" s="24"/>
      <c r="T1452" s="24"/>
      <c r="U1452" s="27"/>
      <c r="V1452" s="27"/>
      <c r="W1452" s="24"/>
      <c r="X1452" s="24"/>
    </row>
    <row r="1453" spans="1:24" ht="14.25" customHeight="1" x14ac:dyDescent="0.25">
      <c r="A1453" s="27"/>
      <c r="B1453" s="27"/>
      <c r="C1453" s="24"/>
      <c r="D1453" s="24"/>
      <c r="E1453" s="27"/>
      <c r="F1453" s="27"/>
      <c r="G1453" s="27"/>
      <c r="H1453" s="27"/>
      <c r="I1453" s="27"/>
      <c r="J1453" s="27"/>
      <c r="K1453" s="27"/>
      <c r="L1453" s="27"/>
      <c r="M1453" s="27"/>
      <c r="N1453" s="24"/>
      <c r="O1453" s="24"/>
      <c r="P1453" s="24"/>
      <c r="Q1453" s="24"/>
      <c r="R1453" s="24"/>
      <c r="S1453" s="24"/>
      <c r="T1453" s="24"/>
      <c r="U1453" s="27"/>
      <c r="V1453" s="27"/>
      <c r="W1453" s="24"/>
      <c r="X1453" s="24"/>
    </row>
    <row r="1454" spans="1:24" ht="14.25" customHeight="1" x14ac:dyDescent="0.25">
      <c r="A1454" s="27"/>
      <c r="B1454" s="27"/>
      <c r="C1454" s="24"/>
      <c r="D1454" s="24"/>
      <c r="E1454" s="27"/>
      <c r="F1454" s="27"/>
      <c r="G1454" s="27"/>
      <c r="H1454" s="27"/>
      <c r="I1454" s="27"/>
      <c r="J1454" s="27"/>
      <c r="K1454" s="27"/>
      <c r="L1454" s="27"/>
      <c r="M1454" s="27"/>
      <c r="N1454" s="24"/>
      <c r="O1454" s="24"/>
      <c r="P1454" s="24"/>
      <c r="Q1454" s="24"/>
      <c r="R1454" s="24"/>
      <c r="S1454" s="24"/>
      <c r="T1454" s="24"/>
      <c r="U1454" s="27"/>
      <c r="V1454" s="27"/>
      <c r="W1454" s="24"/>
      <c r="X1454" s="24"/>
    </row>
    <row r="1455" spans="1:24" ht="14.25" customHeight="1" x14ac:dyDescent="0.25">
      <c r="A1455" s="27"/>
      <c r="B1455" s="27"/>
      <c r="C1455" s="24"/>
      <c r="D1455" s="24"/>
      <c r="E1455" s="27"/>
      <c r="F1455" s="27"/>
      <c r="G1455" s="27"/>
      <c r="H1455" s="27"/>
      <c r="I1455" s="27"/>
      <c r="J1455" s="27"/>
      <c r="K1455" s="27"/>
      <c r="L1455" s="27"/>
      <c r="M1455" s="27"/>
      <c r="N1455" s="24"/>
      <c r="O1455" s="24"/>
      <c r="P1455" s="24"/>
      <c r="Q1455" s="24"/>
      <c r="R1455" s="24"/>
      <c r="S1455" s="24"/>
      <c r="T1455" s="24"/>
      <c r="U1455" s="27"/>
      <c r="V1455" s="27"/>
      <c r="W1455" s="24"/>
      <c r="X1455" s="24"/>
    </row>
    <row r="1456" spans="1:24" ht="14.25" customHeight="1" x14ac:dyDescent="0.25">
      <c r="A1456" s="27"/>
      <c r="B1456" s="27"/>
      <c r="C1456" s="24"/>
      <c r="D1456" s="24"/>
      <c r="E1456" s="27"/>
      <c r="F1456" s="27"/>
      <c r="G1456" s="27"/>
      <c r="H1456" s="27"/>
      <c r="I1456" s="27"/>
      <c r="J1456" s="27"/>
      <c r="K1456" s="27"/>
      <c r="L1456" s="27"/>
      <c r="M1456" s="27"/>
      <c r="N1456" s="24"/>
      <c r="O1456" s="24"/>
      <c r="P1456" s="24"/>
      <c r="Q1456" s="24"/>
      <c r="R1456" s="24"/>
      <c r="S1456" s="24"/>
      <c r="T1456" s="24"/>
      <c r="U1456" s="27"/>
      <c r="V1456" s="27"/>
      <c r="W1456" s="24"/>
      <c r="X1456" s="24"/>
    </row>
    <row r="1457" spans="1:24" ht="14.25" customHeight="1" x14ac:dyDescent="0.25">
      <c r="A1457" s="27"/>
      <c r="B1457" s="27"/>
      <c r="C1457" s="24"/>
      <c r="D1457" s="24"/>
      <c r="E1457" s="27"/>
      <c r="F1457" s="27"/>
      <c r="G1457" s="27"/>
      <c r="H1457" s="27"/>
      <c r="I1457" s="27"/>
      <c r="J1457" s="27"/>
      <c r="K1457" s="27"/>
      <c r="L1457" s="27"/>
      <c r="M1457" s="27"/>
      <c r="N1457" s="24"/>
      <c r="O1457" s="24"/>
      <c r="P1457" s="24"/>
      <c r="Q1457" s="24"/>
      <c r="R1457" s="24"/>
      <c r="S1457" s="24"/>
      <c r="T1457" s="24"/>
      <c r="U1457" s="27"/>
      <c r="V1457" s="27"/>
      <c r="W1457" s="24"/>
      <c r="X1457" s="24"/>
    </row>
    <row r="1458" spans="1:24" ht="14.25" customHeight="1" x14ac:dyDescent="0.25">
      <c r="A1458" s="27"/>
      <c r="B1458" s="27"/>
      <c r="C1458" s="24"/>
      <c r="D1458" s="24"/>
      <c r="E1458" s="27"/>
      <c r="F1458" s="27"/>
      <c r="G1458" s="27"/>
      <c r="H1458" s="27"/>
      <c r="I1458" s="27"/>
      <c r="J1458" s="27"/>
      <c r="K1458" s="27"/>
      <c r="L1458" s="27"/>
      <c r="M1458" s="27"/>
      <c r="N1458" s="24"/>
      <c r="O1458" s="24"/>
      <c r="P1458" s="24"/>
      <c r="Q1458" s="24"/>
      <c r="R1458" s="24"/>
      <c r="S1458" s="24"/>
      <c r="T1458" s="24"/>
      <c r="U1458" s="27"/>
      <c r="V1458" s="27"/>
      <c r="W1458" s="24"/>
      <c r="X1458" s="24"/>
    </row>
    <row r="1459" spans="1:24" ht="14.25" customHeight="1" x14ac:dyDescent="0.25">
      <c r="A1459" s="27"/>
      <c r="B1459" s="27"/>
      <c r="C1459" s="24"/>
      <c r="D1459" s="24"/>
      <c r="E1459" s="27"/>
      <c r="F1459" s="27"/>
      <c r="G1459" s="27"/>
      <c r="H1459" s="27"/>
      <c r="I1459" s="27"/>
      <c r="J1459" s="27"/>
      <c r="K1459" s="27"/>
      <c r="L1459" s="27"/>
      <c r="M1459" s="27"/>
      <c r="N1459" s="24"/>
      <c r="O1459" s="24"/>
      <c r="P1459" s="24"/>
      <c r="Q1459" s="24"/>
      <c r="R1459" s="24"/>
      <c r="S1459" s="24"/>
      <c r="T1459" s="24"/>
      <c r="U1459" s="27"/>
      <c r="V1459" s="27"/>
      <c r="W1459" s="24"/>
      <c r="X1459" s="24"/>
    </row>
    <row r="1460" spans="1:24" ht="14.25" customHeight="1" x14ac:dyDescent="0.25">
      <c r="A1460" s="27"/>
      <c r="B1460" s="27"/>
      <c r="C1460" s="24"/>
      <c r="D1460" s="24"/>
      <c r="E1460" s="27"/>
      <c r="F1460" s="27"/>
      <c r="G1460" s="27"/>
      <c r="H1460" s="27"/>
      <c r="I1460" s="27"/>
      <c r="J1460" s="27"/>
      <c r="K1460" s="27"/>
      <c r="L1460" s="27"/>
      <c r="M1460" s="27"/>
      <c r="N1460" s="24"/>
      <c r="O1460" s="24"/>
      <c r="P1460" s="24"/>
      <c r="Q1460" s="24"/>
      <c r="R1460" s="24"/>
      <c r="S1460" s="24"/>
      <c r="T1460" s="24"/>
      <c r="U1460" s="27"/>
      <c r="V1460" s="27"/>
      <c r="W1460" s="24"/>
      <c r="X1460" s="24"/>
    </row>
    <row r="1461" spans="1:24" ht="14.25" customHeight="1" x14ac:dyDescent="0.25">
      <c r="A1461" s="27"/>
      <c r="B1461" s="27"/>
      <c r="C1461" s="24"/>
      <c r="D1461" s="24"/>
      <c r="E1461" s="27"/>
      <c r="F1461" s="27"/>
      <c r="G1461" s="27"/>
      <c r="H1461" s="27"/>
      <c r="I1461" s="27"/>
      <c r="J1461" s="27"/>
      <c r="K1461" s="27"/>
      <c r="L1461" s="27"/>
      <c r="M1461" s="27"/>
      <c r="N1461" s="24"/>
      <c r="O1461" s="24"/>
      <c r="P1461" s="24"/>
      <c r="Q1461" s="24"/>
      <c r="R1461" s="24"/>
      <c r="S1461" s="24"/>
      <c r="T1461" s="24"/>
      <c r="U1461" s="27"/>
      <c r="V1461" s="27"/>
      <c r="W1461" s="24"/>
      <c r="X1461" s="24"/>
    </row>
    <row r="1462" spans="1:24" ht="14.25" customHeight="1" x14ac:dyDescent="0.25">
      <c r="A1462" s="27"/>
      <c r="B1462" s="27"/>
      <c r="C1462" s="24"/>
      <c r="D1462" s="24"/>
      <c r="E1462" s="27"/>
      <c r="F1462" s="27"/>
      <c r="G1462" s="27"/>
      <c r="H1462" s="27"/>
      <c r="I1462" s="27"/>
      <c r="J1462" s="27"/>
      <c r="K1462" s="27"/>
      <c r="L1462" s="27"/>
      <c r="M1462" s="27"/>
      <c r="N1462" s="24"/>
      <c r="O1462" s="24"/>
      <c r="P1462" s="24"/>
      <c r="Q1462" s="24"/>
      <c r="R1462" s="24"/>
      <c r="S1462" s="24"/>
      <c r="T1462" s="24"/>
      <c r="U1462" s="27"/>
      <c r="V1462" s="27"/>
      <c r="W1462" s="24"/>
      <c r="X1462" s="24"/>
    </row>
    <row r="1463" spans="1:24" ht="14.25" customHeight="1" x14ac:dyDescent="0.25">
      <c r="A1463" s="27"/>
      <c r="B1463" s="27"/>
      <c r="C1463" s="24"/>
      <c r="D1463" s="24"/>
      <c r="E1463" s="27"/>
      <c r="F1463" s="27"/>
      <c r="G1463" s="27"/>
      <c r="H1463" s="27"/>
      <c r="I1463" s="27"/>
      <c r="J1463" s="27"/>
      <c r="K1463" s="27"/>
      <c r="L1463" s="27"/>
      <c r="M1463" s="27"/>
      <c r="N1463" s="24"/>
      <c r="O1463" s="24"/>
      <c r="P1463" s="24"/>
      <c r="Q1463" s="24"/>
      <c r="R1463" s="24"/>
      <c r="S1463" s="24"/>
      <c r="T1463" s="24"/>
      <c r="U1463" s="27"/>
      <c r="V1463" s="27"/>
      <c r="W1463" s="24"/>
      <c r="X1463" s="24"/>
    </row>
    <row r="1464" spans="1:24" ht="14.25" customHeight="1" x14ac:dyDescent="0.25">
      <c r="A1464" s="27"/>
      <c r="B1464" s="27"/>
      <c r="C1464" s="24"/>
      <c r="D1464" s="24"/>
      <c r="E1464" s="27"/>
      <c r="F1464" s="27"/>
      <c r="G1464" s="27"/>
      <c r="H1464" s="27"/>
      <c r="I1464" s="27"/>
      <c r="J1464" s="27"/>
      <c r="K1464" s="27"/>
      <c r="L1464" s="27"/>
      <c r="M1464" s="27"/>
      <c r="N1464" s="24"/>
      <c r="O1464" s="24"/>
      <c r="P1464" s="24"/>
      <c r="Q1464" s="24"/>
      <c r="R1464" s="24"/>
      <c r="S1464" s="24"/>
      <c r="T1464" s="24"/>
      <c r="U1464" s="27"/>
      <c r="V1464" s="27"/>
      <c r="W1464" s="24"/>
      <c r="X1464" s="24"/>
    </row>
    <row r="1465" spans="1:24" ht="14.25" customHeight="1" x14ac:dyDescent="0.25">
      <c r="A1465" s="27"/>
      <c r="B1465" s="27"/>
      <c r="C1465" s="24"/>
      <c r="D1465" s="24"/>
      <c r="E1465" s="27"/>
      <c r="F1465" s="27"/>
      <c r="G1465" s="27"/>
      <c r="H1465" s="27"/>
      <c r="I1465" s="27"/>
      <c r="J1465" s="27"/>
      <c r="K1465" s="27"/>
      <c r="L1465" s="27"/>
      <c r="M1465" s="27"/>
      <c r="N1465" s="24"/>
      <c r="O1465" s="24"/>
      <c r="P1465" s="24"/>
      <c r="Q1465" s="24"/>
      <c r="R1465" s="24"/>
      <c r="S1465" s="24"/>
      <c r="T1465" s="24"/>
      <c r="U1465" s="27"/>
      <c r="V1465" s="27"/>
      <c r="W1465" s="24"/>
      <c r="X1465" s="24"/>
    </row>
    <row r="1466" spans="1:24" ht="14.25" customHeight="1" x14ac:dyDescent="0.25">
      <c r="A1466" s="27"/>
      <c r="B1466" s="27"/>
      <c r="C1466" s="24"/>
      <c r="D1466" s="24"/>
      <c r="E1466" s="27"/>
      <c r="F1466" s="27"/>
      <c r="G1466" s="27"/>
      <c r="H1466" s="27"/>
      <c r="I1466" s="27"/>
      <c r="J1466" s="27"/>
      <c r="K1466" s="27"/>
      <c r="L1466" s="27"/>
      <c r="M1466" s="27"/>
      <c r="N1466" s="24"/>
      <c r="O1466" s="24"/>
      <c r="P1466" s="24"/>
      <c r="Q1466" s="24"/>
      <c r="R1466" s="24"/>
      <c r="S1466" s="24"/>
      <c r="T1466" s="24"/>
      <c r="U1466" s="27"/>
      <c r="V1466" s="27"/>
      <c r="W1466" s="24"/>
      <c r="X1466" s="24"/>
    </row>
    <row r="1467" spans="1:24" ht="14.25" customHeight="1" x14ac:dyDescent="0.25">
      <c r="A1467" s="27"/>
      <c r="B1467" s="27"/>
      <c r="C1467" s="24"/>
      <c r="D1467" s="24"/>
      <c r="E1467" s="27"/>
      <c r="F1467" s="27"/>
      <c r="G1467" s="27"/>
      <c r="H1467" s="27"/>
      <c r="I1467" s="27"/>
      <c r="J1467" s="27"/>
      <c r="K1467" s="27"/>
      <c r="L1467" s="27"/>
      <c r="M1467" s="27"/>
      <c r="N1467" s="24"/>
      <c r="O1467" s="24"/>
      <c r="P1467" s="24"/>
      <c r="Q1467" s="24"/>
      <c r="R1467" s="24"/>
      <c r="S1467" s="24"/>
      <c r="T1467" s="24"/>
      <c r="U1467" s="27"/>
      <c r="V1467" s="27"/>
      <c r="W1467" s="24"/>
      <c r="X1467" s="24"/>
    </row>
    <row r="1468" spans="1:24" ht="14.25" customHeight="1" x14ac:dyDescent="0.25">
      <c r="A1468" s="27"/>
      <c r="B1468" s="27"/>
      <c r="C1468" s="24"/>
      <c r="D1468" s="24"/>
      <c r="E1468" s="27"/>
      <c r="F1468" s="27"/>
      <c r="G1468" s="27"/>
      <c r="H1468" s="27"/>
      <c r="I1468" s="27"/>
      <c r="J1468" s="27"/>
      <c r="K1468" s="27"/>
      <c r="L1468" s="27"/>
      <c r="M1468" s="27"/>
      <c r="N1468" s="24"/>
      <c r="O1468" s="24"/>
      <c r="P1468" s="24"/>
      <c r="Q1468" s="24"/>
      <c r="R1468" s="24"/>
      <c r="S1468" s="24"/>
      <c r="T1468" s="24"/>
      <c r="U1468" s="27"/>
      <c r="V1468" s="27"/>
      <c r="W1468" s="24"/>
      <c r="X1468" s="24"/>
    </row>
    <row r="1469" spans="1:24" ht="14.25" customHeight="1" x14ac:dyDescent="0.25">
      <c r="A1469" s="27"/>
      <c r="B1469" s="27"/>
      <c r="C1469" s="24"/>
      <c r="D1469" s="24"/>
      <c r="E1469" s="27"/>
      <c r="F1469" s="27"/>
      <c r="G1469" s="27"/>
      <c r="H1469" s="27"/>
      <c r="I1469" s="27"/>
      <c r="J1469" s="27"/>
      <c r="K1469" s="27"/>
      <c r="L1469" s="27"/>
      <c r="M1469" s="27"/>
      <c r="N1469" s="24"/>
      <c r="O1469" s="24"/>
      <c r="P1469" s="24"/>
      <c r="Q1469" s="24"/>
      <c r="R1469" s="24"/>
      <c r="S1469" s="24"/>
      <c r="T1469" s="24"/>
      <c r="U1469" s="27"/>
      <c r="V1469" s="27"/>
      <c r="W1469" s="24"/>
      <c r="X1469" s="24"/>
    </row>
    <row r="1470" spans="1:24" ht="14.25" customHeight="1" x14ac:dyDescent="0.25">
      <c r="A1470" s="27"/>
      <c r="B1470" s="27"/>
      <c r="C1470" s="24"/>
      <c r="D1470" s="24"/>
      <c r="E1470" s="27"/>
      <c r="F1470" s="27"/>
      <c r="G1470" s="27"/>
      <c r="H1470" s="27"/>
      <c r="I1470" s="27"/>
      <c r="J1470" s="27"/>
      <c r="K1470" s="27"/>
      <c r="L1470" s="27"/>
      <c r="M1470" s="27"/>
      <c r="N1470" s="24"/>
      <c r="O1470" s="24"/>
      <c r="P1470" s="24"/>
      <c r="Q1470" s="24"/>
      <c r="R1470" s="24"/>
      <c r="S1470" s="24"/>
      <c r="T1470" s="24"/>
      <c r="U1470" s="27"/>
      <c r="V1470" s="27"/>
      <c r="W1470" s="24"/>
      <c r="X1470" s="24"/>
    </row>
    <row r="1471" spans="1:24" ht="14.25" customHeight="1" x14ac:dyDescent="0.25">
      <c r="A1471" s="27"/>
      <c r="B1471" s="27"/>
      <c r="C1471" s="24"/>
      <c r="D1471" s="24"/>
      <c r="E1471" s="27"/>
      <c r="F1471" s="27"/>
      <c r="G1471" s="27"/>
      <c r="H1471" s="27"/>
      <c r="I1471" s="27"/>
      <c r="J1471" s="27"/>
      <c r="K1471" s="27"/>
      <c r="L1471" s="27"/>
      <c r="M1471" s="27"/>
      <c r="N1471" s="24"/>
      <c r="O1471" s="24"/>
      <c r="P1471" s="24"/>
      <c r="Q1471" s="24"/>
      <c r="R1471" s="24"/>
      <c r="S1471" s="24"/>
      <c r="T1471" s="24"/>
      <c r="U1471" s="27"/>
      <c r="V1471" s="27"/>
      <c r="W1471" s="24"/>
      <c r="X1471" s="24"/>
    </row>
    <row r="1472" spans="1:24" ht="14.25" customHeight="1" x14ac:dyDescent="0.25">
      <c r="A1472" s="27"/>
      <c r="B1472" s="27"/>
      <c r="C1472" s="24"/>
      <c r="D1472" s="24"/>
      <c r="E1472" s="27"/>
      <c r="F1472" s="27"/>
      <c r="G1472" s="27"/>
      <c r="H1472" s="27"/>
      <c r="I1472" s="27"/>
      <c r="J1472" s="27"/>
      <c r="K1472" s="27"/>
      <c r="L1472" s="27"/>
      <c r="M1472" s="27"/>
      <c r="N1472" s="24"/>
      <c r="O1472" s="24"/>
      <c r="P1472" s="24"/>
      <c r="Q1472" s="24"/>
      <c r="R1472" s="24"/>
      <c r="S1472" s="24"/>
      <c r="T1472" s="24"/>
      <c r="U1472" s="27"/>
      <c r="V1472" s="27"/>
      <c r="W1472" s="24"/>
      <c r="X1472" s="24"/>
    </row>
    <row r="1473" spans="1:24" ht="14.25" customHeight="1" x14ac:dyDescent="0.25">
      <c r="A1473" s="27"/>
      <c r="B1473" s="27"/>
      <c r="C1473" s="24"/>
      <c r="D1473" s="24"/>
      <c r="E1473" s="27"/>
      <c r="F1473" s="27"/>
      <c r="G1473" s="27"/>
      <c r="H1473" s="27"/>
      <c r="I1473" s="27"/>
      <c r="J1473" s="27"/>
      <c r="K1473" s="27"/>
      <c r="L1473" s="27"/>
      <c r="M1473" s="27"/>
      <c r="N1473" s="24"/>
      <c r="O1473" s="24"/>
      <c r="P1473" s="24"/>
      <c r="Q1473" s="24"/>
      <c r="R1473" s="24"/>
      <c r="S1473" s="24"/>
      <c r="T1473" s="24"/>
      <c r="U1473" s="27"/>
      <c r="V1473" s="27"/>
      <c r="W1473" s="24"/>
      <c r="X1473" s="24"/>
    </row>
    <row r="1474" spans="1:24" ht="14.25" customHeight="1" x14ac:dyDescent="0.25">
      <c r="A1474" s="27"/>
      <c r="B1474" s="27"/>
      <c r="C1474" s="24"/>
      <c r="D1474" s="24"/>
      <c r="E1474" s="27"/>
      <c r="F1474" s="27"/>
      <c r="G1474" s="27"/>
      <c r="H1474" s="27"/>
      <c r="I1474" s="27"/>
      <c r="J1474" s="27"/>
      <c r="K1474" s="27"/>
      <c r="L1474" s="27"/>
      <c r="M1474" s="27"/>
      <c r="N1474" s="24"/>
      <c r="O1474" s="24"/>
      <c r="P1474" s="24"/>
      <c r="Q1474" s="24"/>
      <c r="R1474" s="24"/>
      <c r="S1474" s="24"/>
      <c r="T1474" s="24"/>
      <c r="U1474" s="27"/>
      <c r="V1474" s="27"/>
      <c r="W1474" s="24"/>
      <c r="X1474" s="24"/>
    </row>
    <row r="1475" spans="1:24" ht="14.25" customHeight="1" x14ac:dyDescent="0.25">
      <c r="A1475" s="27"/>
      <c r="B1475" s="27"/>
      <c r="C1475" s="24"/>
      <c r="D1475" s="24"/>
      <c r="E1475" s="27"/>
      <c r="F1475" s="27"/>
      <c r="G1475" s="27"/>
      <c r="H1475" s="27"/>
      <c r="I1475" s="27"/>
      <c r="J1475" s="27"/>
      <c r="K1475" s="27"/>
      <c r="L1475" s="27"/>
      <c r="M1475" s="27"/>
      <c r="N1475" s="24"/>
      <c r="O1475" s="24"/>
      <c r="P1475" s="24"/>
      <c r="Q1475" s="24"/>
      <c r="R1475" s="24"/>
      <c r="S1475" s="24"/>
      <c r="T1475" s="24"/>
      <c r="U1475" s="27"/>
      <c r="V1475" s="27"/>
      <c r="W1475" s="24"/>
      <c r="X1475" s="24"/>
    </row>
    <row r="1476" spans="1:24" ht="14.25" customHeight="1" x14ac:dyDescent="0.25">
      <c r="A1476" s="27"/>
      <c r="B1476" s="27"/>
      <c r="C1476" s="24"/>
      <c r="D1476" s="24"/>
      <c r="E1476" s="27"/>
      <c r="F1476" s="27"/>
      <c r="G1476" s="27"/>
      <c r="H1476" s="27"/>
      <c r="I1476" s="27"/>
      <c r="J1476" s="27"/>
      <c r="K1476" s="27"/>
      <c r="L1476" s="27"/>
      <c r="M1476" s="27"/>
      <c r="N1476" s="24"/>
      <c r="O1476" s="24"/>
      <c r="P1476" s="24"/>
      <c r="Q1476" s="24"/>
      <c r="R1476" s="24"/>
      <c r="S1476" s="24"/>
      <c r="T1476" s="24"/>
      <c r="U1476" s="27"/>
      <c r="V1476" s="27"/>
      <c r="W1476" s="24"/>
      <c r="X1476" s="24"/>
    </row>
    <row r="1477" spans="1:24" ht="14.25" customHeight="1" x14ac:dyDescent="0.25">
      <c r="A1477" s="27"/>
      <c r="B1477" s="27"/>
      <c r="C1477" s="24"/>
      <c r="D1477" s="24"/>
      <c r="E1477" s="27"/>
      <c r="F1477" s="27"/>
      <c r="G1477" s="27"/>
      <c r="H1477" s="27"/>
      <c r="I1477" s="27"/>
      <c r="J1477" s="27"/>
      <c r="K1477" s="27"/>
      <c r="L1477" s="27"/>
      <c r="M1477" s="27"/>
      <c r="N1477" s="24"/>
      <c r="O1477" s="24"/>
      <c r="P1477" s="24"/>
      <c r="Q1477" s="24"/>
      <c r="R1477" s="24"/>
      <c r="S1477" s="24"/>
      <c r="T1477" s="24"/>
      <c r="U1477" s="27"/>
      <c r="V1477" s="27"/>
      <c r="W1477" s="24"/>
      <c r="X1477" s="24"/>
    </row>
    <row r="1478" spans="1:24" ht="14.25" customHeight="1" x14ac:dyDescent="0.25">
      <c r="A1478" s="27"/>
      <c r="B1478" s="27"/>
      <c r="C1478" s="24"/>
      <c r="D1478" s="24"/>
      <c r="E1478" s="27"/>
      <c r="F1478" s="27"/>
      <c r="G1478" s="27"/>
      <c r="H1478" s="27"/>
      <c r="I1478" s="27"/>
      <c r="J1478" s="27"/>
      <c r="K1478" s="27"/>
      <c r="L1478" s="27"/>
      <c r="M1478" s="27"/>
      <c r="N1478" s="24"/>
      <c r="O1478" s="24"/>
      <c r="P1478" s="24"/>
      <c r="Q1478" s="24"/>
      <c r="R1478" s="24"/>
      <c r="S1478" s="24"/>
      <c r="T1478" s="24"/>
      <c r="U1478" s="27"/>
      <c r="V1478" s="27"/>
      <c r="W1478" s="24"/>
      <c r="X1478" s="24"/>
    </row>
    <row r="1479" spans="1:24" ht="14.25" customHeight="1" x14ac:dyDescent="0.25">
      <c r="A1479" s="27"/>
      <c r="B1479" s="27"/>
      <c r="C1479" s="24"/>
      <c r="D1479" s="24"/>
      <c r="E1479" s="27"/>
      <c r="F1479" s="27"/>
      <c r="G1479" s="27"/>
      <c r="H1479" s="27"/>
      <c r="I1479" s="27"/>
      <c r="J1479" s="27"/>
      <c r="K1479" s="27"/>
      <c r="L1479" s="27"/>
      <c r="M1479" s="27"/>
      <c r="N1479" s="24"/>
      <c r="O1479" s="24"/>
      <c r="P1479" s="24"/>
      <c r="Q1479" s="24"/>
      <c r="R1479" s="24"/>
      <c r="S1479" s="24"/>
      <c r="T1479" s="24"/>
      <c r="U1479" s="27"/>
      <c r="V1479" s="27"/>
      <c r="W1479" s="24"/>
      <c r="X1479" s="24"/>
    </row>
    <row r="1480" spans="1:24" ht="14.25" customHeight="1" x14ac:dyDescent="0.25">
      <c r="A1480" s="27"/>
      <c r="B1480" s="27"/>
      <c r="C1480" s="24"/>
      <c r="D1480" s="24"/>
      <c r="E1480" s="27"/>
      <c r="F1480" s="27"/>
      <c r="G1480" s="27"/>
      <c r="H1480" s="27"/>
      <c r="I1480" s="27"/>
      <c r="J1480" s="27"/>
      <c r="K1480" s="27"/>
      <c r="L1480" s="27"/>
      <c r="M1480" s="27"/>
      <c r="N1480" s="24"/>
      <c r="O1480" s="24"/>
      <c r="P1480" s="24"/>
      <c r="Q1480" s="24"/>
      <c r="R1480" s="24"/>
      <c r="S1480" s="24"/>
      <c r="T1480" s="24"/>
      <c r="U1480" s="27"/>
      <c r="V1480" s="27"/>
      <c r="W1480" s="24"/>
      <c r="X1480" s="24"/>
    </row>
    <row r="1481" spans="1:24" ht="14.25" customHeight="1" x14ac:dyDescent="0.25">
      <c r="A1481" s="27"/>
      <c r="B1481" s="27"/>
      <c r="C1481" s="24"/>
      <c r="D1481" s="24"/>
      <c r="E1481" s="27"/>
      <c r="F1481" s="27"/>
      <c r="G1481" s="27"/>
      <c r="H1481" s="27"/>
      <c r="I1481" s="27"/>
      <c r="J1481" s="27"/>
      <c r="K1481" s="27"/>
      <c r="L1481" s="27"/>
      <c r="M1481" s="27"/>
      <c r="N1481" s="24"/>
      <c r="O1481" s="24"/>
      <c r="P1481" s="24"/>
      <c r="Q1481" s="24"/>
      <c r="R1481" s="24"/>
      <c r="S1481" s="24"/>
      <c r="T1481" s="24"/>
      <c r="U1481" s="27"/>
      <c r="V1481" s="27"/>
      <c r="W1481" s="24"/>
      <c r="X1481" s="24"/>
    </row>
    <row r="1482" spans="1:24" ht="14.25" customHeight="1" x14ac:dyDescent="0.25">
      <c r="A1482" s="27"/>
      <c r="B1482" s="27"/>
      <c r="C1482" s="24"/>
      <c r="D1482" s="24"/>
      <c r="E1482" s="27"/>
      <c r="F1482" s="27"/>
      <c r="G1482" s="27"/>
      <c r="H1482" s="27"/>
      <c r="I1482" s="27"/>
      <c r="J1482" s="27"/>
      <c r="K1482" s="27"/>
      <c r="L1482" s="27"/>
      <c r="M1482" s="27"/>
      <c r="N1482" s="24"/>
      <c r="O1482" s="24"/>
      <c r="P1482" s="24"/>
      <c r="Q1482" s="24"/>
      <c r="R1482" s="24"/>
      <c r="S1482" s="24"/>
      <c r="T1482" s="24"/>
      <c r="U1482" s="27"/>
      <c r="V1482" s="27"/>
      <c r="W1482" s="24"/>
      <c r="X1482" s="24"/>
    </row>
    <row r="1483" spans="1:24" ht="14.25" customHeight="1" x14ac:dyDescent="0.25">
      <c r="A1483" s="27"/>
      <c r="B1483" s="27"/>
      <c r="C1483" s="24"/>
      <c r="D1483" s="24"/>
      <c r="E1483" s="27"/>
      <c r="F1483" s="27"/>
      <c r="G1483" s="27"/>
      <c r="H1483" s="27"/>
      <c r="I1483" s="27"/>
      <c r="J1483" s="27"/>
      <c r="K1483" s="27"/>
      <c r="L1483" s="27"/>
      <c r="M1483" s="27"/>
      <c r="N1483" s="24"/>
      <c r="O1483" s="24"/>
      <c r="P1483" s="24"/>
      <c r="Q1483" s="24"/>
      <c r="R1483" s="24"/>
      <c r="S1483" s="24"/>
      <c r="T1483" s="24"/>
      <c r="U1483" s="27"/>
      <c r="V1483" s="27"/>
      <c r="W1483" s="24"/>
      <c r="X1483" s="24"/>
    </row>
    <row r="1484" spans="1:24" ht="14.25" customHeight="1" x14ac:dyDescent="0.25">
      <c r="A1484" s="27"/>
      <c r="B1484" s="27"/>
      <c r="C1484" s="24"/>
      <c r="D1484" s="24"/>
      <c r="E1484" s="27"/>
      <c r="F1484" s="27"/>
      <c r="G1484" s="27"/>
      <c r="H1484" s="27"/>
      <c r="I1484" s="27"/>
      <c r="J1484" s="27"/>
      <c r="K1484" s="27"/>
      <c r="L1484" s="27"/>
      <c r="M1484" s="27"/>
      <c r="N1484" s="24"/>
      <c r="O1484" s="24"/>
      <c r="P1484" s="24"/>
      <c r="Q1484" s="24"/>
      <c r="R1484" s="24"/>
      <c r="S1484" s="24"/>
      <c r="T1484" s="24"/>
      <c r="U1484" s="27"/>
      <c r="V1484" s="27"/>
      <c r="W1484" s="24"/>
      <c r="X1484" s="24"/>
    </row>
    <row r="1485" spans="1:24" ht="14.25" customHeight="1" x14ac:dyDescent="0.25">
      <c r="A1485" s="27"/>
      <c r="B1485" s="27"/>
      <c r="C1485" s="24"/>
      <c r="D1485" s="24"/>
      <c r="E1485" s="27"/>
      <c r="F1485" s="27"/>
      <c r="G1485" s="27"/>
      <c r="H1485" s="27"/>
      <c r="I1485" s="27"/>
      <c r="J1485" s="27"/>
      <c r="K1485" s="27"/>
      <c r="L1485" s="27"/>
      <c r="M1485" s="27"/>
      <c r="N1485" s="24"/>
      <c r="O1485" s="24"/>
      <c r="P1485" s="24"/>
      <c r="Q1485" s="24"/>
      <c r="R1485" s="24"/>
      <c r="S1485" s="24"/>
      <c r="T1485" s="24"/>
      <c r="U1485" s="27"/>
      <c r="V1485" s="27"/>
      <c r="W1485" s="24"/>
      <c r="X1485" s="24"/>
    </row>
    <row r="1486" spans="1:24" ht="14.25" customHeight="1" x14ac:dyDescent="0.25">
      <c r="A1486" s="27"/>
      <c r="B1486" s="27"/>
      <c r="C1486" s="24"/>
      <c r="D1486" s="24"/>
      <c r="E1486" s="27"/>
      <c r="F1486" s="27"/>
      <c r="G1486" s="27"/>
      <c r="H1486" s="27"/>
      <c r="I1486" s="27"/>
      <c r="J1486" s="27"/>
      <c r="K1486" s="27"/>
      <c r="L1486" s="27"/>
      <c r="M1486" s="27"/>
      <c r="N1486" s="24"/>
      <c r="O1486" s="24"/>
      <c r="P1486" s="24"/>
      <c r="Q1486" s="24"/>
      <c r="R1486" s="24"/>
      <c r="S1486" s="24"/>
      <c r="T1486" s="24"/>
      <c r="U1486" s="27"/>
      <c r="V1486" s="27"/>
      <c r="W1486" s="24"/>
      <c r="X1486" s="24"/>
    </row>
    <row r="1487" spans="1:24" ht="14.25" customHeight="1" x14ac:dyDescent="0.25">
      <c r="A1487" s="27"/>
      <c r="B1487" s="27"/>
      <c r="C1487" s="24"/>
      <c r="D1487" s="24"/>
      <c r="E1487" s="27"/>
      <c r="F1487" s="27"/>
      <c r="G1487" s="27"/>
      <c r="H1487" s="27"/>
      <c r="I1487" s="27"/>
      <c r="J1487" s="27"/>
      <c r="K1487" s="27"/>
      <c r="L1487" s="27"/>
      <c r="M1487" s="27"/>
      <c r="N1487" s="24"/>
      <c r="O1487" s="24"/>
      <c r="P1487" s="24"/>
      <c r="Q1487" s="24"/>
      <c r="R1487" s="24"/>
      <c r="S1487" s="24"/>
      <c r="T1487" s="24"/>
      <c r="U1487" s="27"/>
      <c r="V1487" s="27"/>
      <c r="W1487" s="24"/>
      <c r="X1487" s="24"/>
    </row>
    <row r="1488" spans="1:24" ht="14.25" customHeight="1" x14ac:dyDescent="0.25">
      <c r="A1488" s="27"/>
      <c r="B1488" s="27"/>
      <c r="C1488" s="24"/>
      <c r="D1488" s="24"/>
      <c r="E1488" s="27"/>
      <c r="F1488" s="27"/>
      <c r="G1488" s="27"/>
      <c r="H1488" s="27"/>
      <c r="I1488" s="27"/>
      <c r="J1488" s="27"/>
      <c r="K1488" s="27"/>
      <c r="L1488" s="27"/>
      <c r="M1488" s="27"/>
      <c r="N1488" s="24"/>
      <c r="O1488" s="24"/>
      <c r="P1488" s="24"/>
      <c r="Q1488" s="24"/>
      <c r="R1488" s="24"/>
      <c r="S1488" s="24"/>
      <c r="T1488" s="24"/>
      <c r="U1488" s="27"/>
      <c r="V1488" s="27"/>
      <c r="W1488" s="24"/>
      <c r="X1488" s="24"/>
    </row>
    <row r="1489" spans="1:24" ht="14.25" customHeight="1" x14ac:dyDescent="0.25">
      <c r="A1489" s="27"/>
      <c r="B1489" s="27"/>
      <c r="C1489" s="24"/>
      <c r="D1489" s="24"/>
      <c r="E1489" s="27"/>
      <c r="F1489" s="27"/>
      <c r="G1489" s="27"/>
      <c r="H1489" s="27"/>
      <c r="I1489" s="27"/>
      <c r="J1489" s="27"/>
      <c r="K1489" s="27"/>
      <c r="L1489" s="27"/>
      <c r="M1489" s="27"/>
      <c r="N1489" s="24"/>
      <c r="O1489" s="24"/>
      <c r="P1489" s="24"/>
      <c r="Q1489" s="24"/>
      <c r="R1489" s="24"/>
      <c r="S1489" s="24"/>
      <c r="T1489" s="24"/>
      <c r="U1489" s="27"/>
      <c r="V1489" s="27"/>
      <c r="W1489" s="24"/>
      <c r="X1489" s="24"/>
    </row>
    <row r="1490" spans="1:24" ht="14.25" customHeight="1" x14ac:dyDescent="0.25">
      <c r="A1490" s="27"/>
      <c r="B1490" s="27"/>
      <c r="C1490" s="24"/>
      <c r="D1490" s="24"/>
      <c r="E1490" s="27"/>
      <c r="F1490" s="27"/>
      <c r="G1490" s="27"/>
      <c r="H1490" s="27"/>
      <c r="I1490" s="27"/>
      <c r="J1490" s="27"/>
      <c r="K1490" s="27"/>
      <c r="L1490" s="27"/>
      <c r="M1490" s="27"/>
      <c r="N1490" s="24"/>
      <c r="O1490" s="24"/>
      <c r="P1490" s="24"/>
      <c r="Q1490" s="24"/>
      <c r="R1490" s="24"/>
      <c r="S1490" s="24"/>
      <c r="T1490" s="24"/>
      <c r="U1490" s="27"/>
      <c r="V1490" s="27"/>
      <c r="W1490" s="24"/>
      <c r="X1490" s="24"/>
    </row>
    <row r="1491" spans="1:24" ht="14.25" customHeight="1" x14ac:dyDescent="0.25">
      <c r="A1491" s="27"/>
      <c r="B1491" s="27"/>
      <c r="C1491" s="24"/>
      <c r="D1491" s="24"/>
      <c r="E1491" s="27"/>
      <c r="F1491" s="27"/>
      <c r="G1491" s="27"/>
      <c r="H1491" s="27"/>
      <c r="I1491" s="27"/>
      <c r="J1491" s="27"/>
      <c r="K1491" s="27"/>
      <c r="L1491" s="27"/>
      <c r="M1491" s="27"/>
      <c r="N1491" s="24"/>
      <c r="O1491" s="24"/>
      <c r="P1491" s="24"/>
      <c r="Q1491" s="24"/>
      <c r="R1491" s="24"/>
      <c r="S1491" s="24"/>
      <c r="T1491" s="24"/>
      <c r="U1491" s="27"/>
      <c r="V1491" s="27"/>
      <c r="W1491" s="24"/>
      <c r="X1491" s="24"/>
    </row>
    <row r="1492" spans="1:24" ht="14.25" customHeight="1" x14ac:dyDescent="0.25">
      <c r="A1492" s="27"/>
      <c r="B1492" s="27"/>
      <c r="C1492" s="24"/>
      <c r="D1492" s="24"/>
      <c r="E1492" s="27"/>
      <c r="F1492" s="27"/>
      <c r="G1492" s="27"/>
      <c r="H1492" s="27"/>
      <c r="I1492" s="27"/>
      <c r="J1492" s="27"/>
      <c r="K1492" s="27"/>
      <c r="L1492" s="27"/>
      <c r="M1492" s="27"/>
      <c r="N1492" s="24"/>
      <c r="O1492" s="24"/>
      <c r="P1492" s="24"/>
      <c r="Q1492" s="24"/>
      <c r="R1492" s="24"/>
      <c r="S1492" s="24"/>
      <c r="T1492" s="24"/>
      <c r="U1492" s="27"/>
      <c r="V1492" s="27"/>
      <c r="W1492" s="24"/>
      <c r="X1492" s="24"/>
    </row>
    <row r="1493" spans="1:24" ht="14.25" customHeight="1" x14ac:dyDescent="0.25">
      <c r="A1493" s="27"/>
      <c r="B1493" s="27"/>
      <c r="C1493" s="24"/>
      <c r="D1493" s="24"/>
      <c r="E1493" s="27"/>
      <c r="F1493" s="27"/>
      <c r="G1493" s="27"/>
      <c r="H1493" s="27"/>
      <c r="I1493" s="27"/>
      <c r="J1493" s="27"/>
      <c r="K1493" s="27"/>
      <c r="L1493" s="27"/>
      <c r="M1493" s="27"/>
      <c r="N1493" s="24"/>
      <c r="O1493" s="24"/>
      <c r="P1493" s="24"/>
      <c r="Q1493" s="24"/>
      <c r="R1493" s="24"/>
      <c r="S1493" s="24"/>
      <c r="T1493" s="24"/>
      <c r="U1493" s="27"/>
      <c r="V1493" s="27"/>
      <c r="W1493" s="24"/>
      <c r="X1493" s="24"/>
    </row>
    <row r="1494" spans="1:24" ht="14.25" customHeight="1" x14ac:dyDescent="0.25">
      <c r="A1494" s="27"/>
      <c r="B1494" s="27"/>
      <c r="C1494" s="24"/>
      <c r="D1494" s="24"/>
      <c r="E1494" s="27"/>
      <c r="F1494" s="27"/>
      <c r="G1494" s="27"/>
      <c r="H1494" s="27"/>
      <c r="I1494" s="27"/>
      <c r="J1494" s="27"/>
      <c r="K1494" s="27"/>
      <c r="L1494" s="27"/>
      <c r="M1494" s="27"/>
      <c r="N1494" s="24"/>
      <c r="O1494" s="24"/>
      <c r="P1494" s="24"/>
      <c r="Q1494" s="24"/>
      <c r="R1494" s="24"/>
      <c r="S1494" s="24"/>
      <c r="T1494" s="24"/>
      <c r="U1494" s="27"/>
      <c r="V1494" s="27"/>
      <c r="W1494" s="24"/>
      <c r="X1494" s="24"/>
    </row>
    <row r="1495" spans="1:24" ht="14.25" customHeight="1" x14ac:dyDescent="0.25">
      <c r="A1495" s="27"/>
      <c r="B1495" s="27"/>
      <c r="C1495" s="24"/>
      <c r="D1495" s="24"/>
      <c r="E1495" s="27"/>
      <c r="F1495" s="27"/>
      <c r="G1495" s="27"/>
      <c r="H1495" s="27"/>
      <c r="I1495" s="27"/>
      <c r="J1495" s="27"/>
      <c r="K1495" s="27"/>
      <c r="L1495" s="27"/>
      <c r="M1495" s="27"/>
      <c r="N1495" s="24"/>
      <c r="O1495" s="24"/>
      <c r="P1495" s="24"/>
      <c r="Q1495" s="24"/>
      <c r="R1495" s="24"/>
      <c r="S1495" s="24"/>
      <c r="T1495" s="24"/>
      <c r="U1495" s="27"/>
      <c r="V1495" s="27"/>
      <c r="W1495" s="24"/>
      <c r="X1495" s="24"/>
    </row>
    <row r="1496" spans="1:24" ht="14.25" customHeight="1" x14ac:dyDescent="0.25">
      <c r="A1496" s="27"/>
      <c r="B1496" s="27"/>
      <c r="C1496" s="24"/>
      <c r="D1496" s="24"/>
      <c r="E1496" s="27"/>
      <c r="F1496" s="27"/>
      <c r="G1496" s="27"/>
      <c r="H1496" s="27"/>
      <c r="I1496" s="27"/>
      <c r="J1496" s="27"/>
      <c r="K1496" s="27"/>
      <c r="L1496" s="27"/>
      <c r="M1496" s="27"/>
      <c r="N1496" s="24"/>
      <c r="O1496" s="24"/>
      <c r="P1496" s="24"/>
      <c r="Q1496" s="24"/>
      <c r="R1496" s="24"/>
      <c r="S1496" s="24"/>
      <c r="T1496" s="24"/>
      <c r="U1496" s="27"/>
      <c r="V1496" s="27"/>
      <c r="W1496" s="24"/>
      <c r="X1496" s="24"/>
    </row>
    <row r="1497" spans="1:24" ht="14.25" customHeight="1" x14ac:dyDescent="0.25">
      <c r="A1497" s="27"/>
      <c r="B1497" s="27"/>
      <c r="C1497" s="24"/>
      <c r="D1497" s="24"/>
      <c r="E1497" s="27"/>
      <c r="F1497" s="27"/>
      <c r="G1497" s="27"/>
      <c r="H1497" s="27"/>
      <c r="I1497" s="27"/>
      <c r="J1497" s="27"/>
      <c r="K1497" s="27"/>
      <c r="L1497" s="27"/>
      <c r="M1497" s="27"/>
      <c r="N1497" s="24"/>
      <c r="O1497" s="24"/>
      <c r="P1497" s="24"/>
      <c r="Q1497" s="24"/>
      <c r="R1497" s="24"/>
      <c r="S1497" s="24"/>
      <c r="T1497" s="24"/>
      <c r="U1497" s="27"/>
      <c r="V1497" s="27"/>
      <c r="W1497" s="24"/>
      <c r="X1497" s="24"/>
    </row>
    <row r="1498" spans="1:24" ht="14.25" customHeight="1" x14ac:dyDescent="0.25">
      <c r="A1498" s="27"/>
      <c r="B1498" s="27"/>
      <c r="C1498" s="24"/>
      <c r="D1498" s="24"/>
      <c r="E1498" s="27"/>
      <c r="F1498" s="27"/>
      <c r="G1498" s="27"/>
      <c r="H1498" s="27"/>
      <c r="I1498" s="27"/>
      <c r="J1498" s="27"/>
      <c r="K1498" s="27"/>
      <c r="L1498" s="27"/>
      <c r="M1498" s="27"/>
      <c r="N1498" s="24"/>
      <c r="O1498" s="24"/>
      <c r="P1498" s="24"/>
      <c r="Q1498" s="24"/>
      <c r="R1498" s="24"/>
      <c r="S1498" s="24"/>
      <c r="T1498" s="24"/>
      <c r="U1498" s="27"/>
      <c r="V1498" s="27"/>
      <c r="W1498" s="24"/>
      <c r="X1498" s="24"/>
    </row>
    <row r="1499" spans="1:24" ht="14.25" customHeight="1" x14ac:dyDescent="0.25">
      <c r="A1499" s="27"/>
      <c r="B1499" s="27"/>
      <c r="C1499" s="24"/>
      <c r="D1499" s="24"/>
      <c r="E1499" s="27"/>
      <c r="F1499" s="27"/>
      <c r="G1499" s="27"/>
      <c r="H1499" s="27"/>
      <c r="I1499" s="27"/>
      <c r="J1499" s="27"/>
      <c r="K1499" s="27"/>
      <c r="L1499" s="27"/>
      <c r="M1499" s="27"/>
      <c r="N1499" s="24"/>
      <c r="O1499" s="24"/>
      <c r="P1499" s="24"/>
      <c r="Q1499" s="24"/>
      <c r="R1499" s="24"/>
      <c r="S1499" s="24"/>
      <c r="T1499" s="24"/>
      <c r="U1499" s="27"/>
      <c r="V1499" s="27"/>
      <c r="W1499" s="24"/>
      <c r="X1499" s="24"/>
    </row>
    <row r="1500" spans="1:24" ht="14.25" customHeight="1" x14ac:dyDescent="0.25">
      <c r="A1500" s="27"/>
      <c r="B1500" s="27"/>
      <c r="C1500" s="24"/>
      <c r="D1500" s="24"/>
      <c r="E1500" s="27"/>
      <c r="F1500" s="27"/>
      <c r="G1500" s="27"/>
      <c r="H1500" s="27"/>
      <c r="I1500" s="27"/>
      <c r="J1500" s="27"/>
      <c r="K1500" s="27"/>
      <c r="L1500" s="27"/>
      <c r="M1500" s="27"/>
      <c r="N1500" s="24"/>
      <c r="O1500" s="24"/>
      <c r="P1500" s="24"/>
      <c r="Q1500" s="24"/>
      <c r="R1500" s="24"/>
      <c r="S1500" s="24"/>
      <c r="T1500" s="24"/>
      <c r="U1500" s="27"/>
      <c r="V1500" s="27"/>
      <c r="W1500" s="24"/>
      <c r="X1500" s="24"/>
    </row>
    <row r="1501" spans="1:24" ht="14.25" customHeight="1" x14ac:dyDescent="0.25">
      <c r="A1501" s="27"/>
      <c r="B1501" s="27"/>
      <c r="C1501" s="24"/>
      <c r="D1501" s="24"/>
      <c r="E1501" s="27"/>
      <c r="F1501" s="27"/>
      <c r="G1501" s="27"/>
      <c r="H1501" s="27"/>
      <c r="I1501" s="27"/>
      <c r="J1501" s="27"/>
      <c r="K1501" s="27"/>
      <c r="L1501" s="27"/>
      <c r="M1501" s="27"/>
      <c r="N1501" s="24"/>
      <c r="O1501" s="24"/>
      <c r="P1501" s="24"/>
      <c r="Q1501" s="24"/>
      <c r="R1501" s="24"/>
      <c r="S1501" s="24"/>
      <c r="T1501" s="24"/>
      <c r="U1501" s="27"/>
      <c r="V1501" s="27"/>
      <c r="W1501" s="24"/>
      <c r="X1501" s="24"/>
    </row>
    <row r="1502" spans="1:24" ht="14.25" customHeight="1" x14ac:dyDescent="0.25">
      <c r="A1502" s="27"/>
      <c r="B1502" s="27"/>
      <c r="C1502" s="24"/>
      <c r="D1502" s="24"/>
      <c r="E1502" s="27"/>
      <c r="F1502" s="27"/>
      <c r="G1502" s="27"/>
      <c r="H1502" s="27"/>
      <c r="I1502" s="27"/>
      <c r="J1502" s="27"/>
      <c r="K1502" s="27"/>
      <c r="L1502" s="27"/>
      <c r="M1502" s="27"/>
      <c r="N1502" s="24"/>
      <c r="O1502" s="24"/>
      <c r="P1502" s="24"/>
      <c r="Q1502" s="24"/>
      <c r="R1502" s="24"/>
      <c r="S1502" s="24"/>
      <c r="T1502" s="24"/>
      <c r="U1502" s="27"/>
      <c r="V1502" s="27"/>
      <c r="W1502" s="24"/>
      <c r="X1502" s="24"/>
    </row>
    <row r="1503" spans="1:24" ht="14.25" customHeight="1" x14ac:dyDescent="0.25">
      <c r="A1503" s="27"/>
      <c r="B1503" s="27"/>
      <c r="C1503" s="24"/>
      <c r="D1503" s="24"/>
      <c r="E1503" s="27"/>
      <c r="F1503" s="27"/>
      <c r="G1503" s="27"/>
      <c r="H1503" s="27"/>
      <c r="I1503" s="27"/>
      <c r="J1503" s="27"/>
      <c r="K1503" s="27"/>
      <c r="L1503" s="27"/>
      <c r="M1503" s="27"/>
      <c r="N1503" s="24"/>
      <c r="O1503" s="24"/>
      <c r="P1503" s="24"/>
      <c r="Q1503" s="24"/>
      <c r="R1503" s="24"/>
      <c r="S1503" s="24"/>
      <c r="T1503" s="24"/>
      <c r="U1503" s="27"/>
      <c r="V1503" s="27"/>
      <c r="W1503" s="24"/>
      <c r="X1503" s="24"/>
    </row>
    <row r="1504" spans="1:24" ht="14.25" customHeight="1" x14ac:dyDescent="0.25">
      <c r="A1504" s="27"/>
      <c r="B1504" s="27"/>
      <c r="C1504" s="24"/>
      <c r="D1504" s="24"/>
      <c r="E1504" s="27"/>
      <c r="F1504" s="27"/>
      <c r="G1504" s="27"/>
      <c r="H1504" s="27"/>
      <c r="I1504" s="27"/>
      <c r="J1504" s="27"/>
      <c r="K1504" s="27"/>
      <c r="L1504" s="27"/>
      <c r="M1504" s="27"/>
      <c r="N1504" s="24"/>
      <c r="O1504" s="24"/>
      <c r="P1504" s="24"/>
      <c r="Q1504" s="24"/>
      <c r="R1504" s="24"/>
      <c r="S1504" s="24"/>
      <c r="T1504" s="24"/>
      <c r="U1504" s="27"/>
      <c r="V1504" s="27"/>
      <c r="W1504" s="24"/>
      <c r="X1504" s="24"/>
    </row>
    <row r="1505" spans="1:24" ht="14.25" customHeight="1" x14ac:dyDescent="0.25">
      <c r="A1505" s="27"/>
      <c r="B1505" s="27"/>
      <c r="C1505" s="24"/>
      <c r="D1505" s="24"/>
      <c r="E1505" s="27"/>
      <c r="F1505" s="27"/>
      <c r="G1505" s="27"/>
      <c r="H1505" s="27"/>
      <c r="I1505" s="27"/>
      <c r="J1505" s="27"/>
      <c r="K1505" s="27"/>
      <c r="L1505" s="27"/>
      <c r="M1505" s="27"/>
      <c r="N1505" s="24"/>
      <c r="O1505" s="24"/>
      <c r="P1505" s="24"/>
      <c r="Q1505" s="24"/>
      <c r="R1505" s="24"/>
      <c r="S1505" s="24"/>
      <c r="T1505" s="24"/>
      <c r="U1505" s="27"/>
      <c r="V1505" s="27"/>
      <c r="W1505" s="24"/>
      <c r="X1505" s="24"/>
    </row>
    <row r="1506" spans="1:24" ht="14.25" customHeight="1" x14ac:dyDescent="0.25">
      <c r="A1506" s="27"/>
      <c r="B1506" s="27"/>
      <c r="C1506" s="24"/>
      <c r="D1506" s="24"/>
      <c r="E1506" s="27"/>
      <c r="F1506" s="27"/>
      <c r="G1506" s="27"/>
      <c r="H1506" s="27"/>
      <c r="I1506" s="27"/>
      <c r="J1506" s="27"/>
      <c r="K1506" s="27"/>
      <c r="L1506" s="27"/>
      <c r="M1506" s="27"/>
      <c r="N1506" s="24"/>
      <c r="O1506" s="24"/>
      <c r="P1506" s="24"/>
      <c r="Q1506" s="24"/>
      <c r="R1506" s="24"/>
      <c r="S1506" s="24"/>
      <c r="T1506" s="24"/>
      <c r="U1506" s="27"/>
      <c r="V1506" s="27"/>
      <c r="W1506" s="24"/>
      <c r="X1506" s="24"/>
    </row>
    <row r="1507" spans="1:24" ht="14.25" customHeight="1" x14ac:dyDescent="0.25">
      <c r="A1507" s="27"/>
      <c r="B1507" s="27"/>
      <c r="C1507" s="24"/>
      <c r="D1507" s="24"/>
      <c r="E1507" s="27"/>
      <c r="F1507" s="27"/>
      <c r="G1507" s="27"/>
      <c r="H1507" s="27"/>
      <c r="I1507" s="27"/>
      <c r="J1507" s="27"/>
      <c r="K1507" s="27"/>
      <c r="L1507" s="27"/>
      <c r="M1507" s="27"/>
      <c r="N1507" s="24"/>
      <c r="O1507" s="24"/>
      <c r="P1507" s="24"/>
      <c r="Q1507" s="24"/>
      <c r="R1507" s="24"/>
      <c r="S1507" s="24"/>
      <c r="T1507" s="24"/>
      <c r="U1507" s="27"/>
      <c r="V1507" s="27"/>
      <c r="W1507" s="24"/>
      <c r="X1507" s="24"/>
    </row>
    <row r="1508" spans="1:24" ht="14.25" customHeight="1" x14ac:dyDescent="0.25">
      <c r="A1508" s="27"/>
      <c r="B1508" s="27"/>
      <c r="C1508" s="24"/>
      <c r="D1508" s="24"/>
      <c r="E1508" s="27"/>
      <c r="F1508" s="27"/>
      <c r="G1508" s="27"/>
      <c r="H1508" s="27"/>
      <c r="I1508" s="27"/>
      <c r="J1508" s="27"/>
      <c r="K1508" s="27"/>
      <c r="L1508" s="27"/>
      <c r="M1508" s="27"/>
      <c r="N1508" s="24"/>
      <c r="O1508" s="24"/>
      <c r="P1508" s="24"/>
      <c r="Q1508" s="24"/>
      <c r="R1508" s="24"/>
      <c r="S1508" s="24"/>
      <c r="T1508" s="24"/>
      <c r="U1508" s="27"/>
      <c r="V1508" s="27"/>
      <c r="W1508" s="24"/>
      <c r="X1508" s="24"/>
    </row>
    <row r="1509" spans="1:24" ht="14.25" customHeight="1" x14ac:dyDescent="0.25">
      <c r="A1509" s="27"/>
      <c r="B1509" s="27"/>
      <c r="C1509" s="24"/>
      <c r="D1509" s="24"/>
      <c r="E1509" s="27"/>
      <c r="F1509" s="27"/>
      <c r="G1509" s="27"/>
      <c r="H1509" s="27"/>
      <c r="I1509" s="27"/>
      <c r="J1509" s="27"/>
      <c r="K1509" s="27"/>
      <c r="L1509" s="27"/>
      <c r="M1509" s="27"/>
      <c r="N1509" s="24"/>
      <c r="O1509" s="24"/>
      <c r="P1509" s="24"/>
      <c r="Q1509" s="24"/>
      <c r="R1509" s="24"/>
      <c r="S1509" s="24"/>
      <c r="T1509" s="24"/>
      <c r="U1509" s="27"/>
      <c r="V1509" s="27"/>
      <c r="W1509" s="24"/>
      <c r="X1509" s="24"/>
    </row>
    <row r="1510" spans="1:24" ht="14.25" customHeight="1" x14ac:dyDescent="0.25">
      <c r="A1510" s="27"/>
      <c r="B1510" s="27"/>
      <c r="C1510" s="24"/>
      <c r="D1510" s="24"/>
      <c r="E1510" s="27"/>
      <c r="F1510" s="27"/>
      <c r="G1510" s="27"/>
      <c r="H1510" s="27"/>
      <c r="I1510" s="27"/>
      <c r="J1510" s="27"/>
      <c r="K1510" s="27"/>
      <c r="L1510" s="27"/>
      <c r="M1510" s="27"/>
      <c r="N1510" s="24"/>
      <c r="O1510" s="24"/>
      <c r="P1510" s="24"/>
      <c r="Q1510" s="24"/>
      <c r="R1510" s="24"/>
      <c r="S1510" s="24"/>
      <c r="T1510" s="24"/>
      <c r="U1510" s="27"/>
      <c r="V1510" s="27"/>
      <c r="W1510" s="24"/>
      <c r="X1510" s="24"/>
    </row>
    <row r="1511" spans="1:24" ht="14.25" customHeight="1" x14ac:dyDescent="0.25">
      <c r="A1511" s="27"/>
      <c r="B1511" s="27"/>
      <c r="C1511" s="24"/>
      <c r="D1511" s="24"/>
      <c r="E1511" s="27"/>
      <c r="F1511" s="27"/>
      <c r="G1511" s="27"/>
      <c r="H1511" s="27"/>
      <c r="I1511" s="27"/>
      <c r="J1511" s="27"/>
      <c r="K1511" s="27"/>
      <c r="L1511" s="27"/>
      <c r="M1511" s="27"/>
      <c r="N1511" s="24"/>
      <c r="O1511" s="24"/>
      <c r="P1511" s="24"/>
      <c r="Q1511" s="24"/>
      <c r="R1511" s="24"/>
      <c r="S1511" s="24"/>
      <c r="T1511" s="24"/>
      <c r="U1511" s="27"/>
      <c r="V1511" s="27"/>
      <c r="W1511" s="24"/>
      <c r="X1511" s="24"/>
    </row>
    <row r="1512" spans="1:24" ht="14.25" customHeight="1" x14ac:dyDescent="0.25">
      <c r="A1512" s="27"/>
      <c r="B1512" s="27"/>
      <c r="C1512" s="24"/>
      <c r="D1512" s="24"/>
      <c r="E1512" s="27"/>
      <c r="F1512" s="27"/>
      <c r="G1512" s="27"/>
      <c r="H1512" s="27"/>
      <c r="I1512" s="27"/>
      <c r="J1512" s="27"/>
      <c r="K1512" s="27"/>
      <c r="L1512" s="27"/>
      <c r="M1512" s="27"/>
      <c r="N1512" s="24"/>
      <c r="O1512" s="24"/>
      <c r="P1512" s="24"/>
      <c r="Q1512" s="24"/>
      <c r="R1512" s="24"/>
      <c r="S1512" s="24"/>
      <c r="T1512" s="24"/>
      <c r="U1512" s="27"/>
      <c r="V1512" s="27"/>
      <c r="W1512" s="24"/>
      <c r="X1512" s="24"/>
    </row>
    <row r="1513" spans="1:24" ht="14.25" customHeight="1" x14ac:dyDescent="0.25">
      <c r="A1513" s="27"/>
      <c r="B1513" s="27"/>
      <c r="C1513" s="24"/>
      <c r="D1513" s="24"/>
      <c r="E1513" s="27"/>
      <c r="F1513" s="27"/>
      <c r="G1513" s="27"/>
      <c r="H1513" s="27"/>
      <c r="I1513" s="27"/>
      <c r="J1513" s="27"/>
      <c r="K1513" s="27"/>
      <c r="L1513" s="27"/>
      <c r="M1513" s="27"/>
      <c r="N1513" s="24"/>
      <c r="O1513" s="24"/>
      <c r="P1513" s="24"/>
      <c r="Q1513" s="24"/>
      <c r="R1513" s="24"/>
      <c r="S1513" s="24"/>
      <c r="T1513" s="24"/>
      <c r="U1513" s="27"/>
      <c r="V1513" s="27"/>
      <c r="W1513" s="24"/>
      <c r="X1513" s="24"/>
    </row>
    <row r="1514" spans="1:24" ht="14.25" customHeight="1" x14ac:dyDescent="0.25">
      <c r="A1514" s="27"/>
      <c r="B1514" s="27"/>
      <c r="C1514" s="24"/>
      <c r="D1514" s="24"/>
      <c r="E1514" s="27"/>
      <c r="F1514" s="27"/>
      <c r="G1514" s="27"/>
      <c r="H1514" s="27"/>
      <c r="I1514" s="27"/>
      <c r="J1514" s="27"/>
      <c r="K1514" s="27"/>
      <c r="L1514" s="27"/>
      <c r="M1514" s="27"/>
      <c r="N1514" s="24"/>
      <c r="O1514" s="24"/>
      <c r="P1514" s="24"/>
      <c r="Q1514" s="24"/>
      <c r="R1514" s="24"/>
      <c r="S1514" s="24"/>
      <c r="T1514" s="24"/>
      <c r="U1514" s="27"/>
      <c r="V1514" s="27"/>
      <c r="W1514" s="24"/>
      <c r="X1514" s="24"/>
    </row>
    <row r="1515" spans="1:24" ht="14.25" customHeight="1" x14ac:dyDescent="0.25">
      <c r="A1515" s="27"/>
      <c r="B1515" s="27"/>
      <c r="C1515" s="24"/>
      <c r="D1515" s="24"/>
      <c r="E1515" s="27"/>
      <c r="F1515" s="27"/>
      <c r="G1515" s="27"/>
      <c r="H1515" s="27"/>
      <c r="I1515" s="27"/>
      <c r="J1515" s="27"/>
      <c r="K1515" s="27"/>
      <c r="L1515" s="27"/>
      <c r="M1515" s="27"/>
      <c r="N1515" s="24"/>
      <c r="O1515" s="24"/>
      <c r="P1515" s="24"/>
      <c r="Q1515" s="24"/>
      <c r="R1515" s="24"/>
      <c r="S1515" s="24"/>
      <c r="T1515" s="24"/>
      <c r="U1515" s="27"/>
      <c r="V1515" s="27"/>
      <c r="W1515" s="24"/>
      <c r="X1515" s="24"/>
    </row>
    <row r="1516" spans="1:24" ht="14.25" customHeight="1" x14ac:dyDescent="0.25">
      <c r="A1516" s="27"/>
      <c r="B1516" s="27"/>
      <c r="C1516" s="24"/>
      <c r="D1516" s="24"/>
      <c r="E1516" s="27"/>
      <c r="F1516" s="27"/>
      <c r="G1516" s="27"/>
      <c r="H1516" s="27"/>
      <c r="I1516" s="27"/>
      <c r="J1516" s="27"/>
      <c r="K1516" s="27"/>
      <c r="L1516" s="27"/>
      <c r="M1516" s="27"/>
      <c r="N1516" s="24"/>
      <c r="O1516" s="24"/>
      <c r="P1516" s="24"/>
      <c r="Q1516" s="24"/>
      <c r="R1516" s="24"/>
      <c r="S1516" s="24"/>
      <c r="T1516" s="24"/>
      <c r="U1516" s="27"/>
      <c r="V1516" s="27"/>
      <c r="W1516" s="24"/>
      <c r="X1516" s="24"/>
    </row>
    <row r="1517" spans="1:24" ht="14.25" customHeight="1" x14ac:dyDescent="0.25">
      <c r="A1517" s="27"/>
      <c r="B1517" s="27"/>
      <c r="C1517" s="24"/>
      <c r="D1517" s="24"/>
      <c r="E1517" s="27"/>
      <c r="F1517" s="27"/>
      <c r="G1517" s="27"/>
      <c r="H1517" s="27"/>
      <c r="I1517" s="27"/>
      <c r="J1517" s="27"/>
      <c r="K1517" s="27"/>
      <c r="L1517" s="27"/>
      <c r="M1517" s="27"/>
      <c r="N1517" s="24"/>
      <c r="O1517" s="24"/>
      <c r="P1517" s="24"/>
      <c r="Q1517" s="24"/>
      <c r="R1517" s="24"/>
      <c r="S1517" s="24"/>
      <c r="T1517" s="24"/>
      <c r="U1517" s="27"/>
      <c r="V1517" s="27"/>
      <c r="W1517" s="24"/>
      <c r="X1517" s="24"/>
    </row>
    <row r="1518" spans="1:24" ht="14.25" customHeight="1" x14ac:dyDescent="0.25">
      <c r="A1518" s="27"/>
      <c r="B1518" s="27"/>
      <c r="C1518" s="24"/>
      <c r="D1518" s="24"/>
      <c r="E1518" s="27"/>
      <c r="F1518" s="27"/>
      <c r="G1518" s="27"/>
      <c r="H1518" s="27"/>
      <c r="I1518" s="27"/>
      <c r="J1518" s="27"/>
      <c r="K1518" s="27"/>
      <c r="L1518" s="27"/>
      <c r="M1518" s="27"/>
      <c r="N1518" s="24"/>
      <c r="O1518" s="24"/>
      <c r="P1518" s="24"/>
      <c r="Q1518" s="24"/>
      <c r="R1518" s="24"/>
      <c r="S1518" s="24"/>
      <c r="T1518" s="24"/>
      <c r="U1518" s="27"/>
      <c r="V1518" s="27"/>
      <c r="W1518" s="24"/>
      <c r="X1518" s="24"/>
    </row>
    <row r="1519" spans="1:24" ht="14.25" customHeight="1" x14ac:dyDescent="0.25">
      <c r="A1519" s="27"/>
      <c r="B1519" s="27"/>
      <c r="C1519" s="24"/>
      <c r="D1519" s="24"/>
      <c r="E1519" s="27"/>
      <c r="F1519" s="27"/>
      <c r="G1519" s="27"/>
      <c r="H1519" s="27"/>
      <c r="I1519" s="27"/>
      <c r="J1519" s="27"/>
      <c r="K1519" s="27"/>
      <c r="L1519" s="27"/>
      <c r="M1519" s="27"/>
      <c r="N1519" s="24"/>
      <c r="O1519" s="24"/>
      <c r="P1519" s="24"/>
      <c r="Q1519" s="24"/>
      <c r="R1519" s="24"/>
      <c r="S1519" s="24"/>
      <c r="T1519" s="24"/>
      <c r="U1519" s="27"/>
      <c r="V1519" s="27"/>
      <c r="W1519" s="24"/>
      <c r="X1519" s="24"/>
    </row>
    <row r="1520" spans="1:24" ht="14.25" customHeight="1" x14ac:dyDescent="0.25">
      <c r="A1520" s="27"/>
      <c r="B1520" s="27"/>
      <c r="C1520" s="24"/>
      <c r="D1520" s="24"/>
      <c r="E1520" s="27"/>
      <c r="F1520" s="27"/>
      <c r="G1520" s="27"/>
      <c r="H1520" s="27"/>
      <c r="I1520" s="27"/>
      <c r="J1520" s="27"/>
      <c r="K1520" s="27"/>
      <c r="L1520" s="27"/>
      <c r="M1520" s="27"/>
      <c r="N1520" s="24"/>
      <c r="O1520" s="24"/>
      <c r="P1520" s="24"/>
      <c r="Q1520" s="24"/>
      <c r="R1520" s="24"/>
      <c r="S1520" s="24"/>
      <c r="T1520" s="24"/>
      <c r="U1520" s="27"/>
      <c r="V1520" s="27"/>
      <c r="W1520" s="24"/>
      <c r="X1520" s="24"/>
    </row>
    <row r="1521" spans="1:24" ht="14.25" customHeight="1" x14ac:dyDescent="0.25">
      <c r="A1521" s="27"/>
      <c r="B1521" s="27"/>
      <c r="C1521" s="24"/>
      <c r="D1521" s="24"/>
      <c r="E1521" s="27"/>
      <c r="F1521" s="27"/>
      <c r="G1521" s="27"/>
      <c r="H1521" s="27"/>
      <c r="I1521" s="27"/>
      <c r="J1521" s="27"/>
      <c r="K1521" s="27"/>
      <c r="L1521" s="27"/>
      <c r="M1521" s="27"/>
      <c r="N1521" s="24"/>
      <c r="O1521" s="24"/>
      <c r="P1521" s="24"/>
      <c r="Q1521" s="24"/>
      <c r="R1521" s="24"/>
      <c r="S1521" s="24"/>
      <c r="T1521" s="24"/>
      <c r="U1521" s="27"/>
      <c r="V1521" s="27"/>
      <c r="W1521" s="24"/>
      <c r="X1521" s="24"/>
    </row>
    <row r="1522" spans="1:24" ht="14.25" customHeight="1" x14ac:dyDescent="0.25">
      <c r="A1522" s="27"/>
      <c r="B1522" s="27"/>
      <c r="C1522" s="24"/>
      <c r="D1522" s="24"/>
      <c r="E1522" s="27"/>
      <c r="F1522" s="27"/>
      <c r="G1522" s="27"/>
      <c r="H1522" s="27"/>
      <c r="I1522" s="27"/>
      <c r="J1522" s="27"/>
      <c r="K1522" s="27"/>
      <c r="L1522" s="27"/>
      <c r="M1522" s="27"/>
      <c r="N1522" s="24"/>
      <c r="O1522" s="24"/>
      <c r="P1522" s="24"/>
      <c r="Q1522" s="24"/>
      <c r="R1522" s="24"/>
      <c r="S1522" s="24"/>
      <c r="T1522" s="24"/>
      <c r="U1522" s="27"/>
      <c r="V1522" s="27"/>
      <c r="W1522" s="24"/>
      <c r="X1522" s="24"/>
    </row>
    <row r="1523" spans="1:24" ht="14.25" customHeight="1" x14ac:dyDescent="0.25">
      <c r="A1523" s="27"/>
      <c r="B1523" s="27"/>
      <c r="C1523" s="24"/>
      <c r="D1523" s="24"/>
      <c r="E1523" s="27"/>
      <c r="F1523" s="27"/>
      <c r="G1523" s="27"/>
      <c r="H1523" s="27"/>
      <c r="I1523" s="27"/>
      <c r="J1523" s="27"/>
      <c r="K1523" s="27"/>
      <c r="L1523" s="27"/>
      <c r="M1523" s="27"/>
      <c r="N1523" s="24"/>
      <c r="O1523" s="24"/>
      <c r="P1523" s="24"/>
      <c r="Q1523" s="24"/>
      <c r="R1523" s="24"/>
      <c r="S1523" s="24"/>
      <c r="T1523" s="24"/>
      <c r="U1523" s="27"/>
      <c r="V1523" s="27"/>
      <c r="W1523" s="24"/>
      <c r="X1523" s="24"/>
    </row>
    <row r="1524" spans="1:24" ht="14.25" customHeight="1" x14ac:dyDescent="0.25">
      <c r="A1524" s="27"/>
      <c r="B1524" s="27"/>
      <c r="C1524" s="24"/>
      <c r="D1524" s="24"/>
      <c r="E1524" s="27"/>
      <c r="F1524" s="27"/>
      <c r="G1524" s="27"/>
      <c r="H1524" s="27"/>
      <c r="I1524" s="27"/>
      <c r="J1524" s="27"/>
      <c r="K1524" s="27"/>
      <c r="L1524" s="27"/>
      <c r="M1524" s="27"/>
      <c r="N1524" s="24"/>
      <c r="O1524" s="24"/>
      <c r="P1524" s="24"/>
      <c r="Q1524" s="24"/>
      <c r="R1524" s="24"/>
      <c r="S1524" s="24"/>
      <c r="T1524" s="24"/>
      <c r="U1524" s="27"/>
      <c r="V1524" s="27"/>
      <c r="W1524" s="24"/>
      <c r="X1524" s="24"/>
    </row>
    <row r="1525" spans="1:24" ht="14.25" customHeight="1" x14ac:dyDescent="0.25">
      <c r="A1525" s="27"/>
      <c r="B1525" s="27"/>
      <c r="C1525" s="24"/>
      <c r="D1525" s="24"/>
      <c r="E1525" s="27"/>
      <c r="F1525" s="27"/>
      <c r="G1525" s="27"/>
      <c r="H1525" s="27"/>
      <c r="I1525" s="27"/>
      <c r="J1525" s="27"/>
      <c r="K1525" s="27"/>
      <c r="L1525" s="27"/>
      <c r="M1525" s="27"/>
      <c r="N1525" s="24"/>
      <c r="O1525" s="24"/>
      <c r="P1525" s="24"/>
      <c r="Q1525" s="24"/>
      <c r="R1525" s="24"/>
      <c r="S1525" s="24"/>
      <c r="T1525" s="24"/>
      <c r="U1525" s="27"/>
      <c r="V1525" s="27"/>
      <c r="W1525" s="24"/>
      <c r="X1525" s="24"/>
    </row>
    <row r="1526" spans="1:24" ht="14.25" customHeight="1" x14ac:dyDescent="0.25">
      <c r="A1526" s="27"/>
      <c r="B1526" s="27"/>
      <c r="C1526" s="24"/>
      <c r="D1526" s="24"/>
      <c r="E1526" s="27"/>
      <c r="F1526" s="27"/>
      <c r="G1526" s="27"/>
      <c r="H1526" s="27"/>
      <c r="I1526" s="27"/>
      <c r="J1526" s="27"/>
      <c r="K1526" s="27"/>
      <c r="L1526" s="27"/>
      <c r="M1526" s="27"/>
      <c r="N1526" s="24"/>
      <c r="O1526" s="24"/>
      <c r="P1526" s="24"/>
      <c r="Q1526" s="24"/>
      <c r="R1526" s="24"/>
      <c r="S1526" s="24"/>
      <c r="T1526" s="24"/>
      <c r="U1526" s="27"/>
      <c r="V1526" s="27"/>
      <c r="W1526" s="24"/>
      <c r="X1526" s="24"/>
    </row>
    <row r="1527" spans="1:24" ht="14.25" customHeight="1" x14ac:dyDescent="0.25">
      <c r="A1527" s="27"/>
      <c r="B1527" s="27"/>
      <c r="C1527" s="24"/>
      <c r="D1527" s="24"/>
      <c r="E1527" s="27"/>
      <c r="F1527" s="27"/>
      <c r="G1527" s="27"/>
      <c r="H1527" s="27"/>
      <c r="I1527" s="27"/>
      <c r="J1527" s="27"/>
      <c r="K1527" s="27"/>
      <c r="L1527" s="27"/>
      <c r="M1527" s="27"/>
      <c r="N1527" s="24"/>
      <c r="O1527" s="24"/>
      <c r="P1527" s="24"/>
      <c r="Q1527" s="24"/>
      <c r="R1527" s="24"/>
      <c r="S1527" s="24"/>
      <c r="T1527" s="24"/>
      <c r="U1527" s="27"/>
      <c r="V1527" s="27"/>
      <c r="W1527" s="24"/>
      <c r="X1527" s="24"/>
    </row>
    <row r="1528" spans="1:24" ht="14.25" customHeight="1" x14ac:dyDescent="0.25">
      <c r="A1528" s="27"/>
      <c r="B1528" s="27"/>
      <c r="C1528" s="24"/>
      <c r="D1528" s="24"/>
      <c r="E1528" s="27"/>
      <c r="F1528" s="27"/>
      <c r="G1528" s="27"/>
      <c r="H1528" s="27"/>
      <c r="I1528" s="27"/>
      <c r="J1528" s="27"/>
      <c r="K1528" s="27"/>
      <c r="L1528" s="27"/>
      <c r="M1528" s="27"/>
      <c r="N1528" s="24"/>
      <c r="O1528" s="24"/>
      <c r="P1528" s="24"/>
      <c r="Q1528" s="24"/>
      <c r="R1528" s="24"/>
      <c r="S1528" s="24"/>
      <c r="T1528" s="24"/>
      <c r="U1528" s="27"/>
      <c r="V1528" s="27"/>
      <c r="W1528" s="24"/>
      <c r="X1528" s="24"/>
    </row>
    <row r="1529" spans="1:24" ht="14.25" customHeight="1" x14ac:dyDescent="0.25">
      <c r="A1529" s="27"/>
      <c r="B1529" s="27"/>
      <c r="C1529" s="24"/>
      <c r="D1529" s="24"/>
      <c r="E1529" s="27"/>
      <c r="F1529" s="27"/>
      <c r="G1529" s="27"/>
      <c r="H1529" s="27"/>
      <c r="I1529" s="27"/>
      <c r="J1529" s="27"/>
      <c r="K1529" s="27"/>
      <c r="L1529" s="27"/>
      <c r="M1529" s="27"/>
      <c r="N1529" s="24"/>
      <c r="O1529" s="24"/>
      <c r="P1529" s="24"/>
      <c r="Q1529" s="24"/>
      <c r="R1529" s="24"/>
      <c r="S1529" s="24"/>
      <c r="T1529" s="24"/>
      <c r="U1529" s="27"/>
      <c r="V1529" s="27"/>
      <c r="W1529" s="24"/>
      <c r="X1529" s="24"/>
    </row>
    <row r="1530" spans="1:24" ht="14.25" customHeight="1" x14ac:dyDescent="0.25">
      <c r="A1530" s="27"/>
      <c r="B1530" s="27"/>
      <c r="C1530" s="24"/>
      <c r="D1530" s="24"/>
      <c r="E1530" s="27"/>
      <c r="F1530" s="27"/>
      <c r="G1530" s="27"/>
      <c r="H1530" s="27"/>
      <c r="I1530" s="27"/>
      <c r="J1530" s="27"/>
      <c r="K1530" s="27"/>
      <c r="L1530" s="27"/>
      <c r="M1530" s="27"/>
      <c r="N1530" s="24"/>
      <c r="O1530" s="24"/>
      <c r="P1530" s="24"/>
      <c r="Q1530" s="24"/>
      <c r="R1530" s="24"/>
      <c r="S1530" s="24"/>
      <c r="T1530" s="24"/>
      <c r="U1530" s="27"/>
      <c r="V1530" s="27"/>
      <c r="W1530" s="24"/>
      <c r="X1530" s="24"/>
    </row>
    <row r="1531" spans="1:24" ht="14.25" customHeight="1" x14ac:dyDescent="0.25">
      <c r="A1531" s="27"/>
      <c r="B1531" s="27"/>
      <c r="C1531" s="24"/>
      <c r="D1531" s="24"/>
      <c r="E1531" s="27"/>
      <c r="F1531" s="27"/>
      <c r="G1531" s="27"/>
      <c r="H1531" s="27"/>
      <c r="I1531" s="27"/>
      <c r="J1531" s="27"/>
      <c r="K1531" s="27"/>
      <c r="L1531" s="27"/>
      <c r="M1531" s="27"/>
      <c r="N1531" s="24"/>
      <c r="O1531" s="24"/>
      <c r="P1531" s="24"/>
      <c r="Q1531" s="24"/>
      <c r="R1531" s="24"/>
      <c r="S1531" s="24"/>
      <c r="T1531" s="24"/>
      <c r="U1531" s="27"/>
      <c r="V1531" s="27"/>
      <c r="W1531" s="24"/>
      <c r="X1531" s="24"/>
    </row>
    <row r="1532" spans="1:24" ht="14.25" customHeight="1" x14ac:dyDescent="0.25">
      <c r="A1532" s="27"/>
      <c r="B1532" s="27"/>
      <c r="C1532" s="24"/>
      <c r="D1532" s="24"/>
      <c r="E1532" s="27"/>
      <c r="F1532" s="27"/>
      <c r="G1532" s="27"/>
      <c r="H1532" s="27"/>
      <c r="I1532" s="27"/>
      <c r="J1532" s="27"/>
      <c r="K1532" s="27"/>
      <c r="L1532" s="27"/>
      <c r="M1532" s="27"/>
      <c r="N1532" s="24"/>
      <c r="O1532" s="24"/>
      <c r="P1532" s="24"/>
      <c r="Q1532" s="24"/>
      <c r="R1532" s="24"/>
      <c r="S1532" s="24"/>
      <c r="T1532" s="24"/>
      <c r="U1532" s="27"/>
      <c r="V1532" s="27"/>
      <c r="W1532" s="24"/>
      <c r="X1532" s="24"/>
    </row>
    <row r="1533" spans="1:24" ht="14.25" customHeight="1" x14ac:dyDescent="0.25">
      <c r="A1533" s="27"/>
      <c r="B1533" s="27"/>
      <c r="C1533" s="24"/>
      <c r="D1533" s="24"/>
      <c r="E1533" s="27"/>
      <c r="F1533" s="27"/>
      <c r="G1533" s="27"/>
      <c r="H1533" s="27"/>
      <c r="I1533" s="27"/>
      <c r="J1533" s="27"/>
      <c r="K1533" s="27"/>
      <c r="L1533" s="27"/>
      <c r="M1533" s="27"/>
      <c r="N1533" s="24"/>
      <c r="O1533" s="24"/>
      <c r="P1533" s="24"/>
      <c r="Q1533" s="24"/>
      <c r="R1533" s="24"/>
      <c r="S1533" s="24"/>
      <c r="T1533" s="24"/>
      <c r="U1533" s="27"/>
      <c r="V1533" s="27"/>
      <c r="W1533" s="24"/>
      <c r="X1533" s="24"/>
    </row>
    <row r="1534" spans="1:24" ht="14.25" customHeight="1" x14ac:dyDescent="0.25">
      <c r="A1534" s="27"/>
      <c r="B1534" s="27"/>
      <c r="C1534" s="24"/>
      <c r="D1534" s="24"/>
      <c r="E1534" s="27"/>
      <c r="F1534" s="27"/>
      <c r="G1534" s="27"/>
      <c r="H1534" s="27"/>
      <c r="I1534" s="27"/>
      <c r="J1534" s="27"/>
      <c r="K1534" s="27"/>
      <c r="L1534" s="27"/>
      <c r="M1534" s="27"/>
      <c r="N1534" s="24"/>
      <c r="O1534" s="24"/>
      <c r="P1534" s="24"/>
      <c r="Q1534" s="24"/>
      <c r="R1534" s="24"/>
      <c r="S1534" s="24"/>
      <c r="T1534" s="24"/>
      <c r="U1534" s="27"/>
      <c r="V1534" s="27"/>
      <c r="W1534" s="24"/>
      <c r="X1534" s="24"/>
    </row>
    <row r="1535" spans="1:24" ht="14.25" customHeight="1" x14ac:dyDescent="0.25">
      <c r="A1535" s="27"/>
      <c r="B1535" s="27"/>
      <c r="C1535" s="24"/>
      <c r="D1535" s="24"/>
      <c r="E1535" s="27"/>
      <c r="F1535" s="27"/>
      <c r="G1535" s="27"/>
      <c r="H1535" s="27"/>
      <c r="I1535" s="27"/>
      <c r="J1535" s="27"/>
      <c r="K1535" s="27"/>
      <c r="L1535" s="27"/>
      <c r="M1535" s="27"/>
      <c r="N1535" s="24"/>
      <c r="O1535" s="24"/>
      <c r="P1535" s="24"/>
      <c r="Q1535" s="24"/>
      <c r="R1535" s="24"/>
      <c r="S1535" s="24"/>
      <c r="T1535" s="24"/>
      <c r="U1535" s="27"/>
      <c r="V1535" s="27"/>
      <c r="W1535" s="24"/>
      <c r="X1535" s="24"/>
    </row>
    <row r="1536" spans="1:24" ht="14.25" customHeight="1" x14ac:dyDescent="0.25">
      <c r="A1536" s="27"/>
      <c r="B1536" s="27"/>
      <c r="C1536" s="24"/>
      <c r="D1536" s="24"/>
      <c r="E1536" s="27"/>
      <c r="F1536" s="27"/>
      <c r="G1536" s="27"/>
      <c r="H1536" s="27"/>
      <c r="I1536" s="27"/>
      <c r="J1536" s="27"/>
      <c r="K1536" s="27"/>
      <c r="L1536" s="27"/>
      <c r="M1536" s="27"/>
      <c r="N1536" s="24"/>
      <c r="O1536" s="24"/>
      <c r="P1536" s="24"/>
      <c r="Q1536" s="24"/>
      <c r="R1536" s="24"/>
      <c r="S1536" s="24"/>
      <c r="T1536" s="24"/>
      <c r="U1536" s="27"/>
      <c r="V1536" s="27"/>
      <c r="W1536" s="24"/>
      <c r="X1536" s="24"/>
    </row>
    <row r="1537" spans="1:24" ht="14.25" customHeight="1" x14ac:dyDescent="0.25">
      <c r="A1537" s="27"/>
      <c r="B1537" s="27"/>
      <c r="C1537" s="24"/>
      <c r="D1537" s="24"/>
      <c r="E1537" s="27"/>
      <c r="F1537" s="27"/>
      <c r="G1537" s="27"/>
      <c r="H1537" s="27"/>
      <c r="I1537" s="27"/>
      <c r="J1537" s="27"/>
      <c r="K1537" s="27"/>
      <c r="L1537" s="27"/>
      <c r="M1537" s="27"/>
      <c r="N1537" s="24"/>
      <c r="O1537" s="24"/>
      <c r="P1537" s="24"/>
      <c r="Q1537" s="24"/>
      <c r="R1537" s="24"/>
      <c r="S1537" s="24"/>
      <c r="T1537" s="24"/>
      <c r="U1537" s="27"/>
      <c r="V1537" s="27"/>
      <c r="W1537" s="24"/>
      <c r="X1537" s="24"/>
    </row>
    <row r="1538" spans="1:24" ht="14.25" customHeight="1" x14ac:dyDescent="0.25">
      <c r="A1538" s="27"/>
      <c r="B1538" s="27"/>
      <c r="C1538" s="24"/>
      <c r="D1538" s="24"/>
      <c r="E1538" s="27"/>
      <c r="F1538" s="27"/>
      <c r="G1538" s="27"/>
      <c r="H1538" s="27"/>
      <c r="I1538" s="27"/>
      <c r="J1538" s="27"/>
      <c r="K1538" s="27"/>
      <c r="L1538" s="27"/>
      <c r="M1538" s="27"/>
      <c r="N1538" s="24"/>
      <c r="O1538" s="24"/>
      <c r="P1538" s="24"/>
      <c r="Q1538" s="24"/>
      <c r="R1538" s="24"/>
      <c r="S1538" s="24"/>
      <c r="T1538" s="24"/>
      <c r="U1538" s="27"/>
      <c r="V1538" s="27"/>
      <c r="W1538" s="24"/>
      <c r="X1538" s="24"/>
    </row>
    <row r="1539" spans="1:24" ht="14.25" customHeight="1" x14ac:dyDescent="0.25">
      <c r="A1539" s="27"/>
      <c r="B1539" s="27"/>
      <c r="C1539" s="24"/>
      <c r="D1539" s="24"/>
      <c r="E1539" s="27"/>
      <c r="F1539" s="27"/>
      <c r="G1539" s="27"/>
      <c r="H1539" s="27"/>
      <c r="I1539" s="27"/>
      <c r="J1539" s="27"/>
      <c r="K1539" s="27"/>
      <c r="L1539" s="27"/>
      <c r="M1539" s="27"/>
      <c r="N1539" s="24"/>
      <c r="O1539" s="24"/>
      <c r="P1539" s="24"/>
      <c r="Q1539" s="24"/>
      <c r="R1539" s="24"/>
      <c r="S1539" s="24"/>
      <c r="T1539" s="24"/>
      <c r="U1539" s="27"/>
      <c r="V1539" s="27"/>
      <c r="W1539" s="24"/>
      <c r="X1539" s="24"/>
    </row>
    <row r="1540" spans="1:24" ht="14.25" customHeight="1" x14ac:dyDescent="0.25">
      <c r="A1540" s="27"/>
      <c r="B1540" s="27"/>
      <c r="C1540" s="24"/>
      <c r="D1540" s="24"/>
      <c r="E1540" s="27"/>
      <c r="F1540" s="27"/>
      <c r="G1540" s="27"/>
      <c r="H1540" s="27"/>
      <c r="I1540" s="27"/>
      <c r="J1540" s="27"/>
      <c r="K1540" s="27"/>
      <c r="L1540" s="27"/>
      <c r="M1540" s="27"/>
      <c r="N1540" s="24"/>
      <c r="O1540" s="24"/>
      <c r="P1540" s="24"/>
      <c r="Q1540" s="24"/>
      <c r="R1540" s="24"/>
      <c r="S1540" s="24"/>
      <c r="T1540" s="24"/>
      <c r="U1540" s="27"/>
      <c r="V1540" s="27"/>
      <c r="W1540" s="24"/>
      <c r="X1540" s="24"/>
    </row>
    <row r="1541" spans="1:24" ht="14.25" customHeight="1" x14ac:dyDescent="0.25">
      <c r="A1541" s="27"/>
      <c r="B1541" s="27"/>
      <c r="C1541" s="24"/>
      <c r="D1541" s="24"/>
      <c r="E1541" s="27"/>
      <c r="F1541" s="27"/>
      <c r="G1541" s="27"/>
      <c r="H1541" s="27"/>
      <c r="I1541" s="27"/>
      <c r="J1541" s="27"/>
      <c r="K1541" s="27"/>
      <c r="L1541" s="27"/>
      <c r="M1541" s="27"/>
      <c r="N1541" s="24"/>
      <c r="O1541" s="24"/>
      <c r="P1541" s="24"/>
      <c r="Q1541" s="24"/>
      <c r="R1541" s="24"/>
      <c r="S1541" s="24"/>
      <c r="T1541" s="24"/>
      <c r="U1541" s="27"/>
      <c r="V1541" s="27"/>
      <c r="W1541" s="24"/>
      <c r="X1541" s="24"/>
    </row>
    <row r="1542" spans="1:24" ht="14.25" customHeight="1" x14ac:dyDescent="0.25">
      <c r="A1542" s="27"/>
      <c r="B1542" s="27"/>
      <c r="C1542" s="24"/>
      <c r="D1542" s="24"/>
      <c r="E1542" s="27"/>
      <c r="F1542" s="27"/>
      <c r="G1542" s="27"/>
      <c r="H1542" s="27"/>
      <c r="I1542" s="27"/>
      <c r="J1542" s="27"/>
      <c r="K1542" s="27"/>
      <c r="L1542" s="27"/>
      <c r="M1542" s="27"/>
      <c r="N1542" s="24"/>
      <c r="O1542" s="24"/>
      <c r="P1542" s="24"/>
      <c r="Q1542" s="24"/>
      <c r="R1542" s="24"/>
      <c r="S1542" s="24"/>
      <c r="T1542" s="24"/>
      <c r="U1542" s="27"/>
      <c r="V1542" s="27"/>
      <c r="W1542" s="24"/>
      <c r="X1542" s="24"/>
    </row>
    <row r="1543" spans="1:24" ht="14.25" customHeight="1" x14ac:dyDescent="0.25">
      <c r="A1543" s="27"/>
      <c r="B1543" s="27"/>
      <c r="C1543" s="24"/>
      <c r="D1543" s="24"/>
      <c r="E1543" s="27"/>
      <c r="F1543" s="27"/>
      <c r="G1543" s="27"/>
      <c r="H1543" s="27"/>
      <c r="I1543" s="27"/>
      <c r="J1543" s="27"/>
      <c r="K1543" s="27"/>
      <c r="L1543" s="27"/>
      <c r="M1543" s="27"/>
      <c r="N1543" s="24"/>
      <c r="O1543" s="24"/>
      <c r="P1543" s="24"/>
      <c r="Q1543" s="24"/>
      <c r="R1543" s="24"/>
      <c r="S1543" s="24"/>
      <c r="T1543" s="24"/>
      <c r="U1543" s="27"/>
      <c r="V1543" s="27"/>
      <c r="W1543" s="24"/>
      <c r="X1543" s="24"/>
    </row>
    <row r="1544" spans="1:24" ht="14.25" customHeight="1" x14ac:dyDescent="0.25">
      <c r="A1544" s="27"/>
      <c r="B1544" s="27"/>
      <c r="C1544" s="24"/>
      <c r="D1544" s="24"/>
      <c r="E1544" s="27"/>
      <c r="F1544" s="27"/>
      <c r="G1544" s="27"/>
      <c r="H1544" s="27"/>
      <c r="I1544" s="27"/>
      <c r="J1544" s="27"/>
      <c r="K1544" s="27"/>
      <c r="L1544" s="27"/>
      <c r="M1544" s="27"/>
      <c r="N1544" s="24"/>
      <c r="O1544" s="24"/>
      <c r="P1544" s="24"/>
      <c r="Q1544" s="24"/>
      <c r="R1544" s="24"/>
      <c r="S1544" s="24"/>
      <c r="T1544" s="24"/>
      <c r="U1544" s="27"/>
      <c r="V1544" s="27"/>
      <c r="W1544" s="24"/>
      <c r="X1544" s="24"/>
    </row>
    <row r="1545" spans="1:24" ht="14.25" customHeight="1" x14ac:dyDescent="0.25">
      <c r="A1545" s="27"/>
      <c r="B1545" s="27"/>
      <c r="C1545" s="24"/>
      <c r="D1545" s="24"/>
      <c r="E1545" s="27"/>
      <c r="F1545" s="27"/>
      <c r="G1545" s="27"/>
      <c r="H1545" s="27"/>
      <c r="I1545" s="27"/>
      <c r="J1545" s="27"/>
      <c r="K1545" s="27"/>
      <c r="L1545" s="27"/>
      <c r="M1545" s="27"/>
      <c r="N1545" s="24"/>
      <c r="O1545" s="24"/>
      <c r="P1545" s="24"/>
      <c r="Q1545" s="24"/>
      <c r="R1545" s="24"/>
      <c r="S1545" s="24"/>
      <c r="T1545" s="24"/>
      <c r="U1545" s="27"/>
      <c r="V1545" s="27"/>
      <c r="W1545" s="24"/>
      <c r="X1545" s="24"/>
    </row>
    <row r="1546" spans="1:24" ht="14.25" customHeight="1" x14ac:dyDescent="0.25">
      <c r="A1546" s="27"/>
      <c r="B1546" s="27"/>
      <c r="C1546" s="24"/>
      <c r="D1546" s="24"/>
      <c r="E1546" s="27"/>
      <c r="F1546" s="27"/>
      <c r="G1546" s="27"/>
      <c r="H1546" s="27"/>
      <c r="I1546" s="27"/>
      <c r="J1546" s="27"/>
      <c r="K1546" s="27"/>
      <c r="L1546" s="27"/>
      <c r="M1546" s="27"/>
      <c r="N1546" s="24"/>
      <c r="O1546" s="24"/>
      <c r="P1546" s="24"/>
      <c r="Q1546" s="24"/>
      <c r="R1546" s="24"/>
      <c r="S1546" s="24"/>
      <c r="T1546" s="24"/>
      <c r="U1546" s="27"/>
      <c r="V1546" s="27"/>
      <c r="W1546" s="24"/>
      <c r="X1546" s="24"/>
    </row>
    <row r="1547" spans="1:24" ht="14.25" customHeight="1" x14ac:dyDescent="0.25">
      <c r="A1547" s="27"/>
      <c r="B1547" s="27"/>
      <c r="C1547" s="24"/>
      <c r="D1547" s="24"/>
      <c r="E1547" s="27"/>
      <c r="F1547" s="27"/>
      <c r="G1547" s="27"/>
      <c r="H1547" s="27"/>
      <c r="I1547" s="27"/>
      <c r="J1547" s="27"/>
      <c r="K1547" s="27"/>
      <c r="L1547" s="27"/>
      <c r="M1547" s="27"/>
      <c r="N1547" s="24"/>
      <c r="O1547" s="24"/>
      <c r="P1547" s="24"/>
      <c r="Q1547" s="24"/>
      <c r="R1547" s="24"/>
      <c r="S1547" s="24"/>
      <c r="T1547" s="24"/>
      <c r="U1547" s="27"/>
      <c r="V1547" s="27"/>
      <c r="W1547" s="24"/>
      <c r="X1547" s="24"/>
    </row>
    <row r="1548" spans="1:24" ht="14.25" customHeight="1" x14ac:dyDescent="0.25">
      <c r="A1548" s="27"/>
      <c r="B1548" s="27"/>
      <c r="C1548" s="24"/>
      <c r="D1548" s="24"/>
      <c r="E1548" s="27"/>
      <c r="F1548" s="27"/>
      <c r="G1548" s="27"/>
      <c r="H1548" s="27"/>
      <c r="I1548" s="27"/>
      <c r="J1548" s="27"/>
      <c r="K1548" s="27"/>
      <c r="L1548" s="27"/>
      <c r="M1548" s="27"/>
      <c r="N1548" s="24"/>
      <c r="O1548" s="24"/>
      <c r="P1548" s="24"/>
      <c r="Q1548" s="24"/>
      <c r="R1548" s="24"/>
      <c r="S1548" s="24"/>
      <c r="T1548" s="24"/>
      <c r="U1548" s="27"/>
      <c r="V1548" s="27"/>
      <c r="W1548" s="24"/>
      <c r="X1548" s="24"/>
    </row>
    <row r="1549" spans="1:24" ht="14.25" customHeight="1" x14ac:dyDescent="0.25">
      <c r="A1549" s="27"/>
      <c r="B1549" s="27"/>
      <c r="C1549" s="24"/>
      <c r="D1549" s="24"/>
      <c r="E1549" s="27"/>
      <c r="F1549" s="27"/>
      <c r="G1549" s="27"/>
      <c r="H1549" s="27"/>
      <c r="I1549" s="27"/>
      <c r="J1549" s="27"/>
      <c r="K1549" s="27"/>
      <c r="L1549" s="27"/>
      <c r="M1549" s="27"/>
      <c r="N1549" s="24"/>
      <c r="O1549" s="24"/>
      <c r="P1549" s="24"/>
      <c r="Q1549" s="24"/>
      <c r="R1549" s="24"/>
      <c r="S1549" s="24"/>
      <c r="T1549" s="24"/>
      <c r="U1549" s="27"/>
      <c r="V1549" s="27"/>
      <c r="W1549" s="24"/>
      <c r="X1549" s="24"/>
    </row>
    <row r="1550" spans="1:24" ht="14.25" customHeight="1" x14ac:dyDescent="0.25">
      <c r="A1550" s="27"/>
      <c r="B1550" s="27"/>
      <c r="C1550" s="24"/>
      <c r="D1550" s="24"/>
      <c r="E1550" s="27"/>
      <c r="F1550" s="27"/>
      <c r="G1550" s="27"/>
      <c r="H1550" s="27"/>
      <c r="I1550" s="27"/>
      <c r="J1550" s="27"/>
      <c r="K1550" s="27"/>
      <c r="L1550" s="27"/>
      <c r="M1550" s="27"/>
      <c r="N1550" s="24"/>
      <c r="O1550" s="24"/>
      <c r="P1550" s="24"/>
      <c r="Q1550" s="24"/>
      <c r="R1550" s="24"/>
      <c r="S1550" s="24"/>
      <c r="T1550" s="24"/>
      <c r="U1550" s="27"/>
      <c r="V1550" s="27"/>
      <c r="W1550" s="24"/>
      <c r="X1550" s="24"/>
    </row>
    <row r="1551" spans="1:24" ht="14.25" customHeight="1" x14ac:dyDescent="0.25">
      <c r="A1551" s="27"/>
      <c r="B1551" s="27"/>
      <c r="C1551" s="24"/>
      <c r="D1551" s="24"/>
      <c r="E1551" s="27"/>
      <c r="F1551" s="27"/>
      <c r="G1551" s="27"/>
      <c r="H1551" s="27"/>
      <c r="I1551" s="27"/>
      <c r="J1551" s="27"/>
      <c r="K1551" s="27"/>
      <c r="L1551" s="27"/>
      <c r="M1551" s="27"/>
      <c r="N1551" s="24"/>
      <c r="O1551" s="24"/>
      <c r="P1551" s="24"/>
      <c r="Q1551" s="24"/>
      <c r="R1551" s="24"/>
      <c r="S1551" s="24"/>
      <c r="T1551" s="24"/>
      <c r="U1551" s="27"/>
      <c r="V1551" s="27"/>
      <c r="W1551" s="24"/>
      <c r="X1551" s="24"/>
    </row>
    <row r="1552" spans="1:24" ht="14.25" customHeight="1" x14ac:dyDescent="0.25">
      <c r="A1552" s="27"/>
      <c r="B1552" s="27"/>
      <c r="C1552" s="24"/>
      <c r="D1552" s="24"/>
      <c r="E1552" s="27"/>
      <c r="F1552" s="27"/>
      <c r="G1552" s="27"/>
      <c r="H1552" s="27"/>
      <c r="I1552" s="27"/>
      <c r="J1552" s="27"/>
      <c r="K1552" s="27"/>
      <c r="L1552" s="27"/>
      <c r="M1552" s="27"/>
      <c r="N1552" s="24"/>
      <c r="O1552" s="24"/>
      <c r="P1552" s="24"/>
      <c r="Q1552" s="24"/>
      <c r="R1552" s="24"/>
      <c r="S1552" s="24"/>
      <c r="T1552" s="24"/>
      <c r="U1552" s="27"/>
      <c r="V1552" s="27"/>
      <c r="W1552" s="24"/>
      <c r="X1552" s="24"/>
    </row>
    <row r="1553" spans="1:24" ht="14.25" customHeight="1" x14ac:dyDescent="0.25">
      <c r="A1553" s="27"/>
      <c r="B1553" s="27"/>
      <c r="C1553" s="24"/>
      <c r="D1553" s="24"/>
      <c r="E1553" s="27"/>
      <c r="F1553" s="27"/>
      <c r="G1553" s="27"/>
      <c r="H1553" s="27"/>
      <c r="I1553" s="27"/>
      <c r="J1553" s="27"/>
      <c r="K1553" s="27"/>
      <c r="L1553" s="27"/>
      <c r="M1553" s="27"/>
      <c r="N1553" s="24"/>
      <c r="O1553" s="24"/>
      <c r="P1553" s="24"/>
      <c r="Q1553" s="24"/>
      <c r="R1553" s="24"/>
      <c r="S1553" s="24"/>
      <c r="T1553" s="24"/>
      <c r="U1553" s="27"/>
      <c r="V1553" s="27"/>
      <c r="W1553" s="24"/>
      <c r="X1553" s="24"/>
    </row>
    <row r="1554" spans="1:24" ht="14.25" customHeight="1" x14ac:dyDescent="0.25">
      <c r="A1554" s="27"/>
      <c r="B1554" s="27"/>
      <c r="C1554" s="24"/>
      <c r="D1554" s="24"/>
      <c r="E1554" s="27"/>
      <c r="F1554" s="27"/>
      <c r="G1554" s="27"/>
      <c r="H1554" s="27"/>
      <c r="I1554" s="27"/>
      <c r="J1554" s="27"/>
      <c r="K1554" s="27"/>
      <c r="L1554" s="27"/>
      <c r="M1554" s="27"/>
      <c r="N1554" s="24"/>
      <c r="O1554" s="24"/>
      <c r="P1554" s="24"/>
      <c r="Q1554" s="24"/>
      <c r="R1554" s="24"/>
      <c r="S1554" s="24"/>
      <c r="T1554" s="24"/>
      <c r="U1554" s="27"/>
      <c r="V1554" s="27"/>
      <c r="W1554" s="24"/>
      <c r="X1554" s="24"/>
    </row>
    <row r="1555" spans="1:24" ht="14.25" customHeight="1" x14ac:dyDescent="0.25">
      <c r="A1555" s="27"/>
      <c r="B1555" s="27"/>
      <c r="C1555" s="24"/>
      <c r="D1555" s="24"/>
      <c r="E1555" s="27"/>
      <c r="F1555" s="27"/>
      <c r="G1555" s="27"/>
      <c r="H1555" s="27"/>
      <c r="I1555" s="27"/>
      <c r="J1555" s="27"/>
      <c r="K1555" s="27"/>
      <c r="L1555" s="27"/>
      <c r="M1555" s="27"/>
      <c r="N1555" s="24"/>
      <c r="O1555" s="24"/>
      <c r="P1555" s="24"/>
      <c r="Q1555" s="24"/>
      <c r="R1555" s="24"/>
      <c r="S1555" s="24"/>
      <c r="T1555" s="24"/>
      <c r="U1555" s="27"/>
      <c r="V1555" s="27"/>
      <c r="W1555" s="24"/>
      <c r="X1555" s="24"/>
    </row>
    <row r="1556" spans="1:24" ht="14.25" customHeight="1" x14ac:dyDescent="0.25">
      <c r="A1556" s="27"/>
      <c r="B1556" s="27"/>
      <c r="C1556" s="24"/>
      <c r="D1556" s="24"/>
      <c r="E1556" s="27"/>
      <c r="F1556" s="27"/>
      <c r="G1556" s="27"/>
      <c r="H1556" s="27"/>
      <c r="I1556" s="27"/>
      <c r="J1556" s="27"/>
      <c r="K1556" s="27"/>
      <c r="L1556" s="27"/>
      <c r="M1556" s="27"/>
      <c r="N1556" s="24"/>
      <c r="O1556" s="24"/>
      <c r="P1556" s="24"/>
      <c r="Q1556" s="24"/>
      <c r="R1556" s="24"/>
      <c r="S1556" s="24"/>
      <c r="T1556" s="24"/>
      <c r="U1556" s="27"/>
      <c r="V1556" s="27"/>
      <c r="W1556" s="24"/>
      <c r="X1556" s="24"/>
    </row>
    <row r="1557" spans="1:24" ht="14.25" customHeight="1" x14ac:dyDescent="0.25">
      <c r="A1557" s="27"/>
      <c r="B1557" s="27"/>
      <c r="C1557" s="24"/>
      <c r="D1557" s="24"/>
      <c r="E1557" s="27"/>
      <c r="F1557" s="27"/>
      <c r="G1557" s="27"/>
      <c r="H1557" s="27"/>
      <c r="I1557" s="27"/>
      <c r="J1557" s="27"/>
      <c r="K1557" s="27"/>
      <c r="L1557" s="27"/>
      <c r="M1557" s="27"/>
      <c r="N1557" s="24"/>
      <c r="O1557" s="24"/>
      <c r="P1557" s="24"/>
      <c r="Q1557" s="24"/>
      <c r="R1557" s="24"/>
      <c r="S1557" s="24"/>
      <c r="T1557" s="24"/>
      <c r="U1557" s="27"/>
      <c r="V1557" s="27"/>
      <c r="W1557" s="24"/>
      <c r="X1557" s="24"/>
    </row>
    <row r="1558" spans="1:24" ht="14.25" customHeight="1" x14ac:dyDescent="0.25">
      <c r="A1558" s="27"/>
      <c r="B1558" s="27"/>
      <c r="C1558" s="24"/>
      <c r="D1558" s="24"/>
      <c r="E1558" s="27"/>
      <c r="F1558" s="27"/>
      <c r="G1558" s="27"/>
      <c r="H1558" s="27"/>
      <c r="I1558" s="27"/>
      <c r="J1558" s="27"/>
      <c r="K1558" s="27"/>
      <c r="L1558" s="27"/>
      <c r="M1558" s="27"/>
      <c r="N1558" s="24"/>
      <c r="O1558" s="24"/>
      <c r="P1558" s="24"/>
      <c r="Q1558" s="24"/>
      <c r="R1558" s="24"/>
      <c r="S1558" s="24"/>
      <c r="T1558" s="24"/>
      <c r="U1558" s="27"/>
      <c r="V1558" s="27"/>
      <c r="W1558" s="24"/>
      <c r="X1558" s="24"/>
    </row>
    <row r="1559" spans="1:24" ht="14.25" customHeight="1" x14ac:dyDescent="0.25">
      <c r="A1559" s="27"/>
      <c r="B1559" s="27"/>
      <c r="C1559" s="24"/>
      <c r="D1559" s="24"/>
      <c r="E1559" s="27"/>
      <c r="F1559" s="27"/>
      <c r="G1559" s="27"/>
      <c r="H1559" s="27"/>
      <c r="I1559" s="27"/>
      <c r="J1559" s="27"/>
      <c r="K1559" s="27"/>
      <c r="L1559" s="27"/>
      <c r="M1559" s="27"/>
      <c r="N1559" s="24"/>
      <c r="O1559" s="24"/>
      <c r="P1559" s="24"/>
      <c r="Q1559" s="24"/>
      <c r="R1559" s="24"/>
      <c r="S1559" s="24"/>
      <c r="T1559" s="24"/>
      <c r="U1559" s="27"/>
      <c r="V1559" s="27"/>
      <c r="W1559" s="24"/>
      <c r="X1559" s="24"/>
    </row>
    <row r="1560" spans="1:24" ht="14.25" customHeight="1" x14ac:dyDescent="0.25">
      <c r="A1560" s="27"/>
      <c r="B1560" s="27"/>
      <c r="C1560" s="24"/>
      <c r="D1560" s="24"/>
      <c r="E1560" s="27"/>
      <c r="F1560" s="27"/>
      <c r="G1560" s="27"/>
      <c r="H1560" s="27"/>
      <c r="I1560" s="27"/>
      <c r="J1560" s="27"/>
      <c r="K1560" s="27"/>
      <c r="L1560" s="27"/>
      <c r="M1560" s="27"/>
      <c r="N1560" s="24"/>
      <c r="O1560" s="24"/>
      <c r="P1560" s="24"/>
      <c r="Q1560" s="24"/>
      <c r="R1560" s="24"/>
      <c r="S1560" s="24"/>
      <c r="T1560" s="24"/>
      <c r="U1560" s="27"/>
      <c r="V1560" s="27"/>
      <c r="W1560" s="24"/>
      <c r="X1560" s="24"/>
    </row>
    <row r="1561" spans="1:24" ht="14.25" customHeight="1" x14ac:dyDescent="0.25">
      <c r="A1561" s="27"/>
      <c r="B1561" s="27"/>
      <c r="C1561" s="24"/>
      <c r="D1561" s="24"/>
      <c r="E1561" s="27"/>
      <c r="F1561" s="27"/>
      <c r="G1561" s="27"/>
      <c r="H1561" s="27"/>
      <c r="I1561" s="27"/>
      <c r="J1561" s="27"/>
      <c r="K1561" s="27"/>
      <c r="L1561" s="27"/>
      <c r="M1561" s="27"/>
      <c r="N1561" s="24"/>
      <c r="O1561" s="24"/>
      <c r="P1561" s="24"/>
      <c r="Q1561" s="24"/>
      <c r="R1561" s="24"/>
      <c r="S1561" s="24"/>
      <c r="T1561" s="24"/>
      <c r="U1561" s="27"/>
      <c r="V1561" s="27"/>
      <c r="W1561" s="24"/>
      <c r="X1561" s="24"/>
    </row>
    <row r="1562" spans="1:24" ht="14.25" customHeight="1" x14ac:dyDescent="0.25">
      <c r="A1562" s="27"/>
      <c r="B1562" s="27"/>
      <c r="C1562" s="24"/>
      <c r="D1562" s="24"/>
      <c r="E1562" s="27"/>
      <c r="F1562" s="27"/>
      <c r="G1562" s="27"/>
      <c r="H1562" s="27"/>
      <c r="I1562" s="27"/>
      <c r="J1562" s="27"/>
      <c r="K1562" s="27"/>
      <c r="L1562" s="27"/>
      <c r="M1562" s="27"/>
      <c r="N1562" s="24"/>
      <c r="O1562" s="24"/>
      <c r="P1562" s="24"/>
      <c r="Q1562" s="24"/>
      <c r="R1562" s="24"/>
      <c r="S1562" s="24"/>
      <c r="T1562" s="24"/>
      <c r="U1562" s="27"/>
      <c r="V1562" s="27"/>
      <c r="W1562" s="24"/>
      <c r="X1562" s="24"/>
    </row>
    <row r="1563" spans="1:24" ht="14.25" customHeight="1" x14ac:dyDescent="0.25">
      <c r="A1563" s="27"/>
      <c r="B1563" s="27"/>
      <c r="C1563" s="24"/>
      <c r="D1563" s="24"/>
      <c r="E1563" s="27"/>
      <c r="F1563" s="27"/>
      <c r="G1563" s="27"/>
      <c r="H1563" s="27"/>
      <c r="I1563" s="27"/>
      <c r="J1563" s="27"/>
      <c r="K1563" s="27"/>
      <c r="L1563" s="27"/>
      <c r="M1563" s="27"/>
      <c r="N1563" s="24"/>
      <c r="O1563" s="24"/>
      <c r="P1563" s="24"/>
      <c r="Q1563" s="24"/>
      <c r="R1563" s="24"/>
      <c r="S1563" s="24"/>
      <c r="T1563" s="24"/>
      <c r="U1563" s="27"/>
      <c r="V1563" s="27"/>
      <c r="W1563" s="24"/>
      <c r="X1563" s="24"/>
    </row>
    <row r="1564" spans="1:24" ht="14.25" customHeight="1" x14ac:dyDescent="0.25">
      <c r="A1564" s="27"/>
      <c r="B1564" s="27"/>
      <c r="C1564" s="24"/>
      <c r="D1564" s="24"/>
      <c r="E1564" s="27"/>
      <c r="F1564" s="27"/>
      <c r="G1564" s="27"/>
      <c r="H1564" s="27"/>
      <c r="I1564" s="27"/>
      <c r="J1564" s="27"/>
      <c r="K1564" s="27"/>
      <c r="L1564" s="27"/>
      <c r="M1564" s="27"/>
      <c r="N1564" s="24"/>
      <c r="O1564" s="24"/>
      <c r="P1564" s="24"/>
      <c r="Q1564" s="24"/>
      <c r="R1564" s="24"/>
      <c r="S1564" s="24"/>
      <c r="T1564" s="24"/>
      <c r="U1564" s="27"/>
      <c r="V1564" s="27"/>
      <c r="W1564" s="24"/>
      <c r="X1564" s="24"/>
    </row>
    <row r="1565" spans="1:24" ht="14.25" customHeight="1" x14ac:dyDescent="0.25">
      <c r="A1565" s="27"/>
      <c r="B1565" s="27"/>
      <c r="C1565" s="24"/>
      <c r="D1565" s="24"/>
      <c r="E1565" s="27"/>
      <c r="F1565" s="27"/>
      <c r="G1565" s="27"/>
      <c r="H1565" s="27"/>
      <c r="I1565" s="27"/>
      <c r="J1565" s="27"/>
      <c r="K1565" s="27"/>
      <c r="L1565" s="27"/>
      <c r="M1565" s="27"/>
      <c r="N1565" s="24"/>
      <c r="O1565" s="24"/>
      <c r="P1565" s="24"/>
      <c r="Q1565" s="24"/>
      <c r="R1565" s="24"/>
      <c r="S1565" s="24"/>
      <c r="T1565" s="24"/>
      <c r="U1565" s="27"/>
      <c r="V1565" s="27"/>
      <c r="W1565" s="24"/>
      <c r="X1565" s="24"/>
    </row>
    <row r="1566" spans="1:24" ht="14.25" customHeight="1" x14ac:dyDescent="0.25">
      <c r="A1566" s="27"/>
      <c r="B1566" s="27"/>
      <c r="C1566" s="24"/>
      <c r="D1566" s="24"/>
      <c r="E1566" s="27"/>
      <c r="F1566" s="27"/>
      <c r="G1566" s="27"/>
      <c r="H1566" s="27"/>
      <c r="I1566" s="27"/>
      <c r="J1566" s="27"/>
      <c r="K1566" s="27"/>
      <c r="L1566" s="27"/>
      <c r="M1566" s="27"/>
      <c r="N1566" s="24"/>
      <c r="O1566" s="24"/>
      <c r="P1566" s="24"/>
      <c r="Q1566" s="24"/>
      <c r="R1566" s="24"/>
      <c r="S1566" s="24"/>
      <c r="T1566" s="24"/>
      <c r="U1566" s="27"/>
      <c r="V1566" s="27"/>
      <c r="W1566" s="24"/>
      <c r="X1566" s="24"/>
    </row>
    <row r="1567" spans="1:24" ht="14.25" customHeight="1" x14ac:dyDescent="0.25">
      <c r="A1567" s="27"/>
      <c r="B1567" s="27"/>
      <c r="C1567" s="24"/>
      <c r="D1567" s="24"/>
      <c r="E1567" s="27"/>
      <c r="F1567" s="27"/>
      <c r="G1567" s="27"/>
      <c r="H1567" s="27"/>
      <c r="I1567" s="27"/>
      <c r="J1567" s="27"/>
      <c r="K1567" s="27"/>
      <c r="L1567" s="27"/>
      <c r="M1567" s="27"/>
      <c r="N1567" s="24"/>
      <c r="O1567" s="24"/>
      <c r="P1567" s="24"/>
      <c r="Q1567" s="24"/>
      <c r="R1567" s="24"/>
      <c r="S1567" s="24"/>
      <c r="T1567" s="24"/>
      <c r="U1567" s="27"/>
      <c r="V1567" s="27"/>
      <c r="W1567" s="24"/>
      <c r="X1567" s="24"/>
    </row>
    <row r="1568" spans="1:24" ht="14.25" customHeight="1" x14ac:dyDescent="0.25">
      <c r="A1568" s="27"/>
      <c r="B1568" s="27"/>
      <c r="C1568" s="24"/>
      <c r="D1568" s="24"/>
      <c r="E1568" s="27"/>
      <c r="F1568" s="27"/>
      <c r="G1568" s="27"/>
      <c r="H1568" s="27"/>
      <c r="I1568" s="27"/>
      <c r="J1568" s="27"/>
      <c r="K1568" s="27"/>
      <c r="L1568" s="27"/>
      <c r="M1568" s="27"/>
      <c r="N1568" s="24"/>
      <c r="O1568" s="24"/>
      <c r="P1568" s="24"/>
      <c r="Q1568" s="24"/>
      <c r="R1568" s="24"/>
      <c r="S1568" s="24"/>
      <c r="T1568" s="24"/>
      <c r="U1568" s="27"/>
      <c r="V1568" s="27"/>
      <c r="W1568" s="24"/>
      <c r="X1568" s="24"/>
    </row>
    <row r="1569" spans="1:24" ht="14.25" customHeight="1" x14ac:dyDescent="0.25">
      <c r="A1569" s="27"/>
      <c r="B1569" s="27"/>
      <c r="C1569" s="24"/>
      <c r="D1569" s="24"/>
      <c r="E1569" s="27"/>
      <c r="F1569" s="27"/>
      <c r="G1569" s="27"/>
      <c r="H1569" s="27"/>
      <c r="I1569" s="27"/>
      <c r="J1569" s="27"/>
      <c r="K1569" s="27"/>
      <c r="L1569" s="27"/>
      <c r="M1569" s="27"/>
      <c r="N1569" s="24"/>
      <c r="O1569" s="24"/>
      <c r="P1569" s="24"/>
      <c r="Q1569" s="24"/>
      <c r="R1569" s="24"/>
      <c r="S1569" s="24"/>
      <c r="T1569" s="24"/>
      <c r="U1569" s="27"/>
      <c r="V1569" s="27"/>
      <c r="W1569" s="24"/>
      <c r="X1569" s="24"/>
    </row>
    <row r="1570" spans="1:24" ht="14.25" customHeight="1" x14ac:dyDescent="0.25">
      <c r="A1570" s="27"/>
      <c r="B1570" s="27"/>
      <c r="C1570" s="24"/>
      <c r="D1570" s="24"/>
      <c r="E1570" s="27"/>
      <c r="F1570" s="27"/>
      <c r="G1570" s="27"/>
      <c r="H1570" s="27"/>
      <c r="I1570" s="27"/>
      <c r="J1570" s="27"/>
      <c r="K1570" s="27"/>
      <c r="L1570" s="27"/>
      <c r="M1570" s="27"/>
      <c r="N1570" s="24"/>
      <c r="O1570" s="24"/>
      <c r="P1570" s="24"/>
      <c r="Q1570" s="24"/>
      <c r="R1570" s="24"/>
      <c r="S1570" s="24"/>
      <c r="T1570" s="24"/>
      <c r="U1570" s="27"/>
      <c r="V1570" s="27"/>
      <c r="W1570" s="24"/>
      <c r="X1570" s="24"/>
    </row>
    <row r="1571" spans="1:24" ht="14.25" customHeight="1" x14ac:dyDescent="0.25">
      <c r="A1571" s="27"/>
      <c r="B1571" s="27"/>
      <c r="C1571" s="24"/>
      <c r="D1571" s="24"/>
      <c r="E1571" s="27"/>
      <c r="F1571" s="27"/>
      <c r="G1571" s="27"/>
      <c r="H1571" s="27"/>
      <c r="I1571" s="27"/>
      <c r="J1571" s="27"/>
      <c r="K1571" s="27"/>
      <c r="L1571" s="27"/>
      <c r="M1571" s="27"/>
      <c r="N1571" s="24"/>
      <c r="O1571" s="24"/>
      <c r="P1571" s="24"/>
      <c r="Q1571" s="24"/>
      <c r="R1571" s="24"/>
      <c r="S1571" s="24"/>
      <c r="T1571" s="24"/>
      <c r="U1571" s="27"/>
      <c r="V1571" s="27"/>
      <c r="W1571" s="24"/>
      <c r="X1571" s="24"/>
    </row>
    <row r="1572" spans="1:24" ht="14.25" customHeight="1" x14ac:dyDescent="0.25">
      <c r="A1572" s="27"/>
      <c r="B1572" s="27"/>
      <c r="C1572" s="24"/>
      <c r="D1572" s="24"/>
      <c r="E1572" s="27"/>
      <c r="F1572" s="27"/>
      <c r="G1572" s="27"/>
      <c r="H1572" s="27"/>
      <c r="I1572" s="27"/>
      <c r="J1572" s="27"/>
      <c r="K1572" s="27"/>
      <c r="L1572" s="27"/>
      <c r="M1572" s="27"/>
      <c r="N1572" s="24"/>
      <c r="O1572" s="24"/>
      <c r="P1572" s="24"/>
      <c r="Q1572" s="24"/>
      <c r="R1572" s="24"/>
      <c r="S1572" s="24"/>
      <c r="T1572" s="24"/>
      <c r="U1572" s="27"/>
      <c r="V1572" s="27"/>
      <c r="W1572" s="24"/>
      <c r="X1572" s="24"/>
    </row>
    <row r="1573" spans="1:24" ht="14.25" customHeight="1" x14ac:dyDescent="0.25">
      <c r="A1573" s="27"/>
      <c r="B1573" s="27"/>
      <c r="C1573" s="24"/>
      <c r="D1573" s="24"/>
      <c r="E1573" s="27"/>
      <c r="F1573" s="27"/>
      <c r="G1573" s="27"/>
      <c r="H1573" s="27"/>
      <c r="I1573" s="27"/>
      <c r="J1573" s="27"/>
      <c r="K1573" s="27"/>
      <c r="L1573" s="27"/>
      <c r="M1573" s="27"/>
      <c r="N1573" s="24"/>
      <c r="O1573" s="24"/>
      <c r="P1573" s="24"/>
      <c r="Q1573" s="24"/>
      <c r="R1573" s="24"/>
      <c r="S1573" s="24"/>
      <c r="T1573" s="24"/>
      <c r="U1573" s="27"/>
      <c r="V1573" s="27"/>
      <c r="W1573" s="24"/>
      <c r="X1573" s="24"/>
    </row>
    <row r="1574" spans="1:24" ht="14.25" customHeight="1" x14ac:dyDescent="0.25">
      <c r="A1574" s="27"/>
      <c r="B1574" s="27"/>
      <c r="C1574" s="24"/>
      <c r="D1574" s="24"/>
      <c r="E1574" s="27"/>
      <c r="F1574" s="27"/>
      <c r="G1574" s="27"/>
      <c r="H1574" s="27"/>
      <c r="I1574" s="27"/>
      <c r="J1574" s="27"/>
      <c r="K1574" s="27"/>
      <c r="L1574" s="27"/>
      <c r="M1574" s="27"/>
      <c r="N1574" s="24"/>
      <c r="O1574" s="24"/>
      <c r="P1574" s="24"/>
      <c r="Q1574" s="24"/>
      <c r="R1574" s="24"/>
      <c r="S1574" s="24"/>
      <c r="T1574" s="24"/>
      <c r="U1574" s="27"/>
      <c r="V1574" s="27"/>
      <c r="W1574" s="24"/>
      <c r="X1574" s="24"/>
    </row>
    <row r="1575" spans="1:24" ht="14.25" customHeight="1" x14ac:dyDescent="0.25">
      <c r="A1575" s="27"/>
      <c r="B1575" s="27"/>
      <c r="C1575" s="24"/>
      <c r="D1575" s="24"/>
      <c r="E1575" s="27"/>
      <c r="F1575" s="27"/>
      <c r="G1575" s="27"/>
      <c r="H1575" s="27"/>
      <c r="I1575" s="27"/>
      <c r="J1575" s="27"/>
      <c r="K1575" s="27"/>
      <c r="L1575" s="27"/>
      <c r="M1575" s="27"/>
      <c r="N1575" s="24"/>
      <c r="O1575" s="24"/>
      <c r="P1575" s="24"/>
      <c r="Q1575" s="24"/>
      <c r="R1575" s="24"/>
      <c r="S1575" s="24"/>
      <c r="T1575" s="24"/>
      <c r="U1575" s="27"/>
      <c r="V1575" s="27"/>
      <c r="W1575" s="24"/>
      <c r="X1575" s="24"/>
    </row>
    <row r="1576" spans="1:24" ht="14.25" customHeight="1" x14ac:dyDescent="0.25">
      <c r="A1576" s="27"/>
      <c r="B1576" s="27"/>
      <c r="C1576" s="24"/>
      <c r="D1576" s="24"/>
      <c r="E1576" s="27"/>
      <c r="F1576" s="27"/>
      <c r="G1576" s="27"/>
      <c r="H1576" s="27"/>
      <c r="I1576" s="27"/>
      <c r="J1576" s="27"/>
      <c r="K1576" s="27"/>
      <c r="L1576" s="27"/>
      <c r="M1576" s="27"/>
      <c r="N1576" s="24"/>
      <c r="O1576" s="24"/>
      <c r="P1576" s="24"/>
      <c r="Q1576" s="24"/>
      <c r="R1576" s="24"/>
      <c r="S1576" s="24"/>
      <c r="T1576" s="24"/>
      <c r="U1576" s="27"/>
      <c r="V1576" s="27"/>
      <c r="W1576" s="24"/>
      <c r="X1576" s="24"/>
    </row>
    <row r="1577" spans="1:24" ht="14.25" customHeight="1" x14ac:dyDescent="0.25">
      <c r="A1577" s="27"/>
      <c r="B1577" s="27"/>
      <c r="C1577" s="24"/>
      <c r="D1577" s="24"/>
      <c r="E1577" s="27"/>
      <c r="F1577" s="27"/>
      <c r="G1577" s="27"/>
      <c r="H1577" s="27"/>
      <c r="I1577" s="27"/>
      <c r="J1577" s="27"/>
      <c r="K1577" s="27"/>
      <c r="L1577" s="27"/>
      <c r="M1577" s="27"/>
      <c r="N1577" s="24"/>
      <c r="O1577" s="24"/>
      <c r="P1577" s="24"/>
      <c r="Q1577" s="24"/>
      <c r="R1577" s="24"/>
      <c r="S1577" s="24"/>
      <c r="T1577" s="24"/>
      <c r="U1577" s="27"/>
      <c r="V1577" s="27"/>
      <c r="W1577" s="24"/>
      <c r="X1577" s="24"/>
    </row>
    <row r="1578" spans="1:24" ht="14.25" customHeight="1" x14ac:dyDescent="0.25">
      <c r="A1578" s="27"/>
      <c r="B1578" s="27"/>
      <c r="C1578" s="24"/>
      <c r="D1578" s="24"/>
      <c r="E1578" s="27"/>
      <c r="F1578" s="27"/>
      <c r="G1578" s="27"/>
      <c r="H1578" s="27"/>
      <c r="I1578" s="27"/>
      <c r="J1578" s="27"/>
      <c r="K1578" s="27"/>
      <c r="L1578" s="27"/>
      <c r="M1578" s="27"/>
      <c r="N1578" s="24"/>
      <c r="O1578" s="24"/>
      <c r="P1578" s="24"/>
      <c r="Q1578" s="24"/>
      <c r="R1578" s="24"/>
      <c r="S1578" s="24"/>
      <c r="T1578" s="24"/>
      <c r="U1578" s="27"/>
      <c r="V1578" s="27"/>
      <c r="W1578" s="24"/>
      <c r="X1578" s="24"/>
    </row>
    <row r="1579" spans="1:24" ht="14.25" customHeight="1" x14ac:dyDescent="0.25">
      <c r="A1579" s="27"/>
      <c r="B1579" s="27"/>
      <c r="C1579" s="24"/>
      <c r="D1579" s="24"/>
      <c r="E1579" s="27"/>
      <c r="F1579" s="27"/>
      <c r="G1579" s="27"/>
      <c r="H1579" s="27"/>
      <c r="I1579" s="27"/>
      <c r="J1579" s="27"/>
      <c r="K1579" s="27"/>
      <c r="L1579" s="27"/>
      <c r="M1579" s="27"/>
      <c r="N1579" s="24"/>
      <c r="O1579" s="24"/>
      <c r="P1579" s="24"/>
      <c r="Q1579" s="24"/>
      <c r="R1579" s="24"/>
      <c r="S1579" s="24"/>
      <c r="T1579" s="24"/>
      <c r="U1579" s="27"/>
      <c r="V1579" s="27"/>
      <c r="W1579" s="24"/>
      <c r="X1579" s="24"/>
    </row>
    <row r="1580" spans="1:24" ht="14.25" customHeight="1" x14ac:dyDescent="0.25">
      <c r="A1580" s="27"/>
      <c r="B1580" s="27"/>
      <c r="C1580" s="24"/>
      <c r="D1580" s="24"/>
      <c r="E1580" s="27"/>
      <c r="F1580" s="27"/>
      <c r="G1580" s="27"/>
      <c r="H1580" s="27"/>
      <c r="I1580" s="27"/>
      <c r="J1580" s="27"/>
      <c r="K1580" s="27"/>
      <c r="L1580" s="27"/>
      <c r="M1580" s="27"/>
      <c r="N1580" s="24"/>
      <c r="O1580" s="24"/>
      <c r="P1580" s="24"/>
      <c r="Q1580" s="24"/>
      <c r="R1580" s="24"/>
      <c r="S1580" s="24"/>
      <c r="T1580" s="24"/>
      <c r="U1580" s="27"/>
      <c r="V1580" s="27"/>
      <c r="W1580" s="24"/>
      <c r="X1580" s="24"/>
    </row>
    <row r="1581" spans="1:24" ht="14.25" customHeight="1" x14ac:dyDescent="0.25">
      <c r="A1581" s="27"/>
      <c r="B1581" s="27"/>
      <c r="C1581" s="24"/>
      <c r="D1581" s="24"/>
      <c r="E1581" s="27"/>
      <c r="F1581" s="27"/>
      <c r="G1581" s="27"/>
      <c r="H1581" s="27"/>
      <c r="I1581" s="27"/>
      <c r="J1581" s="27"/>
      <c r="K1581" s="27"/>
      <c r="L1581" s="27"/>
      <c r="M1581" s="27"/>
      <c r="N1581" s="24"/>
      <c r="O1581" s="24"/>
      <c r="P1581" s="24"/>
      <c r="Q1581" s="24"/>
      <c r="R1581" s="24"/>
      <c r="S1581" s="24"/>
      <c r="T1581" s="24"/>
      <c r="U1581" s="27"/>
      <c r="V1581" s="27"/>
      <c r="W1581" s="24"/>
      <c r="X1581" s="24"/>
    </row>
    <row r="1582" spans="1:24" ht="14.25" customHeight="1" x14ac:dyDescent="0.25">
      <c r="A1582" s="27"/>
      <c r="B1582" s="27"/>
      <c r="C1582" s="24"/>
      <c r="D1582" s="24"/>
      <c r="E1582" s="27"/>
      <c r="F1582" s="27"/>
      <c r="G1582" s="27"/>
      <c r="H1582" s="27"/>
      <c r="I1582" s="27"/>
      <c r="J1582" s="27"/>
      <c r="K1582" s="27"/>
      <c r="L1582" s="27"/>
      <c r="M1582" s="27"/>
      <c r="N1582" s="24"/>
      <c r="O1582" s="24"/>
      <c r="P1582" s="24"/>
      <c r="Q1582" s="24"/>
      <c r="R1582" s="24"/>
      <c r="S1582" s="24"/>
      <c r="T1582" s="24"/>
      <c r="U1582" s="27"/>
      <c r="V1582" s="27"/>
      <c r="W1582" s="24"/>
      <c r="X1582" s="24"/>
    </row>
    <row r="1583" spans="1:24" ht="14.25" customHeight="1" x14ac:dyDescent="0.25">
      <c r="A1583" s="27"/>
      <c r="B1583" s="27"/>
      <c r="C1583" s="24"/>
      <c r="D1583" s="24"/>
      <c r="E1583" s="27"/>
      <c r="F1583" s="27"/>
      <c r="G1583" s="27"/>
      <c r="H1583" s="27"/>
      <c r="I1583" s="27"/>
      <c r="J1583" s="27"/>
      <c r="K1583" s="27"/>
      <c r="L1583" s="27"/>
      <c r="M1583" s="27"/>
      <c r="N1583" s="24"/>
      <c r="O1583" s="24"/>
      <c r="P1583" s="24"/>
      <c r="Q1583" s="24"/>
      <c r="R1583" s="24"/>
      <c r="S1583" s="24"/>
      <c r="T1583" s="24"/>
      <c r="U1583" s="27"/>
      <c r="V1583" s="27"/>
      <c r="W1583" s="24"/>
      <c r="X1583" s="24"/>
    </row>
    <row r="1584" spans="1:24" ht="14.25" customHeight="1" x14ac:dyDescent="0.25">
      <c r="A1584" s="27"/>
      <c r="B1584" s="27"/>
      <c r="C1584" s="24"/>
      <c r="D1584" s="24"/>
      <c r="E1584" s="27"/>
      <c r="F1584" s="27"/>
      <c r="G1584" s="27"/>
      <c r="H1584" s="27"/>
      <c r="I1584" s="27"/>
      <c r="J1584" s="27"/>
      <c r="K1584" s="27"/>
      <c r="L1584" s="27"/>
      <c r="M1584" s="27"/>
      <c r="N1584" s="24"/>
      <c r="O1584" s="24"/>
      <c r="P1584" s="24"/>
      <c r="Q1584" s="24"/>
      <c r="R1584" s="24"/>
      <c r="S1584" s="24"/>
      <c r="T1584" s="24"/>
      <c r="U1584" s="27"/>
      <c r="V1584" s="27"/>
      <c r="W1584" s="24"/>
      <c r="X1584" s="24"/>
    </row>
    <row r="1585" spans="1:24" ht="14.25" customHeight="1" x14ac:dyDescent="0.25">
      <c r="A1585" s="27"/>
      <c r="B1585" s="27"/>
      <c r="C1585" s="24"/>
      <c r="D1585" s="24"/>
      <c r="E1585" s="27"/>
      <c r="F1585" s="27"/>
      <c r="G1585" s="27"/>
      <c r="H1585" s="27"/>
      <c r="I1585" s="27"/>
      <c r="J1585" s="27"/>
      <c r="K1585" s="27"/>
      <c r="L1585" s="27"/>
      <c r="M1585" s="27"/>
      <c r="N1585" s="24"/>
      <c r="O1585" s="24"/>
      <c r="P1585" s="24"/>
      <c r="Q1585" s="24"/>
      <c r="R1585" s="24"/>
      <c r="S1585" s="24"/>
      <c r="T1585" s="24"/>
      <c r="U1585" s="27"/>
      <c r="V1585" s="27"/>
      <c r="W1585" s="24"/>
      <c r="X1585" s="24"/>
    </row>
    <row r="1586" spans="1:24" ht="14.25" customHeight="1" x14ac:dyDescent="0.25">
      <c r="A1586" s="27"/>
      <c r="B1586" s="27"/>
      <c r="C1586" s="24"/>
      <c r="D1586" s="24"/>
      <c r="E1586" s="27"/>
      <c r="F1586" s="27"/>
      <c r="G1586" s="27"/>
      <c r="H1586" s="27"/>
      <c r="I1586" s="27"/>
      <c r="J1586" s="27"/>
      <c r="K1586" s="27"/>
      <c r="L1586" s="27"/>
      <c r="M1586" s="27"/>
      <c r="N1586" s="24"/>
      <c r="O1586" s="24"/>
      <c r="P1586" s="24"/>
      <c r="Q1586" s="24"/>
      <c r="R1586" s="24"/>
      <c r="S1586" s="24"/>
      <c r="T1586" s="24"/>
      <c r="U1586" s="27"/>
      <c r="V1586" s="27"/>
      <c r="W1586" s="24"/>
      <c r="X1586" s="24"/>
    </row>
    <row r="1587" spans="1:24" ht="14.25" customHeight="1" x14ac:dyDescent="0.25">
      <c r="A1587" s="27"/>
      <c r="B1587" s="27"/>
      <c r="C1587" s="24"/>
      <c r="D1587" s="24"/>
      <c r="E1587" s="27"/>
      <c r="F1587" s="27"/>
      <c r="G1587" s="27"/>
      <c r="H1587" s="27"/>
      <c r="I1587" s="27"/>
      <c r="J1587" s="27"/>
      <c r="K1587" s="27"/>
      <c r="L1587" s="27"/>
      <c r="M1587" s="27"/>
      <c r="N1587" s="24"/>
      <c r="O1587" s="24"/>
      <c r="P1587" s="24"/>
      <c r="Q1587" s="24"/>
      <c r="R1587" s="24"/>
      <c r="S1587" s="24"/>
      <c r="T1587" s="24"/>
      <c r="U1587" s="27"/>
      <c r="V1587" s="27"/>
      <c r="W1587" s="24"/>
      <c r="X1587" s="24"/>
    </row>
    <row r="1588" spans="1:24" ht="14.25" customHeight="1" x14ac:dyDescent="0.25">
      <c r="A1588" s="27"/>
      <c r="B1588" s="27"/>
      <c r="C1588" s="24"/>
      <c r="D1588" s="24"/>
      <c r="E1588" s="27"/>
      <c r="F1588" s="27"/>
      <c r="G1588" s="27"/>
      <c r="H1588" s="27"/>
      <c r="I1588" s="27"/>
      <c r="J1588" s="27"/>
      <c r="K1588" s="27"/>
      <c r="L1588" s="27"/>
      <c r="M1588" s="27"/>
      <c r="N1588" s="24"/>
      <c r="O1588" s="24"/>
      <c r="P1588" s="24"/>
      <c r="Q1588" s="24"/>
      <c r="R1588" s="24"/>
      <c r="S1588" s="24"/>
      <c r="T1588" s="24"/>
      <c r="U1588" s="27"/>
      <c r="V1588" s="27"/>
      <c r="W1588" s="24"/>
      <c r="X1588" s="24"/>
    </row>
    <row r="1589" spans="1:24" ht="14.25" customHeight="1" x14ac:dyDescent="0.25">
      <c r="A1589" s="27"/>
      <c r="B1589" s="27"/>
      <c r="C1589" s="24"/>
      <c r="D1589" s="24"/>
      <c r="E1589" s="27"/>
      <c r="F1589" s="27"/>
      <c r="G1589" s="27"/>
      <c r="H1589" s="27"/>
      <c r="I1589" s="27"/>
      <c r="J1589" s="27"/>
      <c r="K1589" s="27"/>
      <c r="L1589" s="27"/>
      <c r="M1589" s="27"/>
      <c r="N1589" s="24"/>
      <c r="O1589" s="24"/>
      <c r="P1589" s="24"/>
      <c r="Q1589" s="24"/>
      <c r="R1589" s="24"/>
      <c r="S1589" s="24"/>
      <c r="T1589" s="24"/>
      <c r="U1589" s="27"/>
      <c r="V1589" s="27"/>
      <c r="W1589" s="24"/>
      <c r="X1589" s="24"/>
    </row>
    <row r="1590" spans="1:24" ht="14.25" customHeight="1" x14ac:dyDescent="0.25">
      <c r="A1590" s="27"/>
      <c r="B1590" s="27"/>
      <c r="C1590" s="24"/>
      <c r="D1590" s="24"/>
      <c r="E1590" s="27"/>
      <c r="F1590" s="27"/>
      <c r="G1590" s="27"/>
      <c r="H1590" s="27"/>
      <c r="I1590" s="27"/>
      <c r="J1590" s="27"/>
      <c r="K1590" s="27"/>
      <c r="L1590" s="27"/>
      <c r="M1590" s="27"/>
      <c r="N1590" s="24"/>
      <c r="O1590" s="24"/>
      <c r="P1590" s="24"/>
      <c r="Q1590" s="24"/>
      <c r="R1590" s="24"/>
      <c r="S1590" s="24"/>
      <c r="T1590" s="24"/>
      <c r="U1590" s="27"/>
      <c r="V1590" s="27"/>
      <c r="W1590" s="24"/>
      <c r="X1590" s="24"/>
    </row>
    <row r="1591" spans="1:24" ht="14.25" customHeight="1" x14ac:dyDescent="0.25">
      <c r="A1591" s="27"/>
      <c r="B1591" s="27"/>
      <c r="C1591" s="24"/>
      <c r="D1591" s="24"/>
      <c r="E1591" s="27"/>
      <c r="F1591" s="27"/>
      <c r="G1591" s="27"/>
      <c r="H1591" s="27"/>
      <c r="I1591" s="27"/>
      <c r="J1591" s="27"/>
      <c r="K1591" s="27"/>
      <c r="L1591" s="27"/>
      <c r="M1591" s="27"/>
      <c r="N1591" s="24"/>
      <c r="O1591" s="24"/>
      <c r="P1591" s="24"/>
      <c r="Q1591" s="24"/>
      <c r="R1591" s="24"/>
      <c r="S1591" s="24"/>
      <c r="T1591" s="24"/>
      <c r="U1591" s="27"/>
      <c r="V1591" s="27"/>
      <c r="W1591" s="24"/>
      <c r="X1591" s="24"/>
    </row>
    <row r="1592" spans="1:24" ht="14.25" customHeight="1" x14ac:dyDescent="0.25">
      <c r="A1592" s="27"/>
      <c r="B1592" s="27"/>
      <c r="C1592" s="24"/>
      <c r="D1592" s="24"/>
      <c r="E1592" s="27"/>
      <c r="F1592" s="27"/>
      <c r="G1592" s="27"/>
      <c r="H1592" s="27"/>
      <c r="I1592" s="27"/>
      <c r="J1592" s="27"/>
      <c r="K1592" s="27"/>
      <c r="L1592" s="27"/>
      <c r="M1592" s="27"/>
      <c r="N1592" s="24"/>
      <c r="O1592" s="24"/>
      <c r="P1592" s="24"/>
      <c r="Q1592" s="24"/>
      <c r="R1592" s="24"/>
      <c r="S1592" s="24"/>
      <c r="T1592" s="24"/>
      <c r="U1592" s="27"/>
      <c r="V1592" s="27"/>
      <c r="W1592" s="24"/>
      <c r="X1592" s="24"/>
    </row>
    <row r="1593" spans="1:24" ht="14.25" customHeight="1" x14ac:dyDescent="0.25">
      <c r="A1593" s="27"/>
      <c r="B1593" s="27"/>
      <c r="C1593" s="24"/>
      <c r="D1593" s="24"/>
      <c r="E1593" s="27"/>
      <c r="F1593" s="27"/>
      <c r="G1593" s="27"/>
      <c r="H1593" s="27"/>
      <c r="I1593" s="27"/>
      <c r="J1593" s="27"/>
      <c r="K1593" s="27"/>
      <c r="L1593" s="27"/>
      <c r="M1593" s="27"/>
      <c r="N1593" s="24"/>
      <c r="O1593" s="24"/>
      <c r="P1593" s="24"/>
      <c r="Q1593" s="24"/>
      <c r="R1593" s="24"/>
      <c r="S1593" s="24"/>
      <c r="T1593" s="24"/>
      <c r="U1593" s="27"/>
      <c r="V1593" s="27"/>
      <c r="W1593" s="24"/>
      <c r="X1593" s="24"/>
    </row>
    <row r="1594" spans="1:24" ht="14.25" customHeight="1" x14ac:dyDescent="0.25">
      <c r="A1594" s="27"/>
      <c r="B1594" s="27"/>
      <c r="C1594" s="24"/>
      <c r="D1594" s="24"/>
      <c r="E1594" s="27"/>
      <c r="F1594" s="27"/>
      <c r="G1594" s="27"/>
      <c r="H1594" s="27"/>
      <c r="I1594" s="27"/>
      <c r="J1594" s="27"/>
      <c r="K1594" s="27"/>
      <c r="L1594" s="27"/>
      <c r="M1594" s="27"/>
      <c r="N1594" s="24"/>
      <c r="O1594" s="24"/>
      <c r="P1594" s="24"/>
      <c r="Q1594" s="24"/>
      <c r="R1594" s="24"/>
      <c r="S1594" s="24"/>
      <c r="T1594" s="24"/>
      <c r="U1594" s="27"/>
      <c r="V1594" s="27"/>
      <c r="W1594" s="24"/>
      <c r="X1594" s="24"/>
    </row>
    <row r="1595" spans="1:24" ht="14.25" customHeight="1" x14ac:dyDescent="0.25">
      <c r="A1595" s="27"/>
      <c r="B1595" s="27"/>
      <c r="C1595" s="24"/>
      <c r="D1595" s="24"/>
      <c r="E1595" s="27"/>
      <c r="F1595" s="27"/>
      <c r="G1595" s="27"/>
      <c r="H1595" s="27"/>
      <c r="I1595" s="27"/>
      <c r="J1595" s="27"/>
      <c r="K1595" s="27"/>
      <c r="L1595" s="27"/>
      <c r="M1595" s="27"/>
      <c r="N1595" s="24"/>
      <c r="O1595" s="24"/>
      <c r="P1595" s="24"/>
      <c r="Q1595" s="24"/>
      <c r="R1595" s="24"/>
      <c r="S1595" s="24"/>
      <c r="T1595" s="24"/>
      <c r="U1595" s="27"/>
      <c r="V1595" s="27"/>
      <c r="W1595" s="24"/>
      <c r="X1595" s="24"/>
    </row>
    <row r="1596" spans="1:24" ht="14.25" customHeight="1" x14ac:dyDescent="0.25">
      <c r="A1596" s="27"/>
      <c r="B1596" s="27"/>
      <c r="C1596" s="24"/>
      <c r="D1596" s="24"/>
      <c r="E1596" s="27"/>
      <c r="F1596" s="27"/>
      <c r="G1596" s="27"/>
      <c r="H1596" s="27"/>
      <c r="I1596" s="27"/>
      <c r="J1596" s="27"/>
      <c r="K1596" s="27"/>
      <c r="L1596" s="27"/>
      <c r="M1596" s="27"/>
      <c r="N1596" s="24"/>
      <c r="O1596" s="24"/>
      <c r="P1596" s="24"/>
      <c r="Q1596" s="24"/>
      <c r="R1596" s="24"/>
      <c r="S1596" s="24"/>
      <c r="T1596" s="24"/>
      <c r="U1596" s="27"/>
      <c r="V1596" s="27"/>
      <c r="W1596" s="24"/>
      <c r="X1596" s="24"/>
    </row>
    <row r="1597" spans="1:24" ht="14.25" customHeight="1" x14ac:dyDescent="0.25">
      <c r="A1597" s="27"/>
      <c r="B1597" s="27"/>
      <c r="C1597" s="24"/>
      <c r="D1597" s="24"/>
      <c r="E1597" s="27"/>
      <c r="F1597" s="27"/>
      <c r="G1597" s="27"/>
      <c r="H1597" s="27"/>
      <c r="I1597" s="27"/>
      <c r="J1597" s="27"/>
      <c r="K1597" s="27"/>
      <c r="L1597" s="27"/>
      <c r="M1597" s="27"/>
      <c r="N1597" s="24"/>
      <c r="O1597" s="24"/>
      <c r="P1597" s="24"/>
      <c r="Q1597" s="24"/>
      <c r="R1597" s="24"/>
      <c r="S1597" s="24"/>
      <c r="T1597" s="24"/>
      <c r="U1597" s="27"/>
      <c r="V1597" s="27"/>
      <c r="W1597" s="24"/>
      <c r="X1597" s="24"/>
    </row>
    <row r="1598" spans="1:24" ht="14.25" customHeight="1" x14ac:dyDescent="0.25">
      <c r="A1598" s="27"/>
      <c r="B1598" s="27"/>
      <c r="C1598" s="24"/>
      <c r="D1598" s="24"/>
      <c r="E1598" s="27"/>
      <c r="F1598" s="27"/>
      <c r="G1598" s="27"/>
      <c r="H1598" s="27"/>
      <c r="I1598" s="27"/>
      <c r="J1598" s="27"/>
      <c r="K1598" s="27"/>
      <c r="L1598" s="27"/>
      <c r="M1598" s="27"/>
      <c r="N1598" s="24"/>
      <c r="O1598" s="24"/>
      <c r="P1598" s="24"/>
      <c r="Q1598" s="24"/>
      <c r="R1598" s="24"/>
      <c r="S1598" s="24"/>
      <c r="T1598" s="24"/>
      <c r="U1598" s="27"/>
      <c r="V1598" s="27"/>
      <c r="W1598" s="24"/>
      <c r="X1598" s="24"/>
    </row>
    <row r="1599" spans="1:24" ht="14.25" customHeight="1" x14ac:dyDescent="0.25">
      <c r="A1599" s="27"/>
      <c r="B1599" s="27"/>
      <c r="C1599" s="24"/>
      <c r="D1599" s="24"/>
      <c r="E1599" s="27"/>
      <c r="F1599" s="27"/>
      <c r="G1599" s="27"/>
      <c r="H1599" s="27"/>
      <c r="I1599" s="27"/>
      <c r="J1599" s="27"/>
      <c r="K1599" s="27"/>
      <c r="L1599" s="27"/>
      <c r="M1599" s="27"/>
      <c r="N1599" s="24"/>
      <c r="O1599" s="24"/>
      <c r="P1599" s="24"/>
      <c r="Q1599" s="24"/>
      <c r="R1599" s="24"/>
      <c r="S1599" s="24"/>
      <c r="T1599" s="24"/>
      <c r="U1599" s="27"/>
      <c r="V1599" s="27"/>
      <c r="W1599" s="24"/>
      <c r="X1599" s="24"/>
    </row>
    <row r="1600" spans="1:24" ht="14.25" customHeight="1" x14ac:dyDescent="0.25">
      <c r="A1600" s="27"/>
      <c r="B1600" s="27"/>
      <c r="C1600" s="24"/>
      <c r="D1600" s="24"/>
      <c r="E1600" s="27"/>
      <c r="F1600" s="27"/>
      <c r="G1600" s="27"/>
      <c r="H1600" s="27"/>
      <c r="I1600" s="27"/>
      <c r="J1600" s="27"/>
      <c r="K1600" s="27"/>
      <c r="L1600" s="27"/>
      <c r="M1600" s="27"/>
      <c r="N1600" s="24"/>
      <c r="O1600" s="24"/>
      <c r="P1600" s="24"/>
      <c r="Q1600" s="24"/>
      <c r="R1600" s="24"/>
      <c r="S1600" s="24"/>
      <c r="T1600" s="24"/>
      <c r="U1600" s="27"/>
      <c r="V1600" s="27"/>
      <c r="W1600" s="24"/>
      <c r="X1600" s="24"/>
    </row>
    <row r="1601" spans="1:24" ht="14.25" customHeight="1" x14ac:dyDescent="0.25">
      <c r="A1601" s="27"/>
      <c r="B1601" s="27"/>
      <c r="C1601" s="24"/>
      <c r="D1601" s="24"/>
      <c r="E1601" s="27"/>
      <c r="F1601" s="27"/>
      <c r="G1601" s="27"/>
      <c r="H1601" s="27"/>
      <c r="I1601" s="27"/>
      <c r="J1601" s="27"/>
      <c r="K1601" s="27"/>
      <c r="L1601" s="27"/>
      <c r="M1601" s="27"/>
      <c r="N1601" s="24"/>
      <c r="O1601" s="24"/>
      <c r="P1601" s="24"/>
      <c r="Q1601" s="24"/>
      <c r="R1601" s="24"/>
      <c r="S1601" s="24"/>
      <c r="T1601" s="24"/>
      <c r="U1601" s="27"/>
      <c r="V1601" s="27"/>
      <c r="W1601" s="24"/>
      <c r="X1601" s="24"/>
    </row>
    <row r="1602" spans="1:24" ht="14.25" customHeight="1" x14ac:dyDescent="0.25">
      <c r="A1602" s="27"/>
      <c r="B1602" s="27"/>
      <c r="C1602" s="24"/>
      <c r="D1602" s="24"/>
      <c r="E1602" s="27"/>
      <c r="F1602" s="27"/>
      <c r="G1602" s="27"/>
      <c r="H1602" s="27"/>
      <c r="I1602" s="27"/>
      <c r="J1602" s="27"/>
      <c r="K1602" s="27"/>
      <c r="L1602" s="27"/>
      <c r="M1602" s="27"/>
      <c r="N1602" s="24"/>
      <c r="O1602" s="24"/>
      <c r="P1602" s="24"/>
      <c r="Q1602" s="24"/>
      <c r="R1602" s="24"/>
      <c r="S1602" s="24"/>
      <c r="T1602" s="24"/>
      <c r="U1602" s="27"/>
      <c r="V1602" s="27"/>
      <c r="W1602" s="24"/>
      <c r="X1602" s="24"/>
    </row>
    <row r="1603" spans="1:24" ht="14.25" customHeight="1" x14ac:dyDescent="0.25">
      <c r="A1603" s="27"/>
      <c r="B1603" s="27"/>
      <c r="C1603" s="24"/>
      <c r="D1603" s="24"/>
      <c r="E1603" s="27"/>
      <c r="F1603" s="27"/>
      <c r="G1603" s="27"/>
      <c r="H1603" s="27"/>
      <c r="I1603" s="27"/>
      <c r="J1603" s="27"/>
      <c r="K1603" s="27"/>
      <c r="L1603" s="27"/>
      <c r="M1603" s="27"/>
      <c r="N1603" s="24"/>
      <c r="O1603" s="24"/>
      <c r="P1603" s="24"/>
      <c r="Q1603" s="24"/>
      <c r="R1603" s="24"/>
      <c r="S1603" s="24"/>
      <c r="T1603" s="24"/>
      <c r="U1603" s="27"/>
      <c r="V1603" s="27"/>
      <c r="W1603" s="24"/>
      <c r="X1603" s="24"/>
    </row>
    <row r="1604" spans="1:24" ht="14.25" customHeight="1" x14ac:dyDescent="0.25">
      <c r="A1604" s="27"/>
      <c r="B1604" s="27"/>
      <c r="C1604" s="24"/>
      <c r="D1604" s="24"/>
      <c r="E1604" s="27"/>
      <c r="F1604" s="27"/>
      <c r="G1604" s="27"/>
      <c r="H1604" s="27"/>
      <c r="I1604" s="27"/>
      <c r="J1604" s="27"/>
      <c r="K1604" s="27"/>
      <c r="L1604" s="27"/>
      <c r="M1604" s="27"/>
      <c r="N1604" s="24"/>
      <c r="O1604" s="24"/>
      <c r="P1604" s="24"/>
      <c r="Q1604" s="24"/>
      <c r="R1604" s="24"/>
      <c r="S1604" s="24"/>
      <c r="T1604" s="24"/>
      <c r="U1604" s="27"/>
      <c r="V1604" s="27"/>
      <c r="W1604" s="24"/>
      <c r="X1604" s="24"/>
    </row>
    <row r="1605" spans="1:24" ht="14.25" customHeight="1" x14ac:dyDescent="0.25">
      <c r="A1605" s="27"/>
      <c r="B1605" s="27"/>
      <c r="C1605" s="24"/>
      <c r="D1605" s="24"/>
      <c r="E1605" s="27"/>
      <c r="F1605" s="27"/>
      <c r="G1605" s="27"/>
      <c r="H1605" s="27"/>
      <c r="I1605" s="27"/>
      <c r="J1605" s="27"/>
      <c r="K1605" s="27"/>
      <c r="L1605" s="27"/>
      <c r="M1605" s="27"/>
      <c r="N1605" s="24"/>
      <c r="O1605" s="24"/>
      <c r="P1605" s="24"/>
      <c r="Q1605" s="24"/>
      <c r="R1605" s="24"/>
      <c r="S1605" s="24"/>
      <c r="T1605" s="24"/>
      <c r="U1605" s="27"/>
      <c r="V1605" s="27"/>
      <c r="W1605" s="24"/>
      <c r="X1605" s="24"/>
    </row>
    <row r="1606" spans="1:24" ht="14.25" customHeight="1" x14ac:dyDescent="0.25">
      <c r="A1606" s="27"/>
      <c r="B1606" s="27"/>
      <c r="C1606" s="24"/>
      <c r="D1606" s="24"/>
      <c r="E1606" s="27"/>
      <c r="F1606" s="27"/>
      <c r="G1606" s="27"/>
      <c r="H1606" s="27"/>
      <c r="I1606" s="27"/>
      <c r="J1606" s="27"/>
      <c r="K1606" s="27"/>
      <c r="L1606" s="27"/>
      <c r="M1606" s="27"/>
      <c r="N1606" s="24"/>
      <c r="O1606" s="24"/>
      <c r="P1606" s="24"/>
      <c r="Q1606" s="24"/>
      <c r="R1606" s="24"/>
      <c r="S1606" s="24"/>
      <c r="T1606" s="24"/>
      <c r="U1606" s="27"/>
      <c r="V1606" s="27"/>
      <c r="W1606" s="24"/>
      <c r="X1606" s="24"/>
    </row>
    <row r="1607" spans="1:24" ht="14.25" customHeight="1" x14ac:dyDescent="0.25">
      <c r="A1607" s="27"/>
      <c r="B1607" s="27"/>
      <c r="C1607" s="24"/>
      <c r="D1607" s="24"/>
      <c r="E1607" s="27"/>
      <c r="F1607" s="27"/>
      <c r="G1607" s="27"/>
      <c r="H1607" s="27"/>
      <c r="I1607" s="27"/>
      <c r="J1607" s="27"/>
      <c r="K1607" s="27"/>
      <c r="L1607" s="27"/>
      <c r="M1607" s="27"/>
      <c r="N1607" s="24"/>
      <c r="O1607" s="24"/>
      <c r="P1607" s="24"/>
      <c r="Q1607" s="24"/>
      <c r="R1607" s="24"/>
      <c r="S1607" s="24"/>
      <c r="T1607" s="24"/>
      <c r="U1607" s="27"/>
      <c r="V1607" s="27"/>
      <c r="W1607" s="24"/>
      <c r="X1607" s="24"/>
    </row>
    <row r="1608" spans="1:24" ht="14.25" customHeight="1" x14ac:dyDescent="0.25">
      <c r="A1608" s="27"/>
      <c r="B1608" s="27"/>
      <c r="C1608" s="24"/>
      <c r="D1608" s="24"/>
      <c r="E1608" s="27"/>
      <c r="F1608" s="27"/>
      <c r="G1608" s="27"/>
      <c r="H1608" s="27"/>
      <c r="I1608" s="27"/>
      <c r="J1608" s="27"/>
      <c r="K1608" s="27"/>
      <c r="L1608" s="27"/>
      <c r="M1608" s="27"/>
      <c r="N1608" s="24"/>
      <c r="O1608" s="24"/>
      <c r="P1608" s="24"/>
      <c r="Q1608" s="24"/>
      <c r="R1608" s="24"/>
      <c r="S1608" s="24"/>
      <c r="T1608" s="24"/>
      <c r="U1608" s="27"/>
      <c r="V1608" s="27"/>
      <c r="W1608" s="24"/>
      <c r="X1608" s="24"/>
    </row>
    <row r="1609" spans="1:24" ht="14.25" customHeight="1" x14ac:dyDescent="0.25">
      <c r="A1609" s="27"/>
      <c r="B1609" s="27"/>
      <c r="C1609" s="24"/>
      <c r="D1609" s="24"/>
      <c r="E1609" s="27"/>
      <c r="F1609" s="27"/>
      <c r="G1609" s="27"/>
      <c r="H1609" s="27"/>
      <c r="I1609" s="27"/>
      <c r="J1609" s="27"/>
      <c r="K1609" s="27"/>
      <c r="L1609" s="27"/>
      <c r="M1609" s="27"/>
      <c r="N1609" s="24"/>
      <c r="O1609" s="24"/>
      <c r="P1609" s="24"/>
      <c r="Q1609" s="24"/>
      <c r="R1609" s="24"/>
      <c r="S1609" s="24"/>
      <c r="T1609" s="24"/>
      <c r="U1609" s="27"/>
      <c r="V1609" s="27"/>
      <c r="W1609" s="24"/>
      <c r="X1609" s="24"/>
    </row>
    <row r="1610" spans="1:24" ht="14.25" customHeight="1" x14ac:dyDescent="0.25">
      <c r="A1610" s="27"/>
      <c r="B1610" s="27"/>
      <c r="C1610" s="24"/>
      <c r="D1610" s="24"/>
      <c r="E1610" s="27"/>
      <c r="F1610" s="27"/>
      <c r="G1610" s="27"/>
      <c r="H1610" s="27"/>
      <c r="I1610" s="27"/>
      <c r="J1610" s="27"/>
      <c r="K1610" s="27"/>
      <c r="L1610" s="27"/>
      <c r="M1610" s="27"/>
      <c r="N1610" s="24"/>
      <c r="O1610" s="24"/>
      <c r="P1610" s="24"/>
      <c r="Q1610" s="24"/>
      <c r="R1610" s="24"/>
      <c r="S1610" s="24"/>
      <c r="T1610" s="24"/>
      <c r="U1610" s="27"/>
      <c r="V1610" s="27"/>
      <c r="W1610" s="24"/>
      <c r="X1610" s="24"/>
    </row>
    <row r="1611" spans="1:24" ht="14.25" customHeight="1" x14ac:dyDescent="0.25">
      <c r="A1611" s="27"/>
      <c r="B1611" s="27"/>
      <c r="C1611" s="24"/>
      <c r="D1611" s="24"/>
      <c r="E1611" s="27"/>
      <c r="F1611" s="27"/>
      <c r="G1611" s="27"/>
      <c r="H1611" s="27"/>
      <c r="I1611" s="27"/>
      <c r="J1611" s="27"/>
      <c r="K1611" s="27"/>
      <c r="L1611" s="27"/>
      <c r="M1611" s="27"/>
      <c r="N1611" s="24"/>
      <c r="O1611" s="24"/>
      <c r="P1611" s="24"/>
      <c r="Q1611" s="24"/>
      <c r="R1611" s="24"/>
      <c r="S1611" s="24"/>
      <c r="T1611" s="24"/>
      <c r="U1611" s="27"/>
      <c r="V1611" s="27"/>
      <c r="W1611" s="24"/>
      <c r="X1611" s="24"/>
    </row>
    <row r="1612" spans="1:24" ht="14.25" customHeight="1" x14ac:dyDescent="0.25">
      <c r="A1612" s="27"/>
      <c r="B1612" s="27"/>
      <c r="C1612" s="24"/>
      <c r="D1612" s="24"/>
      <c r="E1612" s="27"/>
      <c r="F1612" s="27"/>
      <c r="G1612" s="27"/>
      <c r="H1612" s="27"/>
      <c r="I1612" s="27"/>
      <c r="J1612" s="27"/>
      <c r="K1612" s="27"/>
      <c r="L1612" s="27"/>
      <c r="M1612" s="27"/>
      <c r="N1612" s="24"/>
      <c r="O1612" s="24"/>
      <c r="P1612" s="24"/>
      <c r="Q1612" s="24"/>
      <c r="R1612" s="24"/>
      <c r="S1612" s="24"/>
      <c r="T1612" s="24"/>
      <c r="U1612" s="27"/>
      <c r="V1612" s="27"/>
      <c r="W1612" s="24"/>
      <c r="X1612" s="24"/>
    </row>
    <row r="1613" spans="1:24" ht="14.25" customHeight="1" x14ac:dyDescent="0.25">
      <c r="A1613" s="27"/>
      <c r="B1613" s="27"/>
      <c r="C1613" s="24"/>
      <c r="D1613" s="24"/>
      <c r="E1613" s="27"/>
      <c r="F1613" s="27"/>
      <c r="G1613" s="27"/>
      <c r="H1613" s="27"/>
      <c r="I1613" s="27"/>
      <c r="J1613" s="27"/>
      <c r="K1613" s="27"/>
      <c r="L1613" s="27"/>
      <c r="M1613" s="27"/>
      <c r="N1613" s="24"/>
      <c r="O1613" s="24"/>
      <c r="P1613" s="24"/>
      <c r="Q1613" s="24"/>
      <c r="R1613" s="24"/>
      <c r="S1613" s="24"/>
      <c r="T1613" s="24"/>
      <c r="U1613" s="27"/>
      <c r="V1613" s="27"/>
      <c r="W1613" s="24"/>
      <c r="X1613" s="24"/>
    </row>
    <row r="1614" spans="1:24" ht="14.25" customHeight="1" x14ac:dyDescent="0.25">
      <c r="A1614" s="27"/>
      <c r="B1614" s="27"/>
      <c r="C1614" s="24"/>
      <c r="D1614" s="24"/>
      <c r="E1614" s="27"/>
      <c r="F1614" s="27"/>
      <c r="G1614" s="27"/>
      <c r="H1614" s="27"/>
      <c r="I1614" s="27"/>
      <c r="J1614" s="27"/>
      <c r="K1614" s="27"/>
      <c r="L1614" s="27"/>
      <c r="M1614" s="27"/>
      <c r="N1614" s="24"/>
      <c r="O1614" s="24"/>
      <c r="P1614" s="24"/>
      <c r="Q1614" s="24"/>
      <c r="R1614" s="24"/>
      <c r="S1614" s="24"/>
      <c r="T1614" s="24"/>
      <c r="U1614" s="27"/>
      <c r="V1614" s="27"/>
      <c r="W1614" s="24"/>
      <c r="X1614" s="24"/>
    </row>
    <row r="1615" spans="1:24" ht="14.25" customHeight="1" x14ac:dyDescent="0.25">
      <c r="A1615" s="27"/>
      <c r="B1615" s="27"/>
      <c r="C1615" s="24"/>
      <c r="D1615" s="24"/>
      <c r="E1615" s="27"/>
      <c r="F1615" s="27"/>
      <c r="G1615" s="27"/>
      <c r="H1615" s="27"/>
      <c r="I1615" s="27"/>
      <c r="J1615" s="27"/>
      <c r="K1615" s="27"/>
      <c r="L1615" s="27"/>
      <c r="M1615" s="27"/>
      <c r="N1615" s="24"/>
      <c r="O1615" s="24"/>
      <c r="P1615" s="24"/>
      <c r="Q1615" s="24"/>
      <c r="R1615" s="24"/>
      <c r="S1615" s="24"/>
      <c r="T1615" s="24"/>
      <c r="U1615" s="27"/>
      <c r="V1615" s="27"/>
      <c r="W1615" s="24"/>
      <c r="X1615" s="24"/>
    </row>
    <row r="1616" spans="1:24" ht="14.25" customHeight="1" x14ac:dyDescent="0.25">
      <c r="A1616" s="27"/>
      <c r="B1616" s="27"/>
      <c r="C1616" s="24"/>
      <c r="D1616" s="24"/>
      <c r="E1616" s="27"/>
      <c r="F1616" s="27"/>
      <c r="G1616" s="27"/>
      <c r="H1616" s="27"/>
      <c r="I1616" s="27"/>
      <c r="J1616" s="27"/>
      <c r="K1616" s="27"/>
      <c r="L1616" s="27"/>
      <c r="M1616" s="27"/>
      <c r="N1616" s="24"/>
      <c r="O1616" s="24"/>
      <c r="P1616" s="24"/>
      <c r="Q1616" s="24"/>
      <c r="R1616" s="24"/>
      <c r="S1616" s="24"/>
      <c r="T1616" s="24"/>
      <c r="U1616" s="27"/>
      <c r="V1616" s="27"/>
      <c r="W1616" s="24"/>
      <c r="X1616" s="24"/>
    </row>
    <row r="1617" spans="1:24" ht="14.25" customHeight="1" x14ac:dyDescent="0.25">
      <c r="A1617" s="27"/>
      <c r="B1617" s="27"/>
      <c r="C1617" s="24"/>
      <c r="D1617" s="24"/>
      <c r="E1617" s="27"/>
      <c r="F1617" s="27"/>
      <c r="G1617" s="27"/>
      <c r="H1617" s="27"/>
      <c r="I1617" s="27"/>
      <c r="J1617" s="27"/>
      <c r="K1617" s="27"/>
      <c r="L1617" s="27"/>
      <c r="M1617" s="27"/>
      <c r="N1617" s="24"/>
      <c r="O1617" s="24"/>
      <c r="P1617" s="24"/>
      <c r="Q1617" s="24"/>
      <c r="R1617" s="24"/>
      <c r="S1617" s="24"/>
      <c r="T1617" s="24"/>
      <c r="U1617" s="27"/>
      <c r="V1617" s="27"/>
      <c r="W1617" s="24"/>
      <c r="X1617" s="24"/>
    </row>
    <row r="1618" spans="1:24" ht="14.25" customHeight="1" x14ac:dyDescent="0.25">
      <c r="A1618" s="27"/>
      <c r="B1618" s="27"/>
      <c r="C1618" s="24"/>
      <c r="D1618" s="24"/>
      <c r="E1618" s="27"/>
      <c r="F1618" s="27"/>
      <c r="G1618" s="27"/>
      <c r="H1618" s="27"/>
      <c r="I1618" s="27"/>
      <c r="J1618" s="27"/>
      <c r="K1618" s="27"/>
      <c r="L1618" s="27"/>
      <c r="M1618" s="27"/>
      <c r="N1618" s="24"/>
      <c r="O1618" s="24"/>
      <c r="P1618" s="24"/>
      <c r="Q1618" s="24"/>
      <c r="R1618" s="24"/>
      <c r="S1618" s="24"/>
      <c r="T1618" s="24"/>
      <c r="U1618" s="27"/>
      <c r="V1618" s="27"/>
      <c r="W1618" s="24"/>
      <c r="X1618" s="24"/>
    </row>
    <row r="1619" spans="1:24" ht="14.25" customHeight="1" x14ac:dyDescent="0.25">
      <c r="A1619" s="27"/>
      <c r="B1619" s="27"/>
      <c r="C1619" s="24"/>
      <c r="D1619" s="24"/>
      <c r="E1619" s="27"/>
      <c r="F1619" s="27"/>
      <c r="G1619" s="27"/>
      <c r="H1619" s="27"/>
      <c r="I1619" s="27"/>
      <c r="J1619" s="27"/>
      <c r="K1619" s="27"/>
      <c r="L1619" s="27"/>
      <c r="M1619" s="27"/>
      <c r="N1619" s="24"/>
      <c r="O1619" s="24"/>
      <c r="P1619" s="24"/>
      <c r="Q1619" s="24"/>
      <c r="R1619" s="24"/>
      <c r="S1619" s="24"/>
      <c r="T1619" s="24"/>
      <c r="U1619" s="27"/>
      <c r="V1619" s="27"/>
      <c r="W1619" s="24"/>
      <c r="X1619" s="24"/>
    </row>
    <row r="1620" spans="1:24" ht="14.25" customHeight="1" x14ac:dyDescent="0.25">
      <c r="A1620" s="27"/>
      <c r="B1620" s="27"/>
      <c r="C1620" s="24"/>
      <c r="D1620" s="24"/>
      <c r="E1620" s="27"/>
      <c r="F1620" s="27"/>
      <c r="G1620" s="27"/>
      <c r="H1620" s="27"/>
      <c r="I1620" s="27"/>
      <c r="J1620" s="27"/>
      <c r="K1620" s="27"/>
      <c r="L1620" s="27"/>
      <c r="M1620" s="27"/>
      <c r="N1620" s="24"/>
      <c r="O1620" s="24"/>
      <c r="P1620" s="24"/>
      <c r="Q1620" s="24"/>
      <c r="R1620" s="24"/>
      <c r="S1620" s="24"/>
      <c r="T1620" s="24"/>
      <c r="U1620" s="27"/>
      <c r="V1620" s="27"/>
      <c r="W1620" s="24"/>
      <c r="X1620" s="24"/>
    </row>
    <row r="1621" spans="1:24" ht="14.25" customHeight="1" x14ac:dyDescent="0.25">
      <c r="A1621" s="27"/>
      <c r="B1621" s="27"/>
      <c r="C1621" s="24"/>
      <c r="D1621" s="24"/>
      <c r="E1621" s="27"/>
      <c r="F1621" s="27"/>
      <c r="G1621" s="27"/>
      <c r="H1621" s="27"/>
      <c r="I1621" s="27"/>
      <c r="J1621" s="27"/>
      <c r="K1621" s="27"/>
      <c r="L1621" s="27"/>
      <c r="M1621" s="27"/>
      <c r="N1621" s="24"/>
      <c r="O1621" s="24"/>
      <c r="P1621" s="24"/>
      <c r="Q1621" s="24"/>
      <c r="R1621" s="24"/>
      <c r="S1621" s="24"/>
      <c r="T1621" s="24"/>
      <c r="U1621" s="27"/>
      <c r="V1621" s="27"/>
      <c r="W1621" s="24"/>
      <c r="X1621" s="24"/>
    </row>
    <row r="1622" spans="1:24" ht="14.25" customHeight="1" x14ac:dyDescent="0.25">
      <c r="A1622" s="27"/>
      <c r="B1622" s="27"/>
      <c r="C1622" s="24"/>
      <c r="D1622" s="24"/>
      <c r="E1622" s="27"/>
      <c r="F1622" s="27"/>
      <c r="G1622" s="27"/>
      <c r="H1622" s="27"/>
      <c r="I1622" s="27"/>
      <c r="J1622" s="27"/>
      <c r="K1622" s="27"/>
      <c r="L1622" s="27"/>
      <c r="M1622" s="27"/>
      <c r="N1622" s="24"/>
      <c r="O1622" s="24"/>
      <c r="P1622" s="24"/>
      <c r="Q1622" s="24"/>
      <c r="R1622" s="24"/>
      <c r="S1622" s="24"/>
      <c r="T1622" s="24"/>
      <c r="U1622" s="27"/>
      <c r="V1622" s="27"/>
      <c r="W1622" s="24"/>
      <c r="X1622" s="24"/>
    </row>
    <row r="1623" spans="1:24" ht="14.25" customHeight="1" x14ac:dyDescent="0.25">
      <c r="A1623" s="27"/>
      <c r="B1623" s="27"/>
      <c r="C1623" s="24"/>
      <c r="D1623" s="24"/>
      <c r="E1623" s="27"/>
      <c r="F1623" s="27"/>
      <c r="G1623" s="27"/>
      <c r="H1623" s="27"/>
      <c r="I1623" s="27"/>
      <c r="J1623" s="27"/>
      <c r="K1623" s="27"/>
      <c r="L1623" s="27"/>
      <c r="M1623" s="27"/>
      <c r="N1623" s="24"/>
      <c r="O1623" s="24"/>
      <c r="P1623" s="24"/>
      <c r="Q1623" s="24"/>
      <c r="R1623" s="24"/>
      <c r="S1623" s="24"/>
      <c r="T1623" s="24"/>
      <c r="U1623" s="27"/>
      <c r="V1623" s="27"/>
      <c r="W1623" s="24"/>
      <c r="X1623" s="24"/>
    </row>
    <row r="1624" spans="1:24" ht="14.25" customHeight="1" x14ac:dyDescent="0.25">
      <c r="A1624" s="27"/>
      <c r="B1624" s="27"/>
      <c r="C1624" s="24"/>
      <c r="D1624" s="24"/>
      <c r="E1624" s="27"/>
      <c r="F1624" s="27"/>
      <c r="G1624" s="27"/>
      <c r="H1624" s="27"/>
      <c r="I1624" s="27"/>
      <c r="J1624" s="27"/>
      <c r="K1624" s="27"/>
      <c r="L1624" s="27"/>
      <c r="M1624" s="27"/>
      <c r="N1624" s="24"/>
      <c r="O1624" s="24"/>
      <c r="P1624" s="24"/>
      <c r="Q1624" s="24"/>
      <c r="R1624" s="24"/>
      <c r="S1624" s="24"/>
      <c r="T1624" s="24"/>
      <c r="U1624" s="27"/>
      <c r="V1624" s="27"/>
      <c r="W1624" s="24"/>
      <c r="X1624" s="24"/>
    </row>
    <row r="1625" spans="1:24" ht="14.25" customHeight="1" x14ac:dyDescent="0.25">
      <c r="A1625" s="27"/>
      <c r="B1625" s="27"/>
      <c r="C1625" s="24"/>
      <c r="D1625" s="24"/>
      <c r="E1625" s="27"/>
      <c r="F1625" s="27"/>
      <c r="G1625" s="27"/>
      <c r="H1625" s="27"/>
      <c r="I1625" s="27"/>
      <c r="J1625" s="27"/>
      <c r="K1625" s="27"/>
      <c r="L1625" s="27"/>
      <c r="M1625" s="27"/>
      <c r="N1625" s="24"/>
      <c r="O1625" s="24"/>
      <c r="P1625" s="24"/>
      <c r="Q1625" s="24"/>
      <c r="R1625" s="24"/>
      <c r="S1625" s="24"/>
      <c r="T1625" s="24"/>
      <c r="U1625" s="27"/>
      <c r="V1625" s="27"/>
      <c r="W1625" s="24"/>
      <c r="X1625" s="24"/>
    </row>
    <row r="1626" spans="1:24" ht="14.25" customHeight="1" x14ac:dyDescent="0.25">
      <c r="A1626" s="27"/>
      <c r="B1626" s="27"/>
      <c r="C1626" s="24"/>
      <c r="D1626" s="24"/>
      <c r="E1626" s="27"/>
      <c r="F1626" s="27"/>
      <c r="G1626" s="27"/>
      <c r="H1626" s="27"/>
      <c r="I1626" s="27"/>
      <c r="J1626" s="27"/>
      <c r="K1626" s="27"/>
      <c r="L1626" s="27"/>
      <c r="M1626" s="27"/>
      <c r="N1626" s="24"/>
      <c r="O1626" s="24"/>
      <c r="P1626" s="24"/>
      <c r="Q1626" s="24"/>
      <c r="R1626" s="24"/>
      <c r="S1626" s="24"/>
      <c r="T1626" s="24"/>
      <c r="U1626" s="27"/>
      <c r="V1626" s="27"/>
      <c r="W1626" s="24"/>
      <c r="X1626" s="24"/>
    </row>
    <row r="1627" spans="1:24" ht="14.25" customHeight="1" x14ac:dyDescent="0.25">
      <c r="A1627" s="27"/>
      <c r="B1627" s="27"/>
      <c r="C1627" s="24"/>
      <c r="D1627" s="24"/>
      <c r="E1627" s="27"/>
      <c r="F1627" s="27"/>
      <c r="G1627" s="27"/>
      <c r="H1627" s="27"/>
      <c r="I1627" s="27"/>
      <c r="J1627" s="27"/>
      <c r="K1627" s="27"/>
      <c r="L1627" s="27"/>
      <c r="M1627" s="27"/>
      <c r="N1627" s="24"/>
      <c r="O1627" s="24"/>
      <c r="P1627" s="24"/>
      <c r="Q1627" s="24"/>
      <c r="R1627" s="24"/>
      <c r="S1627" s="24"/>
      <c r="T1627" s="24"/>
      <c r="U1627" s="27"/>
      <c r="V1627" s="27"/>
      <c r="W1627" s="24"/>
      <c r="X1627" s="24"/>
    </row>
    <row r="1628" spans="1:24" ht="14.25" customHeight="1" x14ac:dyDescent="0.25">
      <c r="A1628" s="27"/>
      <c r="B1628" s="27"/>
      <c r="C1628" s="24"/>
      <c r="D1628" s="24"/>
      <c r="E1628" s="27"/>
      <c r="F1628" s="27"/>
      <c r="G1628" s="27"/>
      <c r="H1628" s="27"/>
      <c r="I1628" s="27"/>
      <c r="J1628" s="27"/>
      <c r="K1628" s="27"/>
      <c r="L1628" s="27"/>
      <c r="M1628" s="27"/>
      <c r="N1628" s="24"/>
      <c r="O1628" s="24"/>
      <c r="P1628" s="24"/>
      <c r="Q1628" s="24"/>
      <c r="R1628" s="24"/>
      <c r="S1628" s="24"/>
      <c r="T1628" s="24"/>
      <c r="U1628" s="27"/>
      <c r="V1628" s="27"/>
      <c r="W1628" s="24"/>
      <c r="X1628" s="24"/>
    </row>
    <row r="1629" spans="1:24" ht="14.25" customHeight="1" x14ac:dyDescent="0.25">
      <c r="A1629" s="27"/>
      <c r="B1629" s="27"/>
      <c r="C1629" s="24"/>
      <c r="D1629" s="24"/>
      <c r="E1629" s="27"/>
      <c r="F1629" s="27"/>
      <c r="G1629" s="27"/>
      <c r="H1629" s="27"/>
      <c r="I1629" s="27"/>
      <c r="J1629" s="27"/>
      <c r="K1629" s="27"/>
      <c r="L1629" s="27"/>
      <c r="M1629" s="27"/>
      <c r="N1629" s="24"/>
      <c r="O1629" s="24"/>
      <c r="P1629" s="24"/>
      <c r="Q1629" s="24"/>
      <c r="R1629" s="24"/>
      <c r="S1629" s="24"/>
      <c r="T1629" s="24"/>
      <c r="U1629" s="27"/>
      <c r="V1629" s="27"/>
      <c r="W1629" s="24"/>
      <c r="X1629" s="24"/>
    </row>
    <row r="1630" spans="1:24" ht="14.25" customHeight="1" x14ac:dyDescent="0.25">
      <c r="A1630" s="27"/>
      <c r="B1630" s="27"/>
      <c r="C1630" s="24"/>
      <c r="D1630" s="24"/>
      <c r="E1630" s="27"/>
      <c r="F1630" s="27"/>
      <c r="G1630" s="27"/>
      <c r="H1630" s="27"/>
      <c r="I1630" s="27"/>
      <c r="J1630" s="27"/>
      <c r="K1630" s="27"/>
      <c r="L1630" s="27"/>
      <c r="M1630" s="27"/>
      <c r="N1630" s="24"/>
      <c r="O1630" s="24"/>
      <c r="P1630" s="24"/>
      <c r="Q1630" s="24"/>
      <c r="R1630" s="24"/>
      <c r="S1630" s="24"/>
      <c r="T1630" s="24"/>
      <c r="U1630" s="27"/>
      <c r="V1630" s="27"/>
      <c r="W1630" s="24"/>
      <c r="X1630" s="24"/>
    </row>
    <row r="1631" spans="1:24" ht="14.25" customHeight="1" x14ac:dyDescent="0.25">
      <c r="A1631" s="27"/>
      <c r="B1631" s="27"/>
      <c r="C1631" s="24"/>
      <c r="D1631" s="24"/>
      <c r="E1631" s="27"/>
      <c r="F1631" s="27"/>
      <c r="G1631" s="27"/>
      <c r="H1631" s="27"/>
      <c r="I1631" s="27"/>
      <c r="J1631" s="27"/>
      <c r="K1631" s="27"/>
      <c r="L1631" s="27"/>
      <c r="M1631" s="27"/>
      <c r="N1631" s="24"/>
      <c r="O1631" s="24"/>
      <c r="P1631" s="24"/>
      <c r="Q1631" s="24"/>
      <c r="R1631" s="24"/>
      <c r="S1631" s="24"/>
      <c r="T1631" s="24"/>
      <c r="U1631" s="27"/>
      <c r="V1631" s="27"/>
      <c r="W1631" s="24"/>
      <c r="X1631" s="24"/>
    </row>
    <row r="1632" spans="1:24" ht="14.25" customHeight="1" x14ac:dyDescent="0.25">
      <c r="A1632" s="27"/>
      <c r="B1632" s="27"/>
      <c r="C1632" s="24"/>
      <c r="D1632" s="24"/>
      <c r="E1632" s="27"/>
      <c r="F1632" s="27"/>
      <c r="G1632" s="27"/>
      <c r="H1632" s="27"/>
      <c r="I1632" s="27"/>
      <c r="J1632" s="27"/>
      <c r="K1632" s="27"/>
      <c r="L1632" s="27"/>
      <c r="M1632" s="27"/>
      <c r="N1632" s="24"/>
      <c r="O1632" s="24"/>
      <c r="P1632" s="24"/>
      <c r="Q1632" s="24"/>
      <c r="R1632" s="24"/>
      <c r="S1632" s="24"/>
      <c r="T1632" s="24"/>
      <c r="U1632" s="27"/>
      <c r="V1632" s="27"/>
      <c r="W1632" s="24"/>
      <c r="X1632" s="24"/>
    </row>
    <row r="1633" spans="1:24" ht="14.25" customHeight="1" x14ac:dyDescent="0.25">
      <c r="A1633" s="27"/>
      <c r="B1633" s="27"/>
      <c r="C1633" s="24"/>
      <c r="D1633" s="24"/>
      <c r="E1633" s="27"/>
      <c r="F1633" s="27"/>
      <c r="G1633" s="27"/>
      <c r="H1633" s="27"/>
      <c r="I1633" s="27"/>
      <c r="J1633" s="27"/>
      <c r="K1633" s="27"/>
      <c r="L1633" s="27"/>
      <c r="M1633" s="27"/>
      <c r="N1633" s="24"/>
      <c r="O1633" s="24"/>
      <c r="P1633" s="24"/>
      <c r="Q1633" s="24"/>
      <c r="R1633" s="24"/>
      <c r="S1633" s="24"/>
      <c r="T1633" s="24"/>
      <c r="U1633" s="27"/>
      <c r="V1633" s="27"/>
      <c r="W1633" s="24"/>
      <c r="X1633" s="24"/>
    </row>
    <row r="1634" spans="1:24" ht="14.25" customHeight="1" x14ac:dyDescent="0.25">
      <c r="A1634" s="27"/>
      <c r="B1634" s="27"/>
      <c r="C1634" s="24"/>
      <c r="D1634" s="24"/>
      <c r="E1634" s="27"/>
      <c r="F1634" s="27"/>
      <c r="G1634" s="27"/>
      <c r="H1634" s="27"/>
      <c r="I1634" s="27"/>
      <c r="J1634" s="27"/>
      <c r="K1634" s="27"/>
      <c r="L1634" s="27"/>
      <c r="M1634" s="27"/>
      <c r="N1634" s="24"/>
      <c r="O1634" s="24"/>
      <c r="P1634" s="24"/>
      <c r="Q1634" s="24"/>
      <c r="R1634" s="24"/>
      <c r="S1634" s="24"/>
      <c r="T1634" s="24"/>
      <c r="U1634" s="27"/>
      <c r="V1634" s="27"/>
      <c r="W1634" s="24"/>
      <c r="X1634" s="24"/>
    </row>
    <row r="1635" spans="1:24" ht="14.25" customHeight="1" x14ac:dyDescent="0.25">
      <c r="A1635" s="27"/>
      <c r="B1635" s="27"/>
      <c r="C1635" s="24"/>
      <c r="D1635" s="24"/>
      <c r="E1635" s="27"/>
      <c r="F1635" s="27"/>
      <c r="G1635" s="27"/>
      <c r="H1635" s="27"/>
      <c r="I1635" s="27"/>
      <c r="J1635" s="27"/>
      <c r="K1635" s="27"/>
      <c r="L1635" s="27"/>
      <c r="M1635" s="27"/>
      <c r="N1635" s="24"/>
      <c r="O1635" s="24"/>
      <c r="P1635" s="24"/>
      <c r="Q1635" s="24"/>
      <c r="R1635" s="24"/>
      <c r="S1635" s="24"/>
      <c r="T1635" s="24"/>
      <c r="U1635" s="27"/>
      <c r="V1635" s="27"/>
      <c r="W1635" s="24"/>
      <c r="X1635" s="24"/>
    </row>
    <row r="1636" spans="1:24" ht="14.25" customHeight="1" x14ac:dyDescent="0.25">
      <c r="A1636" s="27"/>
      <c r="B1636" s="27"/>
      <c r="C1636" s="24"/>
      <c r="D1636" s="24"/>
      <c r="E1636" s="27"/>
      <c r="F1636" s="27"/>
      <c r="G1636" s="27"/>
      <c r="H1636" s="27"/>
      <c r="I1636" s="27"/>
      <c r="J1636" s="27"/>
      <c r="K1636" s="27"/>
      <c r="L1636" s="27"/>
      <c r="M1636" s="27"/>
      <c r="N1636" s="24"/>
      <c r="O1636" s="24"/>
      <c r="P1636" s="24"/>
      <c r="Q1636" s="24"/>
      <c r="R1636" s="24"/>
      <c r="S1636" s="24"/>
      <c r="T1636" s="24"/>
      <c r="U1636" s="27"/>
      <c r="V1636" s="27"/>
      <c r="W1636" s="24"/>
      <c r="X1636" s="24"/>
    </row>
    <row r="1637" spans="1:24" ht="14.25" customHeight="1" x14ac:dyDescent="0.25">
      <c r="A1637" s="27"/>
      <c r="B1637" s="27"/>
      <c r="C1637" s="24"/>
      <c r="D1637" s="24"/>
      <c r="E1637" s="27"/>
      <c r="F1637" s="27"/>
      <c r="G1637" s="27"/>
      <c r="H1637" s="27"/>
      <c r="I1637" s="27"/>
      <c r="J1637" s="27"/>
      <c r="K1637" s="27"/>
      <c r="L1637" s="27"/>
      <c r="M1637" s="27"/>
      <c r="N1637" s="24"/>
      <c r="O1637" s="24"/>
      <c r="P1637" s="24"/>
      <c r="Q1637" s="24"/>
      <c r="R1637" s="24"/>
      <c r="S1637" s="24"/>
      <c r="T1637" s="24"/>
      <c r="U1637" s="27"/>
      <c r="V1637" s="27"/>
      <c r="W1637" s="24"/>
      <c r="X1637" s="24"/>
    </row>
    <row r="1638" spans="1:24" ht="14.25" customHeight="1" x14ac:dyDescent="0.25">
      <c r="A1638" s="27"/>
      <c r="B1638" s="27"/>
      <c r="C1638" s="24"/>
      <c r="D1638" s="24"/>
      <c r="E1638" s="27"/>
      <c r="F1638" s="27"/>
      <c r="G1638" s="27"/>
      <c r="H1638" s="27"/>
      <c r="I1638" s="27"/>
      <c r="J1638" s="27"/>
      <c r="K1638" s="27"/>
      <c r="L1638" s="27"/>
      <c r="M1638" s="27"/>
      <c r="N1638" s="24"/>
      <c r="O1638" s="24"/>
      <c r="P1638" s="24"/>
      <c r="Q1638" s="24"/>
      <c r="R1638" s="24"/>
      <c r="S1638" s="24"/>
      <c r="T1638" s="24"/>
      <c r="U1638" s="27"/>
      <c r="V1638" s="27"/>
      <c r="W1638" s="24"/>
      <c r="X1638" s="24"/>
    </row>
    <row r="1639" spans="1:24" ht="14.25" customHeight="1" x14ac:dyDescent="0.25">
      <c r="A1639" s="27"/>
      <c r="B1639" s="27"/>
      <c r="C1639" s="24"/>
      <c r="D1639" s="24"/>
      <c r="E1639" s="27"/>
      <c r="F1639" s="27"/>
      <c r="G1639" s="27"/>
      <c r="H1639" s="27"/>
      <c r="I1639" s="27"/>
      <c r="J1639" s="27"/>
      <c r="K1639" s="27"/>
      <c r="L1639" s="27"/>
      <c r="M1639" s="27"/>
      <c r="N1639" s="24"/>
      <c r="O1639" s="24"/>
      <c r="P1639" s="24"/>
      <c r="Q1639" s="24"/>
      <c r="R1639" s="24"/>
      <c r="S1639" s="24"/>
      <c r="T1639" s="24"/>
      <c r="U1639" s="27"/>
      <c r="V1639" s="27"/>
      <c r="W1639" s="24"/>
      <c r="X1639" s="24"/>
    </row>
    <row r="1640" spans="1:24" ht="14.25" customHeight="1" x14ac:dyDescent="0.25">
      <c r="A1640" s="27"/>
      <c r="B1640" s="27"/>
      <c r="C1640" s="24"/>
      <c r="D1640" s="24"/>
      <c r="E1640" s="27"/>
      <c r="F1640" s="27"/>
      <c r="G1640" s="27"/>
      <c r="H1640" s="27"/>
      <c r="I1640" s="27"/>
      <c r="J1640" s="27"/>
      <c r="K1640" s="27"/>
      <c r="L1640" s="27"/>
      <c r="M1640" s="27"/>
      <c r="N1640" s="24"/>
      <c r="O1640" s="24"/>
      <c r="P1640" s="24"/>
      <c r="Q1640" s="24"/>
      <c r="R1640" s="24"/>
      <c r="S1640" s="24"/>
      <c r="T1640" s="24"/>
      <c r="U1640" s="27"/>
      <c r="V1640" s="27"/>
      <c r="W1640" s="24"/>
      <c r="X1640" s="24"/>
    </row>
    <row r="1641" spans="1:24" ht="14.25" customHeight="1" x14ac:dyDescent="0.25">
      <c r="A1641" s="27"/>
      <c r="B1641" s="27"/>
      <c r="C1641" s="24"/>
      <c r="D1641" s="24"/>
      <c r="E1641" s="27"/>
      <c r="F1641" s="27"/>
      <c r="G1641" s="27"/>
      <c r="H1641" s="27"/>
      <c r="I1641" s="27"/>
      <c r="J1641" s="27"/>
      <c r="K1641" s="27"/>
      <c r="L1641" s="27"/>
      <c r="M1641" s="27"/>
      <c r="N1641" s="24"/>
      <c r="O1641" s="24"/>
      <c r="P1641" s="24"/>
      <c r="Q1641" s="24"/>
      <c r="R1641" s="24"/>
      <c r="S1641" s="24"/>
      <c r="T1641" s="24"/>
      <c r="U1641" s="27"/>
      <c r="V1641" s="27"/>
      <c r="W1641" s="24"/>
      <c r="X1641" s="24"/>
    </row>
    <row r="1642" spans="1:24" ht="14.25" customHeight="1" x14ac:dyDescent="0.25">
      <c r="A1642" s="27"/>
      <c r="B1642" s="27"/>
      <c r="C1642" s="24"/>
      <c r="D1642" s="24"/>
      <c r="E1642" s="27"/>
      <c r="F1642" s="27"/>
      <c r="G1642" s="27"/>
      <c r="H1642" s="27"/>
      <c r="I1642" s="27"/>
      <c r="J1642" s="27"/>
      <c r="K1642" s="27"/>
      <c r="L1642" s="27"/>
      <c r="M1642" s="27"/>
      <c r="N1642" s="24"/>
      <c r="O1642" s="24"/>
      <c r="P1642" s="24"/>
      <c r="Q1642" s="24"/>
      <c r="R1642" s="24"/>
      <c r="S1642" s="24"/>
      <c r="T1642" s="24"/>
      <c r="U1642" s="27"/>
      <c r="V1642" s="27"/>
      <c r="W1642" s="24"/>
      <c r="X1642" s="24"/>
    </row>
    <row r="1643" spans="1:24" ht="14.25" customHeight="1" x14ac:dyDescent="0.25">
      <c r="A1643" s="27"/>
      <c r="B1643" s="27"/>
      <c r="C1643" s="24"/>
      <c r="D1643" s="24"/>
      <c r="E1643" s="27"/>
      <c r="F1643" s="27"/>
      <c r="G1643" s="27"/>
      <c r="H1643" s="27"/>
      <c r="I1643" s="27"/>
      <c r="J1643" s="27"/>
      <c r="K1643" s="27"/>
      <c r="L1643" s="27"/>
      <c r="M1643" s="27"/>
      <c r="N1643" s="24"/>
      <c r="O1643" s="24"/>
      <c r="P1643" s="24"/>
      <c r="Q1643" s="24"/>
      <c r="R1643" s="24"/>
      <c r="S1643" s="24"/>
      <c r="T1643" s="24"/>
      <c r="U1643" s="27"/>
      <c r="V1643" s="27"/>
      <c r="W1643" s="24"/>
      <c r="X1643" s="24"/>
    </row>
    <row r="1644" spans="1:24" ht="14.25" customHeight="1" x14ac:dyDescent="0.25">
      <c r="A1644" s="27"/>
      <c r="B1644" s="27"/>
      <c r="C1644" s="24"/>
      <c r="D1644" s="24"/>
      <c r="E1644" s="27"/>
      <c r="F1644" s="27"/>
      <c r="G1644" s="27"/>
      <c r="H1644" s="27"/>
      <c r="I1644" s="27"/>
      <c r="J1644" s="27"/>
      <c r="K1644" s="27"/>
      <c r="L1644" s="27"/>
      <c r="M1644" s="27"/>
      <c r="N1644" s="24"/>
      <c r="O1644" s="24"/>
      <c r="P1644" s="24"/>
      <c r="Q1644" s="24"/>
      <c r="R1644" s="24"/>
      <c r="S1644" s="24"/>
      <c r="T1644" s="24"/>
      <c r="U1644" s="27"/>
      <c r="V1644" s="27"/>
      <c r="W1644" s="24"/>
      <c r="X1644" s="24"/>
    </row>
    <row r="1645" spans="1:24" ht="14.25" customHeight="1" x14ac:dyDescent="0.25">
      <c r="A1645" s="27"/>
      <c r="B1645" s="27"/>
      <c r="C1645" s="24"/>
      <c r="D1645" s="24"/>
      <c r="E1645" s="27"/>
      <c r="F1645" s="27"/>
      <c r="G1645" s="27"/>
      <c r="H1645" s="27"/>
      <c r="I1645" s="27"/>
      <c r="J1645" s="27"/>
      <c r="K1645" s="27"/>
      <c r="L1645" s="27"/>
      <c r="M1645" s="27"/>
      <c r="N1645" s="24"/>
      <c r="O1645" s="24"/>
      <c r="P1645" s="24"/>
      <c r="Q1645" s="24"/>
      <c r="R1645" s="24"/>
      <c r="S1645" s="24"/>
      <c r="T1645" s="24"/>
      <c r="U1645" s="27"/>
      <c r="V1645" s="27"/>
      <c r="W1645" s="24"/>
      <c r="X1645" s="24"/>
    </row>
    <row r="1646" spans="1:24" ht="14.25" customHeight="1" x14ac:dyDescent="0.25">
      <c r="A1646" s="27"/>
      <c r="B1646" s="27"/>
      <c r="C1646" s="24"/>
      <c r="D1646" s="24"/>
      <c r="E1646" s="27"/>
      <c r="F1646" s="27"/>
      <c r="G1646" s="27"/>
      <c r="H1646" s="27"/>
      <c r="I1646" s="27"/>
      <c r="J1646" s="27"/>
      <c r="K1646" s="27"/>
      <c r="L1646" s="27"/>
      <c r="M1646" s="27"/>
      <c r="N1646" s="24"/>
      <c r="O1646" s="24"/>
      <c r="P1646" s="24"/>
      <c r="Q1646" s="24"/>
      <c r="R1646" s="24"/>
      <c r="S1646" s="24"/>
      <c r="T1646" s="24"/>
      <c r="U1646" s="27"/>
      <c r="V1646" s="27"/>
      <c r="W1646" s="24"/>
      <c r="X1646" s="24"/>
    </row>
    <row r="1647" spans="1:24" ht="14.25" customHeight="1" x14ac:dyDescent="0.25">
      <c r="A1647" s="27"/>
      <c r="B1647" s="27"/>
      <c r="C1647" s="24"/>
      <c r="D1647" s="24"/>
      <c r="E1647" s="27"/>
      <c r="F1647" s="27"/>
      <c r="G1647" s="27"/>
      <c r="H1647" s="27"/>
      <c r="I1647" s="27"/>
      <c r="J1647" s="27"/>
      <c r="K1647" s="27"/>
      <c r="L1647" s="27"/>
      <c r="M1647" s="27"/>
      <c r="N1647" s="24"/>
      <c r="O1647" s="24"/>
      <c r="P1647" s="24"/>
      <c r="Q1647" s="24"/>
      <c r="R1647" s="24"/>
      <c r="S1647" s="24"/>
      <c r="T1647" s="24"/>
      <c r="U1647" s="27"/>
      <c r="V1647" s="27"/>
      <c r="W1647" s="24"/>
      <c r="X1647" s="24"/>
    </row>
    <row r="1648" spans="1:24" ht="14.25" customHeight="1" x14ac:dyDescent="0.25">
      <c r="A1648" s="27"/>
      <c r="B1648" s="27"/>
      <c r="C1648" s="24"/>
      <c r="D1648" s="24"/>
      <c r="E1648" s="27"/>
      <c r="F1648" s="27"/>
      <c r="G1648" s="27"/>
      <c r="H1648" s="27"/>
      <c r="I1648" s="27"/>
      <c r="J1648" s="27"/>
      <c r="K1648" s="27"/>
      <c r="L1648" s="27"/>
      <c r="M1648" s="27"/>
      <c r="N1648" s="24"/>
      <c r="O1648" s="24"/>
      <c r="P1648" s="24"/>
      <c r="Q1648" s="24"/>
      <c r="R1648" s="24"/>
      <c r="S1648" s="24"/>
      <c r="T1648" s="24"/>
      <c r="U1648" s="27"/>
      <c r="V1648" s="27"/>
      <c r="W1648" s="24"/>
      <c r="X1648" s="24"/>
    </row>
    <row r="1649" spans="1:24" ht="14.25" customHeight="1" x14ac:dyDescent="0.25">
      <c r="A1649" s="27"/>
      <c r="B1649" s="27"/>
      <c r="C1649" s="24"/>
      <c r="D1649" s="24"/>
      <c r="E1649" s="27"/>
      <c r="F1649" s="27"/>
      <c r="G1649" s="27"/>
      <c r="H1649" s="27"/>
      <c r="I1649" s="27"/>
      <c r="J1649" s="27"/>
      <c r="K1649" s="27"/>
      <c r="L1649" s="27"/>
      <c r="M1649" s="27"/>
      <c r="N1649" s="24"/>
      <c r="O1649" s="24"/>
      <c r="P1649" s="24"/>
      <c r="Q1649" s="24"/>
      <c r="R1649" s="24"/>
      <c r="S1649" s="24"/>
      <c r="T1649" s="24"/>
      <c r="U1649" s="27"/>
      <c r="V1649" s="27"/>
      <c r="W1649" s="24"/>
      <c r="X1649" s="24"/>
    </row>
    <row r="1650" spans="1:24" ht="14.25" customHeight="1" x14ac:dyDescent="0.25">
      <c r="A1650" s="27"/>
      <c r="B1650" s="27"/>
      <c r="C1650" s="24"/>
      <c r="D1650" s="24"/>
      <c r="E1650" s="27"/>
      <c r="F1650" s="27"/>
      <c r="G1650" s="27"/>
      <c r="H1650" s="27"/>
      <c r="I1650" s="27"/>
      <c r="J1650" s="27"/>
      <c r="K1650" s="27"/>
      <c r="L1650" s="27"/>
      <c r="M1650" s="27"/>
      <c r="N1650" s="24"/>
      <c r="O1650" s="24"/>
      <c r="P1650" s="24"/>
      <c r="Q1650" s="24"/>
      <c r="R1650" s="24"/>
      <c r="S1650" s="24"/>
      <c r="T1650" s="24"/>
      <c r="U1650" s="27"/>
      <c r="V1650" s="27"/>
      <c r="W1650" s="24"/>
      <c r="X1650" s="24"/>
    </row>
    <row r="1651" spans="1:24" ht="14.25" customHeight="1" x14ac:dyDescent="0.25">
      <c r="A1651" s="27"/>
      <c r="B1651" s="27"/>
      <c r="C1651" s="24"/>
      <c r="D1651" s="24"/>
      <c r="E1651" s="27"/>
      <c r="F1651" s="27"/>
      <c r="G1651" s="27"/>
      <c r="H1651" s="27"/>
      <c r="I1651" s="27"/>
      <c r="J1651" s="27"/>
      <c r="K1651" s="27"/>
      <c r="L1651" s="27"/>
      <c r="M1651" s="27"/>
      <c r="N1651" s="24"/>
      <c r="O1651" s="24"/>
      <c r="P1651" s="24"/>
      <c r="Q1651" s="24"/>
      <c r="R1651" s="24"/>
      <c r="S1651" s="24"/>
      <c r="T1651" s="24"/>
      <c r="U1651" s="27"/>
      <c r="V1651" s="27"/>
      <c r="W1651" s="24"/>
      <c r="X1651" s="24"/>
    </row>
    <row r="1652" spans="1:24" ht="14.25" customHeight="1" x14ac:dyDescent="0.25">
      <c r="A1652" s="27"/>
      <c r="B1652" s="27"/>
      <c r="C1652" s="24"/>
      <c r="D1652" s="24"/>
      <c r="E1652" s="27"/>
      <c r="F1652" s="27"/>
      <c r="G1652" s="27"/>
      <c r="H1652" s="27"/>
      <c r="I1652" s="27"/>
      <c r="J1652" s="27"/>
      <c r="K1652" s="27"/>
      <c r="L1652" s="27"/>
      <c r="M1652" s="27"/>
      <c r="N1652" s="24"/>
      <c r="O1652" s="24"/>
      <c r="P1652" s="24"/>
      <c r="Q1652" s="24"/>
      <c r="R1652" s="24"/>
      <c r="S1652" s="24"/>
      <c r="T1652" s="24"/>
      <c r="U1652" s="27"/>
      <c r="V1652" s="27"/>
      <c r="W1652" s="24"/>
      <c r="X1652" s="24"/>
    </row>
    <row r="1653" spans="1:24" ht="14.25" customHeight="1" x14ac:dyDescent="0.25">
      <c r="A1653" s="27"/>
      <c r="B1653" s="27"/>
      <c r="C1653" s="24"/>
      <c r="D1653" s="24"/>
      <c r="E1653" s="27"/>
      <c r="F1653" s="27"/>
      <c r="G1653" s="27"/>
      <c r="H1653" s="27"/>
      <c r="I1653" s="27"/>
      <c r="J1653" s="27"/>
      <c r="K1653" s="27"/>
      <c r="L1653" s="27"/>
      <c r="M1653" s="27"/>
      <c r="N1653" s="24"/>
      <c r="O1653" s="24"/>
      <c r="P1653" s="24"/>
      <c r="Q1653" s="24"/>
      <c r="R1653" s="24"/>
      <c r="S1653" s="24"/>
      <c r="T1653" s="24"/>
      <c r="U1653" s="27"/>
      <c r="V1653" s="27"/>
      <c r="W1653" s="24"/>
      <c r="X1653" s="24"/>
    </row>
    <row r="1654" spans="1:24" ht="14.25" customHeight="1" x14ac:dyDescent="0.25">
      <c r="A1654" s="27"/>
      <c r="B1654" s="27"/>
      <c r="C1654" s="24"/>
      <c r="D1654" s="24"/>
      <c r="E1654" s="27"/>
      <c r="F1654" s="27"/>
      <c r="G1654" s="27"/>
      <c r="H1654" s="27"/>
      <c r="I1654" s="27"/>
      <c r="J1654" s="27"/>
      <c r="K1654" s="27"/>
      <c r="L1654" s="27"/>
      <c r="M1654" s="27"/>
      <c r="N1654" s="24"/>
      <c r="O1654" s="24"/>
      <c r="P1654" s="24"/>
      <c r="Q1654" s="24"/>
      <c r="R1654" s="24"/>
      <c r="S1654" s="24"/>
      <c r="T1654" s="24"/>
      <c r="U1654" s="27"/>
      <c r="V1654" s="27"/>
      <c r="W1654" s="24"/>
      <c r="X1654" s="24"/>
    </row>
    <row r="1655" spans="1:24" ht="14.25" customHeight="1" x14ac:dyDescent="0.25">
      <c r="A1655" s="27"/>
      <c r="B1655" s="27"/>
      <c r="C1655" s="24"/>
      <c r="D1655" s="24"/>
      <c r="E1655" s="27"/>
      <c r="F1655" s="27"/>
      <c r="G1655" s="27"/>
      <c r="H1655" s="27"/>
      <c r="I1655" s="27"/>
      <c r="J1655" s="27"/>
      <c r="K1655" s="27"/>
      <c r="L1655" s="27"/>
      <c r="M1655" s="27"/>
      <c r="N1655" s="24"/>
      <c r="O1655" s="24"/>
      <c r="P1655" s="24"/>
      <c r="Q1655" s="24"/>
      <c r="R1655" s="24"/>
      <c r="S1655" s="24"/>
      <c r="T1655" s="24"/>
      <c r="U1655" s="27"/>
      <c r="V1655" s="27"/>
      <c r="W1655" s="24"/>
      <c r="X1655" s="24"/>
    </row>
    <row r="1656" spans="1:24" ht="14.25" customHeight="1" x14ac:dyDescent="0.25">
      <c r="A1656" s="27"/>
      <c r="B1656" s="27"/>
      <c r="C1656" s="24"/>
      <c r="D1656" s="24"/>
      <c r="E1656" s="27"/>
      <c r="F1656" s="27"/>
      <c r="G1656" s="27"/>
      <c r="H1656" s="27"/>
      <c r="I1656" s="27"/>
      <c r="J1656" s="27"/>
      <c r="K1656" s="27"/>
      <c r="L1656" s="27"/>
      <c r="M1656" s="27"/>
      <c r="N1656" s="24"/>
      <c r="O1656" s="24"/>
      <c r="P1656" s="24"/>
      <c r="Q1656" s="24"/>
      <c r="R1656" s="24"/>
      <c r="S1656" s="24"/>
      <c r="T1656" s="24"/>
      <c r="U1656" s="27"/>
      <c r="V1656" s="27"/>
      <c r="W1656" s="24"/>
      <c r="X1656" s="24"/>
    </row>
    <row r="1657" spans="1:24" ht="14.25" customHeight="1" x14ac:dyDescent="0.25">
      <c r="A1657" s="27"/>
      <c r="B1657" s="27"/>
      <c r="C1657" s="24"/>
      <c r="D1657" s="24"/>
      <c r="E1657" s="27"/>
      <c r="F1657" s="27"/>
      <c r="G1657" s="27"/>
      <c r="H1657" s="27"/>
      <c r="I1657" s="27"/>
      <c r="J1657" s="27"/>
      <c r="K1657" s="27"/>
      <c r="L1657" s="27"/>
      <c r="M1657" s="27"/>
      <c r="N1657" s="24"/>
      <c r="O1657" s="24"/>
      <c r="P1657" s="24"/>
      <c r="Q1657" s="24"/>
      <c r="R1657" s="24"/>
      <c r="S1657" s="24"/>
      <c r="T1657" s="24"/>
      <c r="U1657" s="27"/>
      <c r="V1657" s="27"/>
      <c r="W1657" s="24"/>
      <c r="X1657" s="24"/>
    </row>
    <row r="1658" spans="1:24" ht="14.25" customHeight="1" x14ac:dyDescent="0.25">
      <c r="A1658" s="27"/>
      <c r="B1658" s="27"/>
      <c r="C1658" s="24"/>
      <c r="D1658" s="24"/>
      <c r="E1658" s="27"/>
      <c r="F1658" s="27"/>
      <c r="G1658" s="27"/>
      <c r="H1658" s="27"/>
      <c r="I1658" s="27"/>
      <c r="J1658" s="27"/>
      <c r="K1658" s="27"/>
      <c r="L1658" s="27"/>
      <c r="M1658" s="27"/>
      <c r="N1658" s="24"/>
      <c r="O1658" s="24"/>
      <c r="P1658" s="24"/>
      <c r="Q1658" s="24"/>
      <c r="R1658" s="24"/>
      <c r="S1658" s="24"/>
      <c r="T1658" s="24"/>
      <c r="U1658" s="27"/>
      <c r="V1658" s="27"/>
      <c r="W1658" s="24"/>
      <c r="X1658" s="24"/>
    </row>
    <row r="1659" spans="1:24" ht="14.25" customHeight="1" x14ac:dyDescent="0.25">
      <c r="A1659" s="27"/>
      <c r="B1659" s="27"/>
      <c r="C1659" s="24"/>
      <c r="D1659" s="24"/>
      <c r="E1659" s="27"/>
      <c r="F1659" s="27"/>
      <c r="G1659" s="27"/>
      <c r="H1659" s="27"/>
      <c r="I1659" s="27"/>
      <c r="J1659" s="27"/>
      <c r="K1659" s="27"/>
      <c r="L1659" s="27"/>
      <c r="M1659" s="27"/>
      <c r="N1659" s="24"/>
      <c r="O1659" s="24"/>
      <c r="P1659" s="24"/>
      <c r="Q1659" s="24"/>
      <c r="R1659" s="24"/>
      <c r="S1659" s="24"/>
      <c r="T1659" s="24"/>
      <c r="U1659" s="27"/>
      <c r="V1659" s="27"/>
      <c r="W1659" s="24"/>
      <c r="X1659" s="24"/>
    </row>
    <row r="1660" spans="1:24" ht="14.25" customHeight="1" x14ac:dyDescent="0.25">
      <c r="A1660" s="27"/>
      <c r="B1660" s="27"/>
      <c r="C1660" s="24"/>
      <c r="D1660" s="24"/>
      <c r="E1660" s="27"/>
      <c r="F1660" s="27"/>
      <c r="G1660" s="27"/>
      <c r="H1660" s="27"/>
      <c r="I1660" s="27"/>
      <c r="J1660" s="27"/>
      <c r="K1660" s="27"/>
      <c r="L1660" s="27"/>
      <c r="M1660" s="27"/>
      <c r="N1660" s="24"/>
      <c r="O1660" s="24"/>
      <c r="P1660" s="24"/>
      <c r="Q1660" s="24"/>
      <c r="R1660" s="24"/>
      <c r="S1660" s="24"/>
      <c r="T1660" s="24"/>
      <c r="U1660" s="27"/>
      <c r="V1660" s="27"/>
      <c r="W1660" s="24"/>
      <c r="X1660" s="24"/>
    </row>
    <row r="1661" spans="1:24" ht="14.25" customHeight="1" x14ac:dyDescent="0.25">
      <c r="A1661" s="27"/>
      <c r="B1661" s="27"/>
      <c r="C1661" s="24"/>
      <c r="D1661" s="24"/>
      <c r="E1661" s="27"/>
      <c r="F1661" s="27"/>
      <c r="G1661" s="27"/>
      <c r="H1661" s="27"/>
      <c r="I1661" s="27"/>
      <c r="J1661" s="27"/>
      <c r="K1661" s="27"/>
      <c r="L1661" s="27"/>
      <c r="M1661" s="27"/>
      <c r="N1661" s="24"/>
      <c r="O1661" s="24"/>
      <c r="P1661" s="24"/>
      <c r="Q1661" s="24"/>
      <c r="R1661" s="24"/>
      <c r="S1661" s="24"/>
      <c r="T1661" s="24"/>
      <c r="U1661" s="27"/>
      <c r="V1661" s="27"/>
      <c r="W1661" s="24"/>
      <c r="X1661" s="24"/>
    </row>
    <row r="1662" spans="1:24" ht="14.25" customHeight="1" x14ac:dyDescent="0.25">
      <c r="A1662" s="27"/>
      <c r="B1662" s="27"/>
      <c r="C1662" s="24"/>
      <c r="D1662" s="24"/>
      <c r="E1662" s="27"/>
      <c r="F1662" s="27"/>
      <c r="G1662" s="27"/>
      <c r="H1662" s="27"/>
      <c r="I1662" s="27"/>
      <c r="J1662" s="27"/>
      <c r="K1662" s="27"/>
      <c r="L1662" s="27"/>
      <c r="M1662" s="27"/>
      <c r="N1662" s="24"/>
      <c r="O1662" s="24"/>
      <c r="P1662" s="24"/>
      <c r="Q1662" s="24"/>
      <c r="R1662" s="24"/>
      <c r="S1662" s="24"/>
      <c r="T1662" s="24"/>
      <c r="U1662" s="27"/>
      <c r="V1662" s="27"/>
      <c r="W1662" s="24"/>
      <c r="X1662" s="24"/>
    </row>
    <row r="1663" spans="1:24" ht="14.25" customHeight="1" x14ac:dyDescent="0.25">
      <c r="A1663" s="27"/>
      <c r="B1663" s="27"/>
      <c r="C1663" s="24"/>
      <c r="D1663" s="24"/>
      <c r="E1663" s="27"/>
      <c r="F1663" s="27"/>
      <c r="G1663" s="27"/>
      <c r="H1663" s="27"/>
      <c r="I1663" s="27"/>
      <c r="J1663" s="27"/>
      <c r="K1663" s="27"/>
      <c r="L1663" s="27"/>
      <c r="M1663" s="27"/>
      <c r="N1663" s="24"/>
      <c r="O1663" s="24"/>
      <c r="P1663" s="24"/>
      <c r="Q1663" s="24"/>
      <c r="R1663" s="24"/>
      <c r="S1663" s="24"/>
      <c r="T1663" s="24"/>
      <c r="U1663" s="27"/>
      <c r="V1663" s="27"/>
      <c r="W1663" s="24"/>
      <c r="X1663" s="24"/>
    </row>
    <row r="1664" spans="1:24" ht="14.25" customHeight="1" x14ac:dyDescent="0.25">
      <c r="A1664" s="27"/>
      <c r="B1664" s="27"/>
      <c r="C1664" s="24"/>
      <c r="D1664" s="24"/>
      <c r="E1664" s="27"/>
      <c r="F1664" s="27"/>
      <c r="G1664" s="27"/>
      <c r="H1664" s="27"/>
      <c r="I1664" s="27"/>
      <c r="J1664" s="27"/>
      <c r="K1664" s="27"/>
      <c r="L1664" s="27"/>
      <c r="M1664" s="27"/>
      <c r="N1664" s="24"/>
      <c r="O1664" s="24"/>
      <c r="P1664" s="24"/>
      <c r="Q1664" s="24"/>
      <c r="R1664" s="24"/>
      <c r="S1664" s="24"/>
      <c r="T1664" s="24"/>
      <c r="U1664" s="27"/>
      <c r="V1664" s="27"/>
      <c r="W1664" s="24"/>
      <c r="X1664" s="24"/>
    </row>
    <row r="1665" spans="1:24" ht="14.25" customHeight="1" x14ac:dyDescent="0.25">
      <c r="A1665" s="27"/>
      <c r="B1665" s="27"/>
      <c r="C1665" s="24"/>
      <c r="D1665" s="24"/>
      <c r="E1665" s="27"/>
      <c r="F1665" s="27"/>
      <c r="G1665" s="27"/>
      <c r="H1665" s="27"/>
      <c r="I1665" s="27"/>
      <c r="J1665" s="27"/>
      <c r="K1665" s="27"/>
      <c r="L1665" s="27"/>
      <c r="M1665" s="27"/>
      <c r="N1665" s="24"/>
      <c r="O1665" s="24"/>
      <c r="P1665" s="24"/>
      <c r="Q1665" s="24"/>
      <c r="R1665" s="24"/>
      <c r="S1665" s="24"/>
      <c r="T1665" s="24"/>
      <c r="U1665" s="27"/>
      <c r="V1665" s="27"/>
      <c r="W1665" s="24"/>
      <c r="X1665" s="24"/>
    </row>
    <row r="1666" spans="1:24" ht="14.25" customHeight="1" x14ac:dyDescent="0.25">
      <c r="A1666" s="27"/>
      <c r="B1666" s="27"/>
      <c r="C1666" s="24"/>
      <c r="D1666" s="24"/>
      <c r="E1666" s="27"/>
      <c r="F1666" s="27"/>
      <c r="G1666" s="27"/>
      <c r="H1666" s="27"/>
      <c r="I1666" s="27"/>
      <c r="J1666" s="27"/>
      <c r="K1666" s="27"/>
      <c r="L1666" s="27"/>
      <c r="M1666" s="27"/>
      <c r="N1666" s="24"/>
      <c r="O1666" s="24"/>
      <c r="P1666" s="24"/>
      <c r="Q1666" s="24"/>
      <c r="R1666" s="24"/>
      <c r="S1666" s="24"/>
      <c r="T1666" s="24"/>
      <c r="U1666" s="27"/>
      <c r="V1666" s="27"/>
      <c r="W1666" s="24"/>
      <c r="X1666" s="24"/>
    </row>
    <row r="1667" spans="1:24" ht="14.25" customHeight="1" x14ac:dyDescent="0.25">
      <c r="A1667" s="27"/>
      <c r="B1667" s="27"/>
      <c r="C1667" s="24"/>
      <c r="D1667" s="24"/>
      <c r="E1667" s="27"/>
      <c r="F1667" s="27"/>
      <c r="G1667" s="27"/>
      <c r="H1667" s="27"/>
      <c r="I1667" s="27"/>
      <c r="J1667" s="27"/>
      <c r="K1667" s="27"/>
      <c r="L1667" s="27"/>
      <c r="M1667" s="27"/>
      <c r="N1667" s="24"/>
      <c r="O1667" s="24"/>
      <c r="P1667" s="24"/>
      <c r="Q1667" s="24"/>
      <c r="R1667" s="24"/>
      <c r="S1667" s="24"/>
      <c r="T1667" s="24"/>
      <c r="U1667" s="27"/>
      <c r="V1667" s="27"/>
      <c r="W1667" s="24"/>
      <c r="X1667" s="24"/>
    </row>
    <row r="1668" spans="1:24" ht="14.25" customHeight="1" x14ac:dyDescent="0.25">
      <c r="A1668" s="27"/>
      <c r="B1668" s="27"/>
      <c r="C1668" s="24"/>
      <c r="D1668" s="24"/>
      <c r="E1668" s="27"/>
      <c r="F1668" s="27"/>
      <c r="G1668" s="27"/>
      <c r="H1668" s="27"/>
      <c r="I1668" s="27"/>
      <c r="J1668" s="27"/>
      <c r="K1668" s="27"/>
      <c r="L1668" s="27"/>
      <c r="M1668" s="27"/>
      <c r="N1668" s="24"/>
      <c r="O1668" s="24"/>
      <c r="P1668" s="24"/>
      <c r="Q1668" s="24"/>
      <c r="R1668" s="24"/>
      <c r="S1668" s="24"/>
      <c r="T1668" s="24"/>
      <c r="U1668" s="27"/>
      <c r="V1668" s="27"/>
      <c r="W1668" s="24"/>
      <c r="X1668" s="24"/>
    </row>
    <row r="1669" spans="1:24" ht="14.25" customHeight="1" x14ac:dyDescent="0.25">
      <c r="A1669" s="27"/>
      <c r="B1669" s="27"/>
      <c r="C1669" s="24"/>
      <c r="D1669" s="24"/>
      <c r="E1669" s="27"/>
      <c r="F1669" s="27"/>
      <c r="G1669" s="27"/>
      <c r="H1669" s="27"/>
      <c r="I1669" s="27"/>
      <c r="J1669" s="27"/>
      <c r="K1669" s="27"/>
      <c r="L1669" s="27"/>
      <c r="M1669" s="27"/>
      <c r="N1669" s="24"/>
      <c r="O1669" s="24"/>
      <c r="P1669" s="24"/>
      <c r="Q1669" s="24"/>
      <c r="R1669" s="24"/>
      <c r="S1669" s="24"/>
      <c r="T1669" s="24"/>
      <c r="U1669" s="27"/>
      <c r="V1669" s="27"/>
      <c r="W1669" s="24"/>
      <c r="X1669" s="24"/>
    </row>
    <row r="1670" spans="1:24" ht="14.25" customHeight="1" x14ac:dyDescent="0.25">
      <c r="A1670" s="27"/>
      <c r="B1670" s="27"/>
      <c r="C1670" s="24"/>
      <c r="D1670" s="24"/>
      <c r="E1670" s="27"/>
      <c r="F1670" s="27"/>
      <c r="G1670" s="27"/>
      <c r="H1670" s="27"/>
      <c r="I1670" s="27"/>
      <c r="J1670" s="27"/>
      <c r="K1670" s="27"/>
      <c r="L1670" s="27"/>
      <c r="M1670" s="27"/>
      <c r="N1670" s="24"/>
      <c r="O1670" s="24"/>
      <c r="P1670" s="24"/>
      <c r="Q1670" s="24"/>
      <c r="R1670" s="24"/>
      <c r="S1670" s="24"/>
      <c r="T1670" s="24"/>
      <c r="U1670" s="27"/>
      <c r="V1670" s="27"/>
      <c r="W1670" s="24"/>
      <c r="X1670" s="24"/>
    </row>
    <row r="1671" spans="1:24" ht="14.25" customHeight="1" x14ac:dyDescent="0.25">
      <c r="A1671" s="27"/>
      <c r="B1671" s="27"/>
      <c r="C1671" s="24"/>
      <c r="D1671" s="24"/>
      <c r="E1671" s="27"/>
      <c r="F1671" s="27"/>
      <c r="G1671" s="27"/>
      <c r="H1671" s="27"/>
      <c r="I1671" s="27"/>
      <c r="J1671" s="27"/>
      <c r="K1671" s="27"/>
      <c r="L1671" s="27"/>
      <c r="M1671" s="27"/>
      <c r="N1671" s="24"/>
      <c r="O1671" s="24"/>
      <c r="P1671" s="24"/>
      <c r="Q1671" s="24"/>
      <c r="R1671" s="24"/>
      <c r="S1671" s="24"/>
      <c r="T1671" s="24"/>
      <c r="U1671" s="27"/>
      <c r="V1671" s="27"/>
      <c r="W1671" s="24"/>
      <c r="X1671" s="24"/>
    </row>
    <row r="1672" spans="1:24" ht="14.25" customHeight="1" x14ac:dyDescent="0.25">
      <c r="A1672" s="27"/>
      <c r="B1672" s="27"/>
      <c r="C1672" s="24"/>
      <c r="D1672" s="24"/>
      <c r="E1672" s="27"/>
      <c r="F1672" s="27"/>
      <c r="G1672" s="27"/>
      <c r="H1672" s="27"/>
      <c r="I1672" s="27"/>
      <c r="J1672" s="27"/>
      <c r="K1672" s="27"/>
      <c r="L1672" s="27"/>
      <c r="M1672" s="27"/>
      <c r="N1672" s="24"/>
      <c r="O1672" s="24"/>
      <c r="P1672" s="24"/>
      <c r="Q1672" s="24"/>
      <c r="R1672" s="24"/>
      <c r="S1672" s="24"/>
      <c r="T1672" s="24"/>
      <c r="U1672" s="27"/>
      <c r="V1672" s="27"/>
      <c r="W1672" s="24"/>
      <c r="X1672" s="24"/>
    </row>
    <row r="1673" spans="1:24" ht="14.25" customHeight="1" x14ac:dyDescent="0.25">
      <c r="A1673" s="27"/>
      <c r="B1673" s="27"/>
      <c r="C1673" s="24"/>
      <c r="D1673" s="24"/>
      <c r="E1673" s="27"/>
      <c r="F1673" s="27"/>
      <c r="G1673" s="27"/>
      <c r="H1673" s="27"/>
      <c r="I1673" s="27"/>
      <c r="J1673" s="27"/>
      <c r="K1673" s="27"/>
      <c r="L1673" s="27"/>
      <c r="M1673" s="27"/>
      <c r="N1673" s="24"/>
      <c r="O1673" s="24"/>
      <c r="P1673" s="24"/>
      <c r="Q1673" s="24"/>
      <c r="R1673" s="24"/>
      <c r="S1673" s="24"/>
      <c r="T1673" s="24"/>
      <c r="U1673" s="27"/>
      <c r="V1673" s="27"/>
      <c r="W1673" s="24"/>
      <c r="X1673" s="24"/>
    </row>
    <row r="1674" spans="1:24" ht="14.25" customHeight="1" x14ac:dyDescent="0.25">
      <c r="A1674" s="27"/>
      <c r="B1674" s="27"/>
      <c r="C1674" s="24"/>
      <c r="D1674" s="24"/>
      <c r="E1674" s="27"/>
      <c r="F1674" s="27"/>
      <c r="G1674" s="27"/>
      <c r="H1674" s="27"/>
      <c r="I1674" s="27"/>
      <c r="J1674" s="27"/>
      <c r="K1674" s="27"/>
      <c r="L1674" s="27"/>
      <c r="M1674" s="27"/>
      <c r="N1674" s="24"/>
      <c r="O1674" s="24"/>
      <c r="P1674" s="24"/>
      <c r="Q1674" s="24"/>
      <c r="R1674" s="24"/>
      <c r="S1674" s="24"/>
      <c r="T1674" s="24"/>
      <c r="U1674" s="27"/>
      <c r="V1674" s="27"/>
      <c r="W1674" s="24"/>
      <c r="X1674" s="24"/>
    </row>
    <row r="1675" spans="1:24" ht="14.25" customHeight="1" x14ac:dyDescent="0.25">
      <c r="A1675" s="27"/>
      <c r="B1675" s="27"/>
      <c r="C1675" s="24"/>
      <c r="D1675" s="24"/>
      <c r="E1675" s="27"/>
      <c r="F1675" s="27"/>
      <c r="G1675" s="27"/>
      <c r="H1675" s="27"/>
      <c r="I1675" s="27"/>
      <c r="J1675" s="27"/>
      <c r="K1675" s="27"/>
      <c r="L1675" s="27"/>
      <c r="M1675" s="27"/>
      <c r="N1675" s="24"/>
      <c r="O1675" s="24"/>
      <c r="P1675" s="24"/>
      <c r="Q1675" s="24"/>
      <c r="R1675" s="24"/>
      <c r="S1675" s="24"/>
      <c r="T1675" s="24"/>
      <c r="U1675" s="27"/>
      <c r="V1675" s="27"/>
      <c r="W1675" s="24"/>
      <c r="X1675" s="24"/>
    </row>
    <row r="1676" spans="1:24" ht="14.25" customHeight="1" x14ac:dyDescent="0.25">
      <c r="A1676" s="27"/>
      <c r="B1676" s="27"/>
      <c r="C1676" s="24"/>
      <c r="D1676" s="24"/>
      <c r="E1676" s="27"/>
      <c r="F1676" s="27"/>
      <c r="G1676" s="27"/>
      <c r="H1676" s="27"/>
      <c r="I1676" s="27"/>
      <c r="J1676" s="27"/>
      <c r="K1676" s="27"/>
      <c r="L1676" s="27"/>
      <c r="M1676" s="27"/>
      <c r="N1676" s="24"/>
      <c r="O1676" s="24"/>
      <c r="P1676" s="24"/>
      <c r="Q1676" s="24"/>
      <c r="R1676" s="24"/>
      <c r="S1676" s="24"/>
      <c r="T1676" s="24"/>
      <c r="U1676" s="27"/>
      <c r="V1676" s="27"/>
      <c r="W1676" s="24"/>
      <c r="X1676" s="24"/>
    </row>
    <row r="1677" spans="1:24" ht="14.25" customHeight="1" x14ac:dyDescent="0.25">
      <c r="A1677" s="27"/>
      <c r="B1677" s="27"/>
      <c r="C1677" s="24"/>
      <c r="D1677" s="24"/>
      <c r="E1677" s="27"/>
      <c r="F1677" s="27"/>
      <c r="G1677" s="27"/>
      <c r="H1677" s="27"/>
      <c r="I1677" s="27"/>
      <c r="J1677" s="27"/>
      <c r="K1677" s="27"/>
      <c r="L1677" s="27"/>
      <c r="M1677" s="27"/>
      <c r="N1677" s="24"/>
      <c r="O1677" s="24"/>
      <c r="P1677" s="24"/>
      <c r="Q1677" s="24"/>
      <c r="R1677" s="24"/>
      <c r="S1677" s="24"/>
      <c r="T1677" s="24"/>
      <c r="U1677" s="27"/>
      <c r="V1677" s="27"/>
      <c r="W1677" s="24"/>
      <c r="X1677" s="24"/>
    </row>
    <row r="1678" spans="1:24" ht="14.25" customHeight="1" x14ac:dyDescent="0.25">
      <c r="A1678" s="27"/>
      <c r="B1678" s="27"/>
      <c r="C1678" s="24"/>
      <c r="D1678" s="24"/>
      <c r="E1678" s="27"/>
      <c r="F1678" s="27"/>
      <c r="G1678" s="27"/>
      <c r="H1678" s="27"/>
      <c r="I1678" s="27"/>
      <c r="J1678" s="27"/>
      <c r="K1678" s="27"/>
      <c r="L1678" s="27"/>
      <c r="M1678" s="27"/>
      <c r="N1678" s="24"/>
      <c r="O1678" s="24"/>
      <c r="P1678" s="24"/>
      <c r="Q1678" s="24"/>
      <c r="R1678" s="24"/>
      <c r="S1678" s="24"/>
      <c r="T1678" s="24"/>
      <c r="U1678" s="27"/>
      <c r="V1678" s="27"/>
      <c r="W1678" s="24"/>
      <c r="X1678" s="24"/>
    </row>
    <row r="1679" spans="1:24" ht="14.25" customHeight="1" x14ac:dyDescent="0.25">
      <c r="A1679" s="27"/>
      <c r="B1679" s="27"/>
      <c r="C1679" s="24"/>
      <c r="D1679" s="24"/>
      <c r="E1679" s="27"/>
      <c r="F1679" s="27"/>
      <c r="G1679" s="27"/>
      <c r="H1679" s="27"/>
      <c r="I1679" s="27"/>
      <c r="J1679" s="27"/>
      <c r="K1679" s="27"/>
      <c r="L1679" s="27"/>
      <c r="M1679" s="27"/>
      <c r="N1679" s="24"/>
      <c r="O1679" s="24"/>
      <c r="P1679" s="24"/>
      <c r="Q1679" s="24"/>
      <c r="R1679" s="24"/>
      <c r="S1679" s="24"/>
      <c r="T1679" s="24"/>
      <c r="U1679" s="27"/>
      <c r="V1679" s="27"/>
      <c r="W1679" s="24"/>
      <c r="X1679" s="24"/>
    </row>
    <row r="1680" spans="1:24" ht="14.25" customHeight="1" x14ac:dyDescent="0.25">
      <c r="A1680" s="27"/>
      <c r="B1680" s="27"/>
      <c r="C1680" s="24"/>
      <c r="D1680" s="24"/>
      <c r="E1680" s="27"/>
      <c r="F1680" s="27"/>
      <c r="G1680" s="27"/>
      <c r="H1680" s="27"/>
      <c r="I1680" s="27"/>
      <c r="J1680" s="27"/>
      <c r="K1680" s="27"/>
      <c r="L1680" s="27"/>
      <c r="M1680" s="27"/>
      <c r="N1680" s="24"/>
      <c r="O1680" s="24"/>
      <c r="P1680" s="24"/>
      <c r="Q1680" s="24"/>
      <c r="R1680" s="24"/>
      <c r="S1680" s="24"/>
      <c r="T1680" s="24"/>
      <c r="U1680" s="27"/>
      <c r="V1680" s="27"/>
      <c r="W1680" s="24"/>
      <c r="X1680" s="24"/>
    </row>
    <row r="1681" spans="1:24" ht="14.25" customHeight="1" x14ac:dyDescent="0.25">
      <c r="A1681" s="27"/>
      <c r="B1681" s="27"/>
      <c r="C1681" s="24"/>
      <c r="D1681" s="24"/>
      <c r="E1681" s="27"/>
      <c r="F1681" s="27"/>
      <c r="G1681" s="27"/>
      <c r="H1681" s="27"/>
      <c r="I1681" s="27"/>
      <c r="J1681" s="27"/>
      <c r="K1681" s="27"/>
      <c r="L1681" s="27"/>
      <c r="M1681" s="27"/>
      <c r="N1681" s="24"/>
      <c r="O1681" s="24"/>
      <c r="P1681" s="24"/>
      <c r="Q1681" s="24"/>
      <c r="R1681" s="24"/>
      <c r="S1681" s="24"/>
      <c r="T1681" s="24"/>
      <c r="U1681" s="27"/>
      <c r="V1681" s="27"/>
      <c r="W1681" s="24"/>
      <c r="X1681" s="24"/>
    </row>
    <row r="1682" spans="1:24" ht="14.25" customHeight="1" x14ac:dyDescent="0.25">
      <c r="A1682" s="27"/>
      <c r="B1682" s="27"/>
      <c r="C1682" s="24"/>
      <c r="D1682" s="24"/>
      <c r="E1682" s="27"/>
      <c r="F1682" s="27"/>
      <c r="G1682" s="27"/>
      <c r="H1682" s="27"/>
      <c r="I1682" s="27"/>
      <c r="J1682" s="27"/>
      <c r="K1682" s="27"/>
      <c r="L1682" s="27"/>
      <c r="M1682" s="27"/>
      <c r="N1682" s="24"/>
      <c r="O1682" s="24"/>
      <c r="P1682" s="24"/>
      <c r="Q1682" s="24"/>
      <c r="R1682" s="24"/>
      <c r="S1682" s="24"/>
      <c r="T1682" s="24"/>
      <c r="U1682" s="27"/>
      <c r="V1682" s="27"/>
      <c r="W1682" s="24"/>
      <c r="X1682" s="24"/>
    </row>
    <row r="1683" spans="1:24" ht="14.25" customHeight="1" x14ac:dyDescent="0.25">
      <c r="A1683" s="27"/>
      <c r="B1683" s="27"/>
      <c r="C1683" s="24"/>
      <c r="D1683" s="24"/>
      <c r="E1683" s="27"/>
      <c r="F1683" s="27"/>
      <c r="G1683" s="27"/>
      <c r="H1683" s="27"/>
      <c r="I1683" s="27"/>
      <c r="J1683" s="27"/>
      <c r="K1683" s="27"/>
      <c r="L1683" s="27"/>
      <c r="M1683" s="27"/>
      <c r="N1683" s="24"/>
      <c r="O1683" s="24"/>
      <c r="P1683" s="24"/>
      <c r="Q1683" s="24"/>
      <c r="R1683" s="24"/>
      <c r="S1683" s="24"/>
      <c r="T1683" s="24"/>
      <c r="U1683" s="27"/>
      <c r="V1683" s="27"/>
      <c r="W1683" s="24"/>
      <c r="X1683" s="24"/>
    </row>
    <row r="1684" spans="1:24" ht="14.25" customHeight="1" x14ac:dyDescent="0.25">
      <c r="A1684" s="27"/>
      <c r="B1684" s="27"/>
      <c r="C1684" s="24"/>
      <c r="D1684" s="24"/>
      <c r="E1684" s="27"/>
      <c r="F1684" s="27"/>
      <c r="G1684" s="27"/>
      <c r="H1684" s="27"/>
      <c r="I1684" s="27"/>
      <c r="J1684" s="27"/>
      <c r="K1684" s="27"/>
      <c r="L1684" s="27"/>
      <c r="M1684" s="27"/>
      <c r="N1684" s="24"/>
      <c r="O1684" s="24"/>
      <c r="P1684" s="24"/>
      <c r="Q1684" s="24"/>
      <c r="R1684" s="24"/>
      <c r="S1684" s="24"/>
      <c r="T1684" s="24"/>
      <c r="U1684" s="27"/>
      <c r="V1684" s="27"/>
      <c r="W1684" s="24"/>
      <c r="X1684" s="24"/>
    </row>
    <row r="1685" spans="1:24" ht="14.25" customHeight="1" x14ac:dyDescent="0.25">
      <c r="A1685" s="27"/>
      <c r="B1685" s="27"/>
      <c r="C1685" s="24"/>
      <c r="D1685" s="24"/>
      <c r="E1685" s="27"/>
      <c r="F1685" s="27"/>
      <c r="G1685" s="27"/>
      <c r="H1685" s="27"/>
      <c r="I1685" s="27"/>
      <c r="J1685" s="27"/>
      <c r="K1685" s="27"/>
      <c r="L1685" s="27"/>
      <c r="M1685" s="27"/>
      <c r="N1685" s="24"/>
      <c r="O1685" s="24"/>
      <c r="P1685" s="24"/>
      <c r="Q1685" s="24"/>
      <c r="R1685" s="24"/>
      <c r="S1685" s="24"/>
      <c r="T1685" s="24"/>
      <c r="U1685" s="27"/>
      <c r="V1685" s="27"/>
      <c r="W1685" s="24"/>
      <c r="X1685" s="24"/>
    </row>
    <row r="1686" spans="1:24" ht="14.25" customHeight="1" x14ac:dyDescent="0.25">
      <c r="A1686" s="27"/>
      <c r="B1686" s="27"/>
      <c r="C1686" s="24"/>
      <c r="D1686" s="24"/>
      <c r="E1686" s="27"/>
      <c r="F1686" s="27"/>
      <c r="G1686" s="27"/>
      <c r="H1686" s="27"/>
      <c r="I1686" s="27"/>
      <c r="J1686" s="27"/>
      <c r="K1686" s="27"/>
      <c r="L1686" s="27"/>
      <c r="M1686" s="27"/>
      <c r="N1686" s="24"/>
      <c r="O1686" s="24"/>
      <c r="P1686" s="24"/>
      <c r="Q1686" s="24"/>
      <c r="R1686" s="24"/>
      <c r="S1686" s="24"/>
      <c r="T1686" s="24"/>
      <c r="U1686" s="27"/>
      <c r="V1686" s="27"/>
      <c r="W1686" s="24"/>
      <c r="X1686" s="24"/>
    </row>
    <row r="1687" spans="1:24" ht="14.25" customHeight="1" x14ac:dyDescent="0.25">
      <c r="A1687" s="27"/>
      <c r="B1687" s="27"/>
      <c r="C1687" s="24"/>
      <c r="D1687" s="24"/>
      <c r="E1687" s="27"/>
      <c r="F1687" s="27"/>
      <c r="G1687" s="27"/>
      <c r="H1687" s="27"/>
      <c r="I1687" s="27"/>
      <c r="J1687" s="27"/>
      <c r="K1687" s="27"/>
      <c r="L1687" s="27"/>
      <c r="M1687" s="27"/>
      <c r="N1687" s="24"/>
      <c r="O1687" s="24"/>
      <c r="P1687" s="24"/>
      <c r="Q1687" s="24"/>
      <c r="R1687" s="24"/>
      <c r="S1687" s="24"/>
      <c r="T1687" s="24"/>
      <c r="U1687" s="27"/>
      <c r="V1687" s="27"/>
      <c r="W1687" s="24"/>
      <c r="X1687" s="24"/>
    </row>
    <row r="1688" spans="1:24" ht="14.25" customHeight="1" x14ac:dyDescent="0.25">
      <c r="A1688" s="27"/>
      <c r="B1688" s="27"/>
      <c r="C1688" s="24"/>
      <c r="D1688" s="24"/>
      <c r="E1688" s="27"/>
      <c r="F1688" s="27"/>
      <c r="G1688" s="27"/>
      <c r="H1688" s="27"/>
      <c r="I1688" s="27"/>
      <c r="J1688" s="27"/>
      <c r="K1688" s="27"/>
      <c r="L1688" s="27"/>
      <c r="M1688" s="27"/>
      <c r="N1688" s="24"/>
      <c r="O1688" s="24"/>
      <c r="P1688" s="24"/>
      <c r="Q1688" s="24"/>
      <c r="R1688" s="24"/>
      <c r="S1688" s="24"/>
      <c r="T1688" s="24"/>
      <c r="U1688" s="27"/>
      <c r="V1688" s="27"/>
      <c r="W1688" s="24"/>
      <c r="X1688" s="24"/>
    </row>
    <row r="1689" spans="1:24" ht="14.25" customHeight="1" x14ac:dyDescent="0.25">
      <c r="A1689" s="27"/>
      <c r="B1689" s="27"/>
      <c r="C1689" s="24"/>
      <c r="D1689" s="24"/>
      <c r="E1689" s="27"/>
      <c r="F1689" s="27"/>
      <c r="G1689" s="27"/>
      <c r="H1689" s="27"/>
      <c r="I1689" s="27"/>
      <c r="J1689" s="27"/>
      <c r="K1689" s="27"/>
      <c r="L1689" s="27"/>
      <c r="M1689" s="27"/>
      <c r="N1689" s="24"/>
      <c r="O1689" s="24"/>
      <c r="P1689" s="24"/>
      <c r="Q1689" s="24"/>
      <c r="R1689" s="24"/>
      <c r="S1689" s="24"/>
      <c r="T1689" s="24"/>
      <c r="U1689" s="27"/>
      <c r="V1689" s="27"/>
      <c r="W1689" s="24"/>
      <c r="X1689" s="24"/>
    </row>
    <row r="1690" spans="1:24" ht="14.25" customHeight="1" x14ac:dyDescent="0.25">
      <c r="A1690" s="27"/>
      <c r="B1690" s="27"/>
      <c r="C1690" s="24"/>
      <c r="D1690" s="24"/>
      <c r="E1690" s="27"/>
      <c r="F1690" s="27"/>
      <c r="G1690" s="27"/>
      <c r="H1690" s="27"/>
      <c r="I1690" s="27"/>
      <c r="J1690" s="27"/>
      <c r="K1690" s="27"/>
      <c r="L1690" s="27"/>
      <c r="M1690" s="27"/>
      <c r="N1690" s="24"/>
      <c r="O1690" s="24"/>
      <c r="P1690" s="24"/>
      <c r="Q1690" s="24"/>
      <c r="R1690" s="24"/>
      <c r="S1690" s="24"/>
      <c r="T1690" s="24"/>
      <c r="U1690" s="27"/>
      <c r="V1690" s="27"/>
      <c r="W1690" s="24"/>
      <c r="X1690" s="24"/>
    </row>
    <row r="1691" spans="1:24" ht="14.25" customHeight="1" x14ac:dyDescent="0.25">
      <c r="A1691" s="27"/>
      <c r="B1691" s="27"/>
      <c r="C1691" s="24"/>
      <c r="D1691" s="24"/>
      <c r="E1691" s="27"/>
      <c r="F1691" s="27"/>
      <c r="G1691" s="27"/>
      <c r="H1691" s="27"/>
      <c r="I1691" s="27"/>
      <c r="J1691" s="27"/>
      <c r="K1691" s="27"/>
      <c r="L1691" s="27"/>
      <c r="M1691" s="27"/>
      <c r="N1691" s="24"/>
      <c r="O1691" s="24"/>
      <c r="P1691" s="24"/>
      <c r="Q1691" s="24"/>
      <c r="R1691" s="24"/>
      <c r="S1691" s="24"/>
      <c r="T1691" s="24"/>
      <c r="U1691" s="27"/>
      <c r="V1691" s="27"/>
      <c r="W1691" s="24"/>
      <c r="X1691" s="24"/>
    </row>
    <row r="1692" spans="1:24" ht="14.25" customHeight="1" x14ac:dyDescent="0.25">
      <c r="A1692" s="27"/>
      <c r="B1692" s="27"/>
      <c r="C1692" s="24"/>
      <c r="D1692" s="24"/>
      <c r="E1692" s="27"/>
      <c r="F1692" s="27"/>
      <c r="G1692" s="27"/>
      <c r="H1692" s="27"/>
      <c r="I1692" s="27"/>
      <c r="J1692" s="27"/>
      <c r="K1692" s="27"/>
      <c r="L1692" s="27"/>
      <c r="M1692" s="27"/>
      <c r="N1692" s="24"/>
      <c r="O1692" s="24"/>
      <c r="P1692" s="24"/>
      <c r="Q1692" s="24"/>
      <c r="R1692" s="24"/>
      <c r="S1692" s="24"/>
      <c r="T1692" s="24"/>
      <c r="U1692" s="27"/>
      <c r="V1692" s="27"/>
      <c r="W1692" s="24"/>
      <c r="X1692" s="24"/>
    </row>
    <row r="1693" spans="1:24" ht="14.25" customHeight="1" x14ac:dyDescent="0.25">
      <c r="A1693" s="27"/>
      <c r="B1693" s="27"/>
      <c r="C1693" s="24"/>
      <c r="D1693" s="24"/>
      <c r="E1693" s="27"/>
      <c r="F1693" s="27"/>
      <c r="G1693" s="27"/>
      <c r="H1693" s="27"/>
      <c r="I1693" s="27"/>
      <c r="J1693" s="27"/>
      <c r="K1693" s="27"/>
      <c r="L1693" s="27"/>
      <c r="M1693" s="27"/>
      <c r="N1693" s="24"/>
      <c r="O1693" s="24"/>
      <c r="P1693" s="24"/>
      <c r="Q1693" s="24"/>
      <c r="R1693" s="24"/>
      <c r="S1693" s="24"/>
      <c r="T1693" s="24"/>
      <c r="U1693" s="27"/>
      <c r="V1693" s="27"/>
      <c r="W1693" s="24"/>
      <c r="X1693" s="24"/>
    </row>
    <row r="1694" spans="1:24" ht="14.25" customHeight="1" x14ac:dyDescent="0.25">
      <c r="A1694" s="27"/>
      <c r="B1694" s="27"/>
      <c r="C1694" s="24"/>
      <c r="D1694" s="24"/>
      <c r="E1694" s="27"/>
      <c r="F1694" s="27"/>
      <c r="G1694" s="27"/>
      <c r="H1694" s="27"/>
      <c r="I1694" s="27"/>
      <c r="J1694" s="27"/>
      <c r="K1694" s="27"/>
      <c r="L1694" s="27"/>
      <c r="M1694" s="27"/>
      <c r="N1694" s="24"/>
      <c r="O1694" s="24"/>
      <c r="P1694" s="24"/>
      <c r="Q1694" s="24"/>
      <c r="R1694" s="24"/>
      <c r="S1694" s="24"/>
      <c r="T1694" s="24"/>
      <c r="U1694" s="27"/>
      <c r="V1694" s="27"/>
      <c r="W1694" s="24"/>
      <c r="X1694" s="24"/>
    </row>
    <row r="1695" spans="1:24" ht="14.25" customHeight="1" x14ac:dyDescent="0.25">
      <c r="A1695" s="27"/>
      <c r="B1695" s="27"/>
      <c r="C1695" s="24"/>
      <c r="D1695" s="24"/>
      <c r="E1695" s="27"/>
      <c r="F1695" s="27"/>
      <c r="G1695" s="27"/>
      <c r="H1695" s="27"/>
      <c r="I1695" s="27"/>
      <c r="J1695" s="27"/>
      <c r="K1695" s="27"/>
      <c r="L1695" s="27"/>
      <c r="M1695" s="27"/>
      <c r="N1695" s="24"/>
      <c r="O1695" s="24"/>
      <c r="P1695" s="24"/>
      <c r="Q1695" s="24"/>
      <c r="R1695" s="24"/>
      <c r="S1695" s="24"/>
      <c r="T1695" s="24"/>
      <c r="U1695" s="27"/>
      <c r="V1695" s="27"/>
      <c r="W1695" s="24"/>
      <c r="X1695" s="24"/>
    </row>
    <row r="1696" spans="1:24" ht="14.25" customHeight="1" x14ac:dyDescent="0.25">
      <c r="A1696" s="27"/>
      <c r="B1696" s="27"/>
      <c r="C1696" s="24"/>
      <c r="D1696" s="24"/>
      <c r="E1696" s="27"/>
      <c r="F1696" s="27"/>
      <c r="G1696" s="27"/>
      <c r="H1696" s="27"/>
      <c r="I1696" s="27"/>
      <c r="J1696" s="27"/>
      <c r="K1696" s="27"/>
      <c r="L1696" s="27"/>
      <c r="M1696" s="27"/>
      <c r="N1696" s="24"/>
      <c r="O1696" s="24"/>
      <c r="P1696" s="24"/>
      <c r="Q1696" s="24"/>
      <c r="R1696" s="24"/>
      <c r="S1696" s="24"/>
      <c r="T1696" s="24"/>
      <c r="U1696" s="27"/>
      <c r="V1696" s="27"/>
      <c r="W1696" s="24"/>
      <c r="X1696" s="24"/>
    </row>
    <row r="1697" spans="1:24" ht="14.25" customHeight="1" x14ac:dyDescent="0.25">
      <c r="A1697" s="27"/>
      <c r="B1697" s="27"/>
      <c r="C1697" s="24"/>
      <c r="D1697" s="24"/>
      <c r="E1697" s="27"/>
      <c r="F1697" s="27"/>
      <c r="G1697" s="27"/>
      <c r="H1697" s="27"/>
      <c r="I1697" s="27"/>
      <c r="J1697" s="27"/>
      <c r="K1697" s="27"/>
      <c r="L1697" s="27"/>
      <c r="M1697" s="27"/>
      <c r="N1697" s="24"/>
      <c r="O1697" s="24"/>
      <c r="P1697" s="24"/>
      <c r="Q1697" s="24"/>
      <c r="R1697" s="24"/>
      <c r="S1697" s="24"/>
      <c r="T1697" s="24"/>
      <c r="U1697" s="27"/>
      <c r="V1697" s="27"/>
      <c r="W1697" s="24"/>
      <c r="X1697" s="24"/>
    </row>
    <row r="1698" spans="1:24" ht="14.25" customHeight="1" x14ac:dyDescent="0.25">
      <c r="A1698" s="27"/>
      <c r="B1698" s="27"/>
      <c r="C1698" s="24"/>
      <c r="D1698" s="24"/>
      <c r="E1698" s="27"/>
      <c r="F1698" s="27"/>
      <c r="G1698" s="27"/>
      <c r="H1698" s="27"/>
      <c r="I1698" s="27"/>
      <c r="J1698" s="27"/>
      <c r="K1698" s="27"/>
      <c r="L1698" s="27"/>
      <c r="M1698" s="27"/>
      <c r="N1698" s="24"/>
      <c r="O1698" s="24"/>
      <c r="P1698" s="24"/>
      <c r="Q1698" s="24"/>
      <c r="R1698" s="24"/>
      <c r="S1698" s="24"/>
      <c r="T1698" s="24"/>
      <c r="U1698" s="27"/>
      <c r="V1698" s="27"/>
      <c r="W1698" s="24"/>
      <c r="X1698" s="24"/>
    </row>
    <row r="1699" spans="1:24" ht="14.25" customHeight="1" x14ac:dyDescent="0.25">
      <c r="A1699" s="27"/>
      <c r="B1699" s="27"/>
      <c r="C1699" s="24"/>
      <c r="D1699" s="24"/>
      <c r="E1699" s="27"/>
      <c r="F1699" s="27"/>
      <c r="G1699" s="27"/>
      <c r="H1699" s="27"/>
      <c r="I1699" s="27"/>
      <c r="J1699" s="27"/>
      <c r="K1699" s="27"/>
      <c r="L1699" s="27"/>
      <c r="M1699" s="27"/>
      <c r="N1699" s="24"/>
      <c r="O1699" s="24"/>
      <c r="P1699" s="24"/>
      <c r="Q1699" s="24"/>
      <c r="R1699" s="24"/>
      <c r="S1699" s="24"/>
      <c r="T1699" s="24"/>
      <c r="U1699" s="27"/>
      <c r="V1699" s="27"/>
      <c r="W1699" s="24"/>
      <c r="X1699" s="24"/>
    </row>
    <row r="1700" spans="1:24" ht="14.25" customHeight="1" x14ac:dyDescent="0.25">
      <c r="A1700" s="27"/>
      <c r="B1700" s="27"/>
      <c r="C1700" s="24"/>
      <c r="D1700" s="24"/>
      <c r="E1700" s="27"/>
      <c r="F1700" s="27"/>
      <c r="G1700" s="27"/>
      <c r="H1700" s="27"/>
      <c r="I1700" s="27"/>
      <c r="J1700" s="27"/>
      <c r="K1700" s="27"/>
      <c r="L1700" s="27"/>
      <c r="M1700" s="27"/>
      <c r="N1700" s="24"/>
      <c r="O1700" s="24"/>
      <c r="P1700" s="24"/>
      <c r="Q1700" s="24"/>
      <c r="R1700" s="24"/>
      <c r="S1700" s="24"/>
      <c r="T1700" s="24"/>
      <c r="U1700" s="27"/>
      <c r="V1700" s="27"/>
      <c r="W1700" s="24"/>
      <c r="X1700" s="24"/>
    </row>
    <row r="1701" spans="1:24" ht="14.25" customHeight="1" x14ac:dyDescent="0.25">
      <c r="A1701" s="27"/>
      <c r="B1701" s="27"/>
      <c r="C1701" s="24"/>
      <c r="D1701" s="24"/>
      <c r="E1701" s="27"/>
      <c r="F1701" s="27"/>
      <c r="G1701" s="27"/>
      <c r="H1701" s="27"/>
      <c r="I1701" s="27"/>
      <c r="J1701" s="27"/>
      <c r="K1701" s="27"/>
      <c r="L1701" s="27"/>
      <c r="M1701" s="27"/>
      <c r="N1701" s="24"/>
      <c r="O1701" s="24"/>
      <c r="P1701" s="24"/>
      <c r="Q1701" s="24"/>
      <c r="R1701" s="24"/>
      <c r="S1701" s="24"/>
      <c r="T1701" s="24"/>
      <c r="U1701" s="27"/>
      <c r="V1701" s="27"/>
      <c r="W1701" s="24"/>
      <c r="X1701" s="24"/>
    </row>
    <row r="1702" spans="1:24" ht="14.25" customHeight="1" x14ac:dyDescent="0.25">
      <c r="A1702" s="27"/>
      <c r="B1702" s="27"/>
      <c r="C1702" s="24"/>
      <c r="D1702" s="24"/>
      <c r="E1702" s="27"/>
      <c r="F1702" s="27"/>
      <c r="G1702" s="27"/>
      <c r="H1702" s="27"/>
      <c r="I1702" s="27"/>
      <c r="J1702" s="27"/>
      <c r="K1702" s="27"/>
      <c r="L1702" s="27"/>
      <c r="M1702" s="27"/>
      <c r="N1702" s="24"/>
      <c r="O1702" s="24"/>
      <c r="P1702" s="24"/>
      <c r="Q1702" s="24"/>
      <c r="R1702" s="24"/>
      <c r="S1702" s="24"/>
      <c r="T1702" s="24"/>
      <c r="U1702" s="27"/>
      <c r="V1702" s="27"/>
      <c r="W1702" s="24"/>
      <c r="X1702" s="24"/>
    </row>
    <row r="1703" spans="1:24" ht="14.25" customHeight="1" x14ac:dyDescent="0.25">
      <c r="A1703" s="27"/>
      <c r="B1703" s="27"/>
      <c r="C1703" s="24"/>
      <c r="D1703" s="24"/>
      <c r="E1703" s="27"/>
      <c r="F1703" s="27"/>
      <c r="G1703" s="27"/>
      <c r="H1703" s="27"/>
      <c r="I1703" s="27"/>
      <c r="J1703" s="27"/>
      <c r="K1703" s="27"/>
      <c r="L1703" s="27"/>
      <c r="M1703" s="27"/>
      <c r="N1703" s="24"/>
      <c r="O1703" s="24"/>
      <c r="P1703" s="24"/>
      <c r="Q1703" s="24"/>
      <c r="R1703" s="24"/>
      <c r="S1703" s="24"/>
      <c r="T1703" s="24"/>
      <c r="U1703" s="27"/>
      <c r="V1703" s="27"/>
      <c r="W1703" s="24"/>
      <c r="X1703" s="24"/>
    </row>
    <row r="1704" spans="1:24" ht="14.25" customHeight="1" x14ac:dyDescent="0.25">
      <c r="A1704" s="27"/>
      <c r="B1704" s="27"/>
      <c r="C1704" s="24"/>
      <c r="D1704" s="24"/>
      <c r="E1704" s="27"/>
      <c r="F1704" s="27"/>
      <c r="G1704" s="27"/>
      <c r="H1704" s="27"/>
      <c r="I1704" s="27"/>
      <c r="J1704" s="27"/>
      <c r="K1704" s="27"/>
      <c r="L1704" s="27"/>
      <c r="M1704" s="27"/>
      <c r="N1704" s="24"/>
      <c r="O1704" s="24"/>
      <c r="P1704" s="24"/>
      <c r="Q1704" s="24"/>
      <c r="R1704" s="24"/>
      <c r="S1704" s="24"/>
      <c r="T1704" s="24"/>
      <c r="U1704" s="27"/>
      <c r="V1704" s="27"/>
      <c r="W1704" s="24"/>
      <c r="X1704" s="24"/>
    </row>
    <row r="1705" spans="1:24" ht="14.25" customHeight="1" x14ac:dyDescent="0.25">
      <c r="A1705" s="27"/>
      <c r="B1705" s="27"/>
      <c r="C1705" s="24"/>
      <c r="D1705" s="24"/>
      <c r="E1705" s="27"/>
      <c r="F1705" s="27"/>
      <c r="G1705" s="27"/>
      <c r="H1705" s="27"/>
      <c r="I1705" s="27"/>
      <c r="J1705" s="27"/>
      <c r="K1705" s="27"/>
      <c r="L1705" s="27"/>
      <c r="M1705" s="27"/>
      <c r="N1705" s="24"/>
      <c r="O1705" s="24"/>
      <c r="P1705" s="24"/>
      <c r="Q1705" s="24"/>
      <c r="R1705" s="24"/>
      <c r="S1705" s="24"/>
      <c r="T1705" s="24"/>
      <c r="U1705" s="27"/>
      <c r="V1705" s="27"/>
      <c r="W1705" s="24"/>
      <c r="X1705" s="24"/>
    </row>
    <row r="1706" spans="1:24" ht="14.25" customHeight="1" x14ac:dyDescent="0.25">
      <c r="A1706" s="27"/>
      <c r="B1706" s="27"/>
      <c r="C1706" s="24"/>
      <c r="D1706" s="24"/>
      <c r="E1706" s="27"/>
      <c r="F1706" s="27"/>
      <c r="G1706" s="27"/>
      <c r="H1706" s="27"/>
      <c r="I1706" s="27"/>
      <c r="J1706" s="27"/>
      <c r="K1706" s="27"/>
      <c r="L1706" s="27"/>
      <c r="M1706" s="27"/>
      <c r="N1706" s="24"/>
      <c r="O1706" s="24"/>
      <c r="P1706" s="24"/>
      <c r="Q1706" s="24"/>
      <c r="R1706" s="24"/>
      <c r="S1706" s="24"/>
      <c r="T1706" s="24"/>
      <c r="U1706" s="27"/>
      <c r="V1706" s="27"/>
      <c r="W1706" s="24"/>
      <c r="X1706" s="24"/>
    </row>
    <row r="1707" spans="1:24" ht="14.25" customHeight="1" x14ac:dyDescent="0.25">
      <c r="A1707" s="27"/>
      <c r="B1707" s="27"/>
      <c r="C1707" s="24"/>
      <c r="D1707" s="24"/>
      <c r="E1707" s="27"/>
      <c r="F1707" s="27"/>
      <c r="G1707" s="27"/>
      <c r="H1707" s="27"/>
      <c r="I1707" s="27"/>
      <c r="J1707" s="27"/>
      <c r="K1707" s="27"/>
      <c r="L1707" s="27"/>
      <c r="M1707" s="27"/>
      <c r="N1707" s="24"/>
      <c r="O1707" s="24"/>
      <c r="P1707" s="24"/>
      <c r="Q1707" s="24"/>
      <c r="R1707" s="24"/>
      <c r="S1707" s="24"/>
      <c r="T1707" s="24"/>
      <c r="U1707" s="27"/>
      <c r="V1707" s="27"/>
      <c r="W1707" s="24"/>
      <c r="X1707" s="24"/>
    </row>
    <row r="1708" spans="1:24" ht="14.25" customHeight="1" x14ac:dyDescent="0.25">
      <c r="A1708" s="27"/>
      <c r="B1708" s="27"/>
      <c r="C1708" s="24"/>
      <c r="D1708" s="24"/>
      <c r="E1708" s="27"/>
      <c r="F1708" s="27"/>
      <c r="G1708" s="27"/>
      <c r="H1708" s="27"/>
      <c r="I1708" s="27"/>
      <c r="J1708" s="27"/>
      <c r="K1708" s="27"/>
      <c r="L1708" s="27"/>
      <c r="M1708" s="27"/>
      <c r="N1708" s="24"/>
      <c r="O1708" s="24"/>
      <c r="P1708" s="24"/>
      <c r="Q1708" s="24"/>
      <c r="R1708" s="24"/>
      <c r="S1708" s="24"/>
      <c r="T1708" s="24"/>
      <c r="U1708" s="27"/>
      <c r="V1708" s="27"/>
      <c r="W1708" s="24"/>
      <c r="X1708" s="24"/>
    </row>
    <row r="1709" spans="1:24" ht="14.25" customHeight="1" x14ac:dyDescent="0.25">
      <c r="A1709" s="27"/>
      <c r="B1709" s="27"/>
      <c r="C1709" s="24"/>
      <c r="D1709" s="24"/>
      <c r="E1709" s="27"/>
      <c r="F1709" s="27"/>
      <c r="G1709" s="27"/>
      <c r="H1709" s="27"/>
      <c r="I1709" s="27"/>
      <c r="J1709" s="27"/>
      <c r="K1709" s="27"/>
      <c r="L1709" s="27"/>
      <c r="M1709" s="27"/>
      <c r="N1709" s="24"/>
      <c r="O1709" s="24"/>
      <c r="P1709" s="24"/>
      <c r="Q1709" s="24"/>
      <c r="R1709" s="24"/>
      <c r="S1709" s="24"/>
      <c r="T1709" s="24"/>
      <c r="U1709" s="27"/>
      <c r="V1709" s="27"/>
      <c r="W1709" s="24"/>
      <c r="X1709" s="24"/>
    </row>
    <row r="1710" spans="1:24" ht="14.25" customHeight="1" x14ac:dyDescent="0.25">
      <c r="A1710" s="27"/>
      <c r="B1710" s="27"/>
      <c r="C1710" s="24"/>
      <c r="D1710" s="24"/>
      <c r="E1710" s="27"/>
      <c r="F1710" s="27"/>
      <c r="G1710" s="27"/>
      <c r="H1710" s="27"/>
      <c r="I1710" s="27"/>
      <c r="J1710" s="27"/>
      <c r="K1710" s="27"/>
      <c r="L1710" s="27"/>
      <c r="M1710" s="27"/>
      <c r="N1710" s="24"/>
      <c r="O1710" s="24"/>
      <c r="P1710" s="24"/>
      <c r="Q1710" s="24"/>
      <c r="R1710" s="24"/>
      <c r="S1710" s="24"/>
      <c r="T1710" s="24"/>
      <c r="U1710" s="27"/>
      <c r="V1710" s="27"/>
      <c r="W1710" s="24"/>
      <c r="X1710" s="24"/>
    </row>
    <row r="1711" spans="1:24" ht="14.25" customHeight="1" x14ac:dyDescent="0.25">
      <c r="A1711" s="27"/>
      <c r="B1711" s="27"/>
      <c r="C1711" s="24"/>
      <c r="D1711" s="24"/>
      <c r="E1711" s="27"/>
      <c r="F1711" s="27"/>
      <c r="G1711" s="27"/>
      <c r="H1711" s="27"/>
      <c r="I1711" s="27"/>
      <c r="J1711" s="27"/>
      <c r="K1711" s="27"/>
      <c r="L1711" s="27"/>
      <c r="M1711" s="27"/>
      <c r="N1711" s="24"/>
      <c r="O1711" s="24"/>
      <c r="P1711" s="24"/>
      <c r="Q1711" s="24"/>
      <c r="R1711" s="24"/>
      <c r="S1711" s="24"/>
      <c r="T1711" s="24"/>
      <c r="U1711" s="27"/>
      <c r="V1711" s="27"/>
      <c r="W1711" s="24"/>
      <c r="X1711" s="24"/>
    </row>
    <row r="1712" spans="1:24" ht="14.25" customHeight="1" x14ac:dyDescent="0.25">
      <c r="A1712" s="27"/>
      <c r="B1712" s="27"/>
      <c r="C1712" s="24"/>
      <c r="D1712" s="24"/>
      <c r="E1712" s="27"/>
      <c r="F1712" s="27"/>
      <c r="G1712" s="27"/>
      <c r="H1712" s="27"/>
      <c r="I1712" s="27"/>
      <c r="J1712" s="27"/>
      <c r="K1712" s="27"/>
      <c r="L1712" s="27"/>
      <c r="M1712" s="27"/>
      <c r="N1712" s="24"/>
      <c r="O1712" s="24"/>
      <c r="P1712" s="24"/>
      <c r="Q1712" s="24"/>
      <c r="R1712" s="24"/>
      <c r="S1712" s="24"/>
      <c r="T1712" s="24"/>
      <c r="U1712" s="27"/>
      <c r="V1712" s="27"/>
      <c r="W1712" s="24"/>
      <c r="X1712" s="24"/>
    </row>
    <row r="1713" spans="1:24" ht="14.25" customHeight="1" x14ac:dyDescent="0.25">
      <c r="A1713" s="27"/>
      <c r="B1713" s="27"/>
      <c r="C1713" s="24"/>
      <c r="D1713" s="24"/>
      <c r="E1713" s="27"/>
      <c r="F1713" s="27"/>
      <c r="G1713" s="27"/>
      <c r="H1713" s="27"/>
      <c r="I1713" s="27"/>
      <c r="J1713" s="27"/>
      <c r="K1713" s="27"/>
      <c r="L1713" s="27"/>
      <c r="M1713" s="27"/>
      <c r="N1713" s="24"/>
      <c r="O1713" s="24"/>
      <c r="P1713" s="24"/>
      <c r="Q1713" s="24"/>
      <c r="R1713" s="24"/>
      <c r="S1713" s="24"/>
      <c r="T1713" s="24"/>
      <c r="U1713" s="27"/>
      <c r="V1713" s="27"/>
      <c r="W1713" s="24"/>
      <c r="X1713" s="24"/>
    </row>
    <row r="1714" spans="1:24" ht="14.25" customHeight="1" x14ac:dyDescent="0.25">
      <c r="A1714" s="27"/>
      <c r="B1714" s="27"/>
      <c r="C1714" s="24"/>
      <c r="D1714" s="24"/>
      <c r="E1714" s="27"/>
      <c r="F1714" s="27"/>
      <c r="G1714" s="27"/>
      <c r="H1714" s="27"/>
      <c r="I1714" s="27"/>
      <c r="J1714" s="27"/>
      <c r="K1714" s="27"/>
      <c r="L1714" s="27"/>
      <c r="M1714" s="27"/>
      <c r="N1714" s="24"/>
      <c r="O1714" s="24"/>
      <c r="P1714" s="24"/>
      <c r="Q1714" s="24"/>
      <c r="R1714" s="24"/>
      <c r="S1714" s="24"/>
      <c r="T1714" s="24"/>
      <c r="U1714" s="27"/>
      <c r="V1714" s="27"/>
      <c r="W1714" s="24"/>
      <c r="X1714" s="24"/>
    </row>
    <row r="1715" spans="1:24" ht="14.25" customHeight="1" x14ac:dyDescent="0.25">
      <c r="A1715" s="27"/>
      <c r="B1715" s="27"/>
      <c r="C1715" s="24"/>
      <c r="D1715" s="24"/>
      <c r="E1715" s="27"/>
      <c r="F1715" s="27"/>
      <c r="G1715" s="27"/>
      <c r="H1715" s="27"/>
      <c r="I1715" s="27"/>
      <c r="J1715" s="27"/>
      <c r="K1715" s="27"/>
      <c r="L1715" s="27"/>
      <c r="M1715" s="27"/>
      <c r="N1715" s="24"/>
      <c r="O1715" s="24"/>
      <c r="P1715" s="24"/>
      <c r="Q1715" s="24"/>
      <c r="R1715" s="24"/>
      <c r="S1715" s="24"/>
      <c r="T1715" s="24"/>
      <c r="U1715" s="27"/>
      <c r="V1715" s="27"/>
      <c r="W1715" s="24"/>
      <c r="X1715" s="24"/>
    </row>
    <row r="1716" spans="1:24" ht="14.25" customHeight="1" x14ac:dyDescent="0.25">
      <c r="A1716" s="27"/>
      <c r="B1716" s="27"/>
      <c r="C1716" s="24"/>
      <c r="D1716" s="24"/>
      <c r="E1716" s="27"/>
      <c r="F1716" s="27"/>
      <c r="G1716" s="27"/>
      <c r="H1716" s="27"/>
      <c r="I1716" s="27"/>
      <c r="J1716" s="27"/>
      <c r="K1716" s="27"/>
      <c r="L1716" s="27"/>
      <c r="M1716" s="27"/>
      <c r="N1716" s="24"/>
      <c r="O1716" s="24"/>
      <c r="P1716" s="24"/>
      <c r="Q1716" s="24"/>
      <c r="R1716" s="24"/>
      <c r="S1716" s="24"/>
      <c r="T1716" s="24"/>
      <c r="U1716" s="27"/>
      <c r="V1716" s="27"/>
      <c r="W1716" s="24"/>
      <c r="X1716" s="24"/>
    </row>
    <row r="1717" spans="1:24" ht="14.25" customHeight="1" x14ac:dyDescent="0.25">
      <c r="A1717" s="27"/>
      <c r="B1717" s="27"/>
      <c r="C1717" s="24"/>
      <c r="D1717" s="24"/>
      <c r="E1717" s="27"/>
      <c r="F1717" s="27"/>
      <c r="G1717" s="27"/>
      <c r="H1717" s="27"/>
      <c r="I1717" s="27"/>
      <c r="J1717" s="27"/>
      <c r="K1717" s="27"/>
      <c r="L1717" s="27"/>
      <c r="M1717" s="27"/>
      <c r="N1717" s="24"/>
      <c r="O1717" s="24"/>
      <c r="P1717" s="24"/>
      <c r="Q1717" s="24"/>
      <c r="R1717" s="24"/>
      <c r="S1717" s="24"/>
      <c r="T1717" s="24"/>
      <c r="U1717" s="27"/>
      <c r="V1717" s="27"/>
      <c r="W1717" s="24"/>
      <c r="X1717" s="24"/>
    </row>
    <row r="1718" spans="1:24" ht="14.25" customHeight="1" x14ac:dyDescent="0.25">
      <c r="A1718" s="27"/>
      <c r="B1718" s="27"/>
      <c r="C1718" s="24"/>
      <c r="D1718" s="24"/>
      <c r="E1718" s="27"/>
      <c r="F1718" s="27"/>
      <c r="G1718" s="27"/>
      <c r="H1718" s="27"/>
      <c r="I1718" s="27"/>
      <c r="J1718" s="27"/>
      <c r="K1718" s="27"/>
      <c r="L1718" s="27"/>
      <c r="M1718" s="27"/>
      <c r="N1718" s="24"/>
      <c r="O1718" s="24"/>
      <c r="P1718" s="24"/>
      <c r="Q1718" s="24"/>
      <c r="R1718" s="24"/>
      <c r="S1718" s="24"/>
      <c r="T1718" s="24"/>
      <c r="U1718" s="27"/>
      <c r="V1718" s="27"/>
      <c r="W1718" s="24"/>
      <c r="X1718" s="24"/>
    </row>
    <row r="1719" spans="1:24" ht="14.25" customHeight="1" x14ac:dyDescent="0.25">
      <c r="A1719" s="27"/>
      <c r="B1719" s="27"/>
      <c r="C1719" s="24"/>
      <c r="D1719" s="24"/>
      <c r="E1719" s="27"/>
      <c r="F1719" s="27"/>
      <c r="G1719" s="27"/>
      <c r="H1719" s="27"/>
      <c r="I1719" s="27"/>
      <c r="J1719" s="27"/>
      <c r="K1719" s="27"/>
      <c r="L1719" s="27"/>
      <c r="M1719" s="27"/>
      <c r="N1719" s="24"/>
      <c r="O1719" s="24"/>
      <c r="P1719" s="24"/>
      <c r="Q1719" s="24"/>
      <c r="R1719" s="24"/>
      <c r="S1719" s="24"/>
      <c r="T1719" s="24"/>
      <c r="U1719" s="27"/>
      <c r="V1719" s="27"/>
      <c r="W1719" s="24"/>
      <c r="X1719" s="24"/>
    </row>
    <row r="1720" spans="1:24" ht="14.25" customHeight="1" x14ac:dyDescent="0.25">
      <c r="A1720" s="27"/>
      <c r="B1720" s="27"/>
      <c r="C1720" s="24"/>
      <c r="D1720" s="24"/>
      <c r="E1720" s="27"/>
      <c r="F1720" s="27"/>
      <c r="G1720" s="27"/>
      <c r="H1720" s="27"/>
      <c r="I1720" s="27"/>
      <c r="J1720" s="27"/>
      <c r="K1720" s="27"/>
      <c r="L1720" s="27"/>
      <c r="M1720" s="27"/>
      <c r="N1720" s="24"/>
      <c r="O1720" s="24"/>
      <c r="P1720" s="24"/>
      <c r="Q1720" s="24"/>
      <c r="R1720" s="24"/>
      <c r="S1720" s="24"/>
      <c r="T1720" s="24"/>
      <c r="U1720" s="27"/>
      <c r="V1720" s="27"/>
      <c r="W1720" s="24"/>
      <c r="X1720" s="24"/>
    </row>
    <row r="1721" spans="1:24" ht="14.25" customHeight="1" x14ac:dyDescent="0.25">
      <c r="A1721" s="27"/>
      <c r="B1721" s="27"/>
      <c r="C1721" s="24"/>
      <c r="D1721" s="24"/>
      <c r="E1721" s="27"/>
      <c r="F1721" s="27"/>
      <c r="G1721" s="27"/>
      <c r="H1721" s="27"/>
      <c r="I1721" s="27"/>
      <c r="J1721" s="27"/>
      <c r="K1721" s="27"/>
      <c r="L1721" s="27"/>
      <c r="M1721" s="27"/>
      <c r="N1721" s="24"/>
      <c r="O1721" s="24"/>
      <c r="P1721" s="24"/>
      <c r="Q1721" s="24"/>
      <c r="R1721" s="24"/>
      <c r="S1721" s="24"/>
      <c r="T1721" s="24"/>
      <c r="U1721" s="27"/>
      <c r="V1721" s="27"/>
      <c r="W1721" s="24"/>
      <c r="X1721" s="24"/>
    </row>
    <row r="1722" spans="1:24" ht="14.25" customHeight="1" x14ac:dyDescent="0.25">
      <c r="A1722" s="27"/>
      <c r="B1722" s="27"/>
      <c r="C1722" s="24"/>
      <c r="D1722" s="24"/>
      <c r="E1722" s="27"/>
      <c r="F1722" s="27"/>
      <c r="G1722" s="27"/>
      <c r="H1722" s="27"/>
      <c r="I1722" s="27"/>
      <c r="J1722" s="27"/>
      <c r="K1722" s="27"/>
      <c r="L1722" s="27"/>
      <c r="M1722" s="27"/>
      <c r="N1722" s="24"/>
      <c r="O1722" s="24"/>
      <c r="P1722" s="24"/>
      <c r="Q1722" s="24"/>
      <c r="R1722" s="24"/>
      <c r="S1722" s="24"/>
      <c r="T1722" s="24"/>
      <c r="U1722" s="27"/>
      <c r="V1722" s="27"/>
      <c r="W1722" s="24"/>
      <c r="X1722" s="24"/>
    </row>
    <row r="1723" spans="1:24" ht="14.25" customHeight="1" x14ac:dyDescent="0.25">
      <c r="A1723" s="27"/>
      <c r="B1723" s="27"/>
      <c r="C1723" s="24"/>
      <c r="D1723" s="24"/>
      <c r="E1723" s="27"/>
      <c r="F1723" s="27"/>
      <c r="G1723" s="27"/>
      <c r="H1723" s="27"/>
      <c r="I1723" s="27"/>
      <c r="J1723" s="27"/>
      <c r="K1723" s="27"/>
      <c r="L1723" s="27"/>
      <c r="M1723" s="27"/>
      <c r="N1723" s="24"/>
      <c r="O1723" s="24"/>
      <c r="P1723" s="24"/>
      <c r="Q1723" s="24"/>
      <c r="R1723" s="24"/>
      <c r="S1723" s="24"/>
      <c r="T1723" s="24"/>
      <c r="U1723" s="27"/>
      <c r="V1723" s="27"/>
      <c r="W1723" s="24"/>
      <c r="X1723" s="24"/>
    </row>
    <row r="1724" spans="1:24" ht="14.25" customHeight="1" x14ac:dyDescent="0.25">
      <c r="A1724" s="27"/>
      <c r="B1724" s="27"/>
      <c r="C1724" s="24"/>
      <c r="D1724" s="24"/>
      <c r="E1724" s="27"/>
      <c r="F1724" s="27"/>
      <c r="G1724" s="27"/>
      <c r="H1724" s="27"/>
      <c r="I1724" s="27"/>
      <c r="J1724" s="27"/>
      <c r="K1724" s="27"/>
      <c r="L1724" s="27"/>
      <c r="M1724" s="27"/>
      <c r="N1724" s="24"/>
      <c r="O1724" s="24"/>
      <c r="P1724" s="24"/>
      <c r="Q1724" s="24"/>
      <c r="R1724" s="24"/>
      <c r="S1724" s="24"/>
      <c r="T1724" s="24"/>
      <c r="U1724" s="27"/>
      <c r="V1724" s="27"/>
      <c r="W1724" s="24"/>
      <c r="X1724" s="24"/>
    </row>
    <row r="1725" spans="1:24" ht="14.25" customHeight="1" x14ac:dyDescent="0.25">
      <c r="A1725" s="27"/>
      <c r="B1725" s="27"/>
      <c r="C1725" s="24"/>
      <c r="D1725" s="24"/>
      <c r="E1725" s="27"/>
      <c r="F1725" s="27"/>
      <c r="G1725" s="27"/>
      <c r="H1725" s="27"/>
      <c r="I1725" s="27"/>
      <c r="J1725" s="27"/>
      <c r="K1725" s="27"/>
      <c r="L1725" s="27"/>
      <c r="M1725" s="27"/>
      <c r="N1725" s="24"/>
      <c r="O1725" s="24"/>
      <c r="P1725" s="24"/>
      <c r="Q1725" s="24"/>
      <c r="R1725" s="24"/>
      <c r="S1725" s="24"/>
      <c r="T1725" s="24"/>
      <c r="U1725" s="27"/>
      <c r="V1725" s="27"/>
      <c r="W1725" s="24"/>
      <c r="X1725" s="24"/>
    </row>
    <row r="1726" spans="1:24" ht="14.25" customHeight="1" x14ac:dyDescent="0.25">
      <c r="A1726" s="27"/>
      <c r="B1726" s="27"/>
      <c r="C1726" s="24"/>
      <c r="D1726" s="24"/>
      <c r="E1726" s="27"/>
      <c r="F1726" s="27"/>
      <c r="G1726" s="27"/>
      <c r="H1726" s="27"/>
      <c r="I1726" s="27"/>
      <c r="J1726" s="27"/>
      <c r="K1726" s="27"/>
      <c r="L1726" s="27"/>
      <c r="M1726" s="27"/>
      <c r="N1726" s="24"/>
      <c r="O1726" s="24"/>
      <c r="P1726" s="24"/>
      <c r="Q1726" s="24"/>
      <c r="R1726" s="24"/>
      <c r="S1726" s="24"/>
      <c r="T1726" s="24"/>
      <c r="U1726" s="27"/>
      <c r="V1726" s="27"/>
      <c r="W1726" s="24"/>
      <c r="X1726" s="24"/>
    </row>
    <row r="1727" spans="1:24" ht="14.25" customHeight="1" x14ac:dyDescent="0.25">
      <c r="A1727" s="27"/>
      <c r="B1727" s="27"/>
      <c r="C1727" s="24"/>
      <c r="D1727" s="24"/>
      <c r="E1727" s="27"/>
      <c r="F1727" s="27"/>
      <c r="G1727" s="27"/>
      <c r="H1727" s="27"/>
      <c r="I1727" s="27"/>
      <c r="J1727" s="27"/>
      <c r="K1727" s="27"/>
      <c r="L1727" s="27"/>
      <c r="M1727" s="27"/>
      <c r="N1727" s="24"/>
      <c r="O1727" s="24"/>
      <c r="P1727" s="24"/>
      <c r="Q1727" s="24"/>
      <c r="R1727" s="24"/>
      <c r="S1727" s="24"/>
      <c r="T1727" s="24"/>
      <c r="U1727" s="27"/>
      <c r="V1727" s="27"/>
      <c r="W1727" s="24"/>
      <c r="X1727" s="24"/>
    </row>
    <row r="1728" spans="1:24" ht="14.25" customHeight="1" x14ac:dyDescent="0.25">
      <c r="A1728" s="27"/>
      <c r="B1728" s="27"/>
      <c r="C1728" s="24"/>
      <c r="D1728" s="24"/>
      <c r="E1728" s="27"/>
      <c r="F1728" s="27"/>
      <c r="G1728" s="27"/>
      <c r="H1728" s="27"/>
      <c r="I1728" s="27"/>
      <c r="J1728" s="27"/>
      <c r="K1728" s="27"/>
      <c r="L1728" s="27"/>
      <c r="M1728" s="27"/>
      <c r="N1728" s="24"/>
      <c r="O1728" s="24"/>
      <c r="P1728" s="24"/>
      <c r="Q1728" s="24"/>
      <c r="R1728" s="24"/>
      <c r="S1728" s="24"/>
      <c r="T1728" s="24"/>
      <c r="U1728" s="27"/>
      <c r="V1728" s="27"/>
      <c r="W1728" s="24"/>
      <c r="X1728" s="24"/>
    </row>
    <row r="1729" spans="1:24" ht="14.25" customHeight="1" x14ac:dyDescent="0.25">
      <c r="A1729" s="27"/>
      <c r="B1729" s="27"/>
      <c r="C1729" s="24"/>
      <c r="D1729" s="24"/>
      <c r="E1729" s="27"/>
      <c r="F1729" s="27"/>
      <c r="G1729" s="27"/>
      <c r="H1729" s="27"/>
      <c r="I1729" s="27"/>
      <c r="J1729" s="27"/>
      <c r="K1729" s="27"/>
      <c r="L1729" s="27"/>
      <c r="M1729" s="27"/>
      <c r="N1729" s="24"/>
      <c r="O1729" s="24"/>
      <c r="P1729" s="24"/>
      <c r="Q1729" s="24"/>
      <c r="R1729" s="24"/>
      <c r="S1729" s="24"/>
      <c r="T1729" s="24"/>
      <c r="U1729" s="27"/>
      <c r="V1729" s="27"/>
      <c r="W1729" s="24"/>
      <c r="X1729" s="24"/>
    </row>
    <row r="1730" spans="1:24" ht="14.25" customHeight="1" x14ac:dyDescent="0.25">
      <c r="A1730" s="27"/>
      <c r="B1730" s="27"/>
      <c r="C1730" s="24"/>
      <c r="D1730" s="24"/>
      <c r="E1730" s="27"/>
      <c r="F1730" s="27"/>
      <c r="G1730" s="27"/>
      <c r="H1730" s="27"/>
      <c r="I1730" s="27"/>
      <c r="J1730" s="27"/>
      <c r="K1730" s="27"/>
      <c r="L1730" s="27"/>
      <c r="M1730" s="27"/>
      <c r="N1730" s="24"/>
      <c r="O1730" s="24"/>
      <c r="P1730" s="24"/>
      <c r="Q1730" s="24"/>
      <c r="R1730" s="24"/>
      <c r="S1730" s="24"/>
      <c r="T1730" s="24"/>
      <c r="U1730" s="27"/>
      <c r="V1730" s="27"/>
      <c r="W1730" s="24"/>
      <c r="X1730" s="24"/>
    </row>
    <row r="1731" spans="1:24" ht="14.25" customHeight="1" x14ac:dyDescent="0.25">
      <c r="A1731" s="27"/>
      <c r="B1731" s="27"/>
      <c r="C1731" s="24"/>
      <c r="D1731" s="24"/>
      <c r="E1731" s="27"/>
      <c r="F1731" s="27"/>
      <c r="G1731" s="27"/>
      <c r="H1731" s="27"/>
      <c r="I1731" s="27"/>
      <c r="J1731" s="27"/>
      <c r="K1731" s="27"/>
      <c r="L1731" s="27"/>
      <c r="M1731" s="27"/>
      <c r="N1731" s="24"/>
      <c r="O1731" s="24"/>
      <c r="P1731" s="24"/>
      <c r="Q1731" s="24"/>
      <c r="R1731" s="24"/>
      <c r="S1731" s="24"/>
      <c r="T1731" s="24"/>
      <c r="U1731" s="27"/>
      <c r="V1731" s="27"/>
      <c r="W1731" s="24"/>
      <c r="X1731" s="24"/>
    </row>
    <row r="1732" spans="1:24" ht="14.25" customHeight="1" x14ac:dyDescent="0.25">
      <c r="A1732" s="27"/>
      <c r="B1732" s="27"/>
      <c r="C1732" s="24"/>
      <c r="D1732" s="24"/>
      <c r="E1732" s="27"/>
      <c r="F1732" s="27"/>
      <c r="G1732" s="27"/>
      <c r="H1732" s="27"/>
      <c r="I1732" s="27"/>
      <c r="J1732" s="27"/>
      <c r="K1732" s="27"/>
      <c r="L1732" s="27"/>
      <c r="M1732" s="27"/>
      <c r="N1732" s="24"/>
      <c r="O1732" s="24"/>
      <c r="P1732" s="24"/>
      <c r="Q1732" s="24"/>
      <c r="R1732" s="24"/>
      <c r="S1732" s="24"/>
      <c r="T1732" s="24"/>
      <c r="U1732" s="27"/>
      <c r="V1732" s="27"/>
      <c r="W1732" s="24"/>
      <c r="X1732" s="24"/>
    </row>
    <row r="1733" spans="1:24" ht="14.25" customHeight="1" x14ac:dyDescent="0.25">
      <c r="A1733" s="27"/>
      <c r="B1733" s="27"/>
      <c r="C1733" s="24"/>
      <c r="D1733" s="24"/>
      <c r="E1733" s="27"/>
      <c r="F1733" s="27"/>
      <c r="G1733" s="27"/>
      <c r="H1733" s="27"/>
      <c r="I1733" s="27"/>
      <c r="J1733" s="27"/>
      <c r="K1733" s="27"/>
      <c r="L1733" s="27"/>
      <c r="M1733" s="27"/>
      <c r="N1733" s="24"/>
      <c r="O1733" s="24"/>
      <c r="P1733" s="24"/>
      <c r="Q1733" s="24"/>
      <c r="R1733" s="24"/>
      <c r="S1733" s="24"/>
      <c r="T1733" s="24"/>
      <c r="U1733" s="27"/>
      <c r="V1733" s="27"/>
      <c r="W1733" s="24"/>
      <c r="X1733" s="24"/>
    </row>
    <row r="1734" spans="1:24" ht="14.25" customHeight="1" x14ac:dyDescent="0.25">
      <c r="A1734" s="27"/>
      <c r="B1734" s="27"/>
      <c r="C1734" s="24"/>
      <c r="D1734" s="24"/>
      <c r="E1734" s="27"/>
      <c r="F1734" s="27"/>
      <c r="G1734" s="27"/>
      <c r="H1734" s="27"/>
      <c r="I1734" s="27"/>
      <c r="J1734" s="27"/>
      <c r="K1734" s="27"/>
      <c r="L1734" s="27"/>
      <c r="M1734" s="27"/>
      <c r="N1734" s="24"/>
      <c r="O1734" s="24"/>
      <c r="P1734" s="24"/>
      <c r="Q1734" s="24"/>
      <c r="R1734" s="24"/>
      <c r="S1734" s="24"/>
      <c r="T1734" s="24"/>
      <c r="U1734" s="27"/>
      <c r="V1734" s="27"/>
      <c r="W1734" s="24"/>
      <c r="X1734" s="24"/>
    </row>
    <row r="1735" spans="1:24" ht="14.25" customHeight="1" x14ac:dyDescent="0.25">
      <c r="A1735" s="27"/>
      <c r="B1735" s="27"/>
      <c r="C1735" s="24"/>
      <c r="D1735" s="24"/>
      <c r="E1735" s="27"/>
      <c r="F1735" s="27"/>
      <c r="G1735" s="27"/>
      <c r="H1735" s="27"/>
      <c r="I1735" s="27"/>
      <c r="J1735" s="27"/>
      <c r="K1735" s="27"/>
      <c r="L1735" s="27"/>
      <c r="M1735" s="27"/>
      <c r="N1735" s="24"/>
      <c r="O1735" s="24"/>
      <c r="P1735" s="24"/>
      <c r="Q1735" s="24"/>
      <c r="R1735" s="24"/>
      <c r="S1735" s="24"/>
      <c r="T1735" s="24"/>
      <c r="U1735" s="27"/>
      <c r="V1735" s="27"/>
      <c r="W1735" s="24"/>
      <c r="X1735" s="24"/>
    </row>
    <row r="1736" spans="1:24" ht="14.25" customHeight="1" x14ac:dyDescent="0.25">
      <c r="A1736" s="27"/>
      <c r="B1736" s="27"/>
      <c r="C1736" s="24"/>
      <c r="D1736" s="24"/>
      <c r="E1736" s="27"/>
      <c r="F1736" s="27"/>
      <c r="G1736" s="27"/>
      <c r="H1736" s="27"/>
      <c r="I1736" s="27"/>
      <c r="J1736" s="27"/>
      <c r="K1736" s="27"/>
      <c r="L1736" s="27"/>
      <c r="M1736" s="27"/>
      <c r="N1736" s="24"/>
      <c r="O1736" s="24"/>
      <c r="P1736" s="24"/>
      <c r="Q1736" s="24"/>
      <c r="R1736" s="24"/>
      <c r="S1736" s="24"/>
      <c r="T1736" s="24"/>
      <c r="U1736" s="27"/>
      <c r="V1736" s="27"/>
      <c r="W1736" s="24"/>
      <c r="X1736" s="24"/>
    </row>
    <row r="1737" spans="1:24" ht="14.25" customHeight="1" x14ac:dyDescent="0.25">
      <c r="A1737" s="27"/>
      <c r="B1737" s="27"/>
      <c r="C1737" s="24"/>
      <c r="D1737" s="24"/>
      <c r="E1737" s="27"/>
      <c r="F1737" s="27"/>
      <c r="G1737" s="27"/>
      <c r="H1737" s="27"/>
      <c r="I1737" s="27"/>
      <c r="J1737" s="27"/>
      <c r="K1737" s="27"/>
      <c r="L1737" s="27"/>
      <c r="M1737" s="27"/>
      <c r="N1737" s="24"/>
      <c r="O1737" s="24"/>
      <c r="P1737" s="24"/>
      <c r="Q1737" s="24"/>
      <c r="R1737" s="24"/>
      <c r="S1737" s="24"/>
      <c r="T1737" s="24"/>
      <c r="U1737" s="27"/>
      <c r="V1737" s="27"/>
      <c r="W1737" s="24"/>
      <c r="X1737" s="24"/>
    </row>
    <row r="1738" spans="1:24" ht="14.25" customHeight="1" x14ac:dyDescent="0.25">
      <c r="A1738" s="27"/>
      <c r="B1738" s="27"/>
      <c r="C1738" s="24"/>
      <c r="D1738" s="24"/>
      <c r="E1738" s="27"/>
      <c r="F1738" s="27"/>
      <c r="G1738" s="27"/>
      <c r="H1738" s="27"/>
      <c r="I1738" s="27"/>
      <c r="J1738" s="27"/>
      <c r="K1738" s="27"/>
      <c r="L1738" s="27"/>
      <c r="M1738" s="27"/>
      <c r="N1738" s="24"/>
      <c r="O1738" s="24"/>
      <c r="P1738" s="24"/>
      <c r="Q1738" s="24"/>
      <c r="R1738" s="24"/>
      <c r="S1738" s="24"/>
      <c r="T1738" s="24"/>
      <c r="U1738" s="27"/>
      <c r="V1738" s="27"/>
      <c r="W1738" s="24"/>
      <c r="X1738" s="24"/>
    </row>
    <row r="1739" spans="1:24" ht="14.25" customHeight="1" x14ac:dyDescent="0.25">
      <c r="A1739" s="27"/>
      <c r="B1739" s="27"/>
      <c r="C1739" s="24"/>
      <c r="D1739" s="24"/>
      <c r="E1739" s="27"/>
      <c r="F1739" s="27"/>
      <c r="G1739" s="27"/>
      <c r="H1739" s="27"/>
      <c r="I1739" s="27"/>
      <c r="J1739" s="27"/>
      <c r="K1739" s="27"/>
      <c r="L1739" s="27"/>
      <c r="M1739" s="27"/>
      <c r="N1739" s="24"/>
      <c r="O1739" s="24"/>
      <c r="P1739" s="24"/>
      <c r="Q1739" s="24"/>
      <c r="R1739" s="24"/>
      <c r="S1739" s="24"/>
      <c r="T1739" s="24"/>
      <c r="U1739" s="27"/>
      <c r="V1739" s="27"/>
      <c r="W1739" s="24"/>
      <c r="X1739" s="24"/>
    </row>
    <row r="1740" spans="1:24" ht="14.25" customHeight="1" x14ac:dyDescent="0.25">
      <c r="A1740" s="27"/>
      <c r="B1740" s="27"/>
      <c r="C1740" s="24"/>
      <c r="D1740" s="24"/>
      <c r="E1740" s="27"/>
      <c r="F1740" s="27"/>
      <c r="G1740" s="27"/>
      <c r="H1740" s="27"/>
      <c r="I1740" s="27"/>
      <c r="J1740" s="27"/>
      <c r="K1740" s="27"/>
      <c r="L1740" s="27"/>
      <c r="M1740" s="27"/>
      <c r="N1740" s="24"/>
      <c r="O1740" s="24"/>
      <c r="P1740" s="24"/>
      <c r="Q1740" s="24"/>
      <c r="R1740" s="24"/>
      <c r="S1740" s="24"/>
      <c r="T1740" s="24"/>
      <c r="U1740" s="27"/>
      <c r="V1740" s="27"/>
      <c r="W1740" s="24"/>
      <c r="X1740" s="24"/>
    </row>
    <row r="1741" spans="1:24" ht="14.25" customHeight="1" x14ac:dyDescent="0.25">
      <c r="A1741" s="27"/>
      <c r="B1741" s="27"/>
      <c r="C1741" s="24"/>
      <c r="D1741" s="24"/>
      <c r="E1741" s="27"/>
      <c r="F1741" s="27"/>
      <c r="G1741" s="27"/>
      <c r="H1741" s="27"/>
      <c r="I1741" s="27"/>
      <c r="J1741" s="27"/>
      <c r="K1741" s="27"/>
      <c r="L1741" s="27"/>
      <c r="M1741" s="27"/>
      <c r="N1741" s="24"/>
      <c r="O1741" s="24"/>
      <c r="P1741" s="24"/>
      <c r="Q1741" s="24"/>
      <c r="R1741" s="24"/>
      <c r="S1741" s="24"/>
      <c r="T1741" s="24"/>
      <c r="U1741" s="27"/>
      <c r="V1741" s="27"/>
      <c r="W1741" s="24"/>
      <c r="X1741" s="24"/>
    </row>
    <row r="1742" spans="1:24" ht="14.25" customHeight="1" x14ac:dyDescent="0.25">
      <c r="A1742" s="27"/>
      <c r="B1742" s="27"/>
      <c r="C1742" s="24"/>
      <c r="D1742" s="24"/>
      <c r="E1742" s="27"/>
      <c r="F1742" s="27"/>
      <c r="G1742" s="27"/>
      <c r="H1742" s="27"/>
      <c r="I1742" s="27"/>
      <c r="J1742" s="27"/>
      <c r="K1742" s="27"/>
      <c r="L1742" s="27"/>
      <c r="M1742" s="27"/>
      <c r="N1742" s="24"/>
      <c r="O1742" s="24"/>
      <c r="P1742" s="24"/>
      <c r="Q1742" s="24"/>
      <c r="R1742" s="24"/>
      <c r="S1742" s="24"/>
      <c r="T1742" s="24"/>
      <c r="U1742" s="27"/>
      <c r="V1742" s="27"/>
      <c r="W1742" s="24"/>
      <c r="X1742" s="24"/>
    </row>
    <row r="1743" spans="1:24" ht="14.25" customHeight="1" x14ac:dyDescent="0.25">
      <c r="A1743" s="27"/>
      <c r="B1743" s="27"/>
      <c r="C1743" s="24"/>
      <c r="D1743" s="24"/>
      <c r="E1743" s="27"/>
      <c r="F1743" s="27"/>
      <c r="G1743" s="27"/>
      <c r="H1743" s="27"/>
      <c r="I1743" s="27"/>
      <c r="J1743" s="27"/>
      <c r="K1743" s="27"/>
      <c r="L1743" s="27"/>
      <c r="M1743" s="27"/>
      <c r="N1743" s="24"/>
      <c r="O1743" s="24"/>
      <c r="P1743" s="24"/>
      <c r="Q1743" s="24"/>
      <c r="R1743" s="24"/>
      <c r="S1743" s="24"/>
      <c r="T1743" s="24"/>
      <c r="U1743" s="27"/>
      <c r="V1743" s="27"/>
      <c r="W1743" s="24"/>
      <c r="X1743" s="24"/>
    </row>
    <row r="1744" spans="1:24" ht="14.25" customHeight="1" x14ac:dyDescent="0.25">
      <c r="A1744" s="27"/>
      <c r="B1744" s="27"/>
      <c r="C1744" s="24"/>
      <c r="D1744" s="24"/>
      <c r="E1744" s="27"/>
      <c r="F1744" s="27"/>
      <c r="G1744" s="27"/>
      <c r="H1744" s="27"/>
      <c r="I1744" s="27"/>
      <c r="J1744" s="27"/>
      <c r="K1744" s="27"/>
      <c r="L1744" s="27"/>
      <c r="M1744" s="27"/>
      <c r="N1744" s="24"/>
      <c r="O1744" s="24"/>
      <c r="P1744" s="24"/>
      <c r="Q1744" s="24"/>
      <c r="R1744" s="24"/>
      <c r="S1744" s="24"/>
      <c r="T1744" s="24"/>
      <c r="U1744" s="27"/>
      <c r="V1744" s="27"/>
      <c r="W1744" s="24"/>
      <c r="X1744" s="24"/>
    </row>
    <row r="1745" spans="1:24" ht="14.25" customHeight="1" x14ac:dyDescent="0.25">
      <c r="A1745" s="27"/>
      <c r="B1745" s="27"/>
      <c r="C1745" s="24"/>
      <c r="D1745" s="24"/>
      <c r="E1745" s="27"/>
      <c r="F1745" s="27"/>
      <c r="G1745" s="27"/>
      <c r="H1745" s="27"/>
      <c r="I1745" s="27"/>
      <c r="J1745" s="27"/>
      <c r="K1745" s="27"/>
      <c r="L1745" s="27"/>
      <c r="M1745" s="27"/>
      <c r="N1745" s="24"/>
      <c r="O1745" s="24"/>
      <c r="P1745" s="24"/>
      <c r="Q1745" s="24"/>
      <c r="R1745" s="24"/>
      <c r="S1745" s="24"/>
      <c r="T1745" s="24"/>
      <c r="U1745" s="27"/>
      <c r="V1745" s="27"/>
      <c r="W1745" s="24"/>
      <c r="X1745" s="24"/>
    </row>
    <row r="1746" spans="1:24" ht="14.25" customHeight="1" x14ac:dyDescent="0.25">
      <c r="A1746" s="27"/>
      <c r="B1746" s="27"/>
      <c r="C1746" s="24"/>
      <c r="D1746" s="24"/>
      <c r="E1746" s="27"/>
      <c r="F1746" s="27"/>
      <c r="G1746" s="27"/>
      <c r="H1746" s="27"/>
      <c r="I1746" s="27"/>
      <c r="J1746" s="27"/>
      <c r="K1746" s="27"/>
      <c r="L1746" s="27"/>
      <c r="M1746" s="27"/>
      <c r="N1746" s="24"/>
      <c r="O1746" s="24"/>
      <c r="P1746" s="24"/>
      <c r="Q1746" s="24"/>
      <c r="R1746" s="24"/>
      <c r="S1746" s="24"/>
      <c r="T1746" s="24"/>
      <c r="U1746" s="27"/>
      <c r="V1746" s="27"/>
      <c r="W1746" s="24"/>
      <c r="X1746" s="24"/>
    </row>
    <row r="1747" spans="1:24" ht="14.25" customHeight="1" x14ac:dyDescent="0.25">
      <c r="A1747" s="27"/>
      <c r="B1747" s="27"/>
      <c r="C1747" s="24"/>
      <c r="D1747" s="24"/>
      <c r="E1747" s="27"/>
      <c r="F1747" s="27"/>
      <c r="G1747" s="27"/>
      <c r="H1747" s="27"/>
      <c r="I1747" s="27"/>
      <c r="J1747" s="27"/>
      <c r="K1747" s="27"/>
      <c r="L1747" s="27"/>
      <c r="M1747" s="27"/>
      <c r="N1747" s="24"/>
      <c r="O1747" s="24"/>
      <c r="P1747" s="24"/>
      <c r="Q1747" s="24"/>
      <c r="R1747" s="24"/>
      <c r="S1747" s="24"/>
      <c r="T1747" s="24"/>
      <c r="U1747" s="27"/>
      <c r="V1747" s="27"/>
      <c r="W1747" s="24"/>
      <c r="X1747" s="24"/>
    </row>
    <row r="1748" spans="1:24" ht="14.25" customHeight="1" x14ac:dyDescent="0.25">
      <c r="A1748" s="27"/>
      <c r="B1748" s="27"/>
      <c r="C1748" s="24"/>
      <c r="D1748" s="24"/>
      <c r="E1748" s="27"/>
      <c r="F1748" s="27"/>
      <c r="G1748" s="27"/>
      <c r="H1748" s="27"/>
      <c r="I1748" s="27"/>
      <c r="J1748" s="27"/>
      <c r="K1748" s="27"/>
      <c r="L1748" s="27"/>
      <c r="M1748" s="27"/>
      <c r="N1748" s="24"/>
      <c r="O1748" s="24"/>
      <c r="P1748" s="24"/>
      <c r="Q1748" s="24"/>
      <c r="R1748" s="24"/>
      <c r="S1748" s="24"/>
      <c r="T1748" s="24"/>
      <c r="U1748" s="27"/>
      <c r="V1748" s="27"/>
      <c r="W1748" s="24"/>
      <c r="X1748" s="24"/>
    </row>
    <row r="1749" spans="1:24" ht="14.25" customHeight="1" x14ac:dyDescent="0.25">
      <c r="A1749" s="27"/>
      <c r="B1749" s="27"/>
      <c r="C1749" s="24"/>
      <c r="D1749" s="24"/>
      <c r="E1749" s="27"/>
      <c r="F1749" s="27"/>
      <c r="G1749" s="27"/>
      <c r="H1749" s="27"/>
      <c r="I1749" s="27"/>
      <c r="J1749" s="27"/>
      <c r="K1749" s="27"/>
      <c r="L1749" s="27"/>
      <c r="M1749" s="27"/>
      <c r="N1749" s="24"/>
      <c r="O1749" s="24"/>
      <c r="P1749" s="24"/>
      <c r="Q1749" s="24"/>
      <c r="R1749" s="24"/>
      <c r="S1749" s="24"/>
      <c r="T1749" s="24"/>
      <c r="U1749" s="27"/>
      <c r="V1749" s="27"/>
      <c r="W1749" s="24"/>
      <c r="X1749" s="24"/>
    </row>
    <row r="1750" spans="1:24" ht="14.25" customHeight="1" x14ac:dyDescent="0.25">
      <c r="A1750" s="27"/>
      <c r="B1750" s="27"/>
      <c r="C1750" s="24"/>
      <c r="D1750" s="24"/>
      <c r="E1750" s="27"/>
      <c r="F1750" s="27"/>
      <c r="G1750" s="27"/>
      <c r="H1750" s="27"/>
      <c r="I1750" s="27"/>
      <c r="J1750" s="27"/>
      <c r="K1750" s="27"/>
      <c r="L1750" s="27"/>
      <c r="M1750" s="27"/>
      <c r="N1750" s="24"/>
      <c r="O1750" s="24"/>
      <c r="P1750" s="24"/>
      <c r="Q1750" s="24"/>
      <c r="R1750" s="24"/>
      <c r="S1750" s="24"/>
      <c r="T1750" s="24"/>
      <c r="U1750" s="27"/>
      <c r="V1750" s="27"/>
      <c r="W1750" s="24"/>
      <c r="X1750" s="24"/>
    </row>
    <row r="1751" spans="1:24" ht="14.25" customHeight="1" x14ac:dyDescent="0.25">
      <c r="A1751" s="27"/>
      <c r="B1751" s="27"/>
      <c r="C1751" s="24"/>
      <c r="D1751" s="24"/>
      <c r="E1751" s="27"/>
      <c r="F1751" s="27"/>
      <c r="G1751" s="27"/>
      <c r="H1751" s="27"/>
      <c r="I1751" s="27"/>
      <c r="J1751" s="27"/>
      <c r="K1751" s="27"/>
      <c r="L1751" s="27"/>
      <c r="M1751" s="27"/>
      <c r="N1751" s="24"/>
      <c r="O1751" s="24"/>
      <c r="P1751" s="24"/>
      <c r="Q1751" s="24"/>
      <c r="R1751" s="24"/>
      <c r="S1751" s="24"/>
      <c r="T1751" s="24"/>
      <c r="U1751" s="27"/>
      <c r="V1751" s="27"/>
      <c r="W1751" s="24"/>
      <c r="X1751" s="24"/>
    </row>
    <row r="1752" spans="1:24" ht="14.25" customHeight="1" x14ac:dyDescent="0.25">
      <c r="A1752" s="27"/>
      <c r="B1752" s="27"/>
      <c r="C1752" s="24"/>
      <c r="D1752" s="24"/>
      <c r="E1752" s="27"/>
      <c r="F1752" s="27"/>
      <c r="G1752" s="27"/>
      <c r="H1752" s="27"/>
      <c r="I1752" s="27"/>
      <c r="J1752" s="27"/>
      <c r="K1752" s="27"/>
      <c r="L1752" s="27"/>
      <c r="M1752" s="27"/>
      <c r="N1752" s="24"/>
      <c r="O1752" s="24"/>
      <c r="P1752" s="24"/>
      <c r="Q1752" s="24"/>
      <c r="R1752" s="24"/>
      <c r="S1752" s="24"/>
      <c r="T1752" s="24"/>
      <c r="U1752" s="27"/>
      <c r="V1752" s="27"/>
      <c r="W1752" s="24"/>
      <c r="X1752" s="24"/>
    </row>
    <row r="1753" spans="1:24" ht="14.25" customHeight="1" x14ac:dyDescent="0.25">
      <c r="A1753" s="27"/>
      <c r="B1753" s="27"/>
      <c r="C1753" s="24"/>
      <c r="D1753" s="24"/>
      <c r="E1753" s="27"/>
      <c r="F1753" s="27"/>
      <c r="G1753" s="27"/>
      <c r="H1753" s="27"/>
      <c r="I1753" s="27"/>
      <c r="J1753" s="27"/>
      <c r="K1753" s="27"/>
      <c r="L1753" s="27"/>
      <c r="M1753" s="27"/>
      <c r="N1753" s="24"/>
      <c r="O1753" s="24"/>
      <c r="P1753" s="24"/>
      <c r="Q1753" s="24"/>
      <c r="R1753" s="24"/>
      <c r="S1753" s="24"/>
      <c r="T1753" s="24"/>
      <c r="U1753" s="27"/>
      <c r="V1753" s="27"/>
      <c r="W1753" s="24"/>
      <c r="X1753" s="24"/>
    </row>
    <row r="1754" spans="1:24" ht="14.25" customHeight="1" x14ac:dyDescent="0.25">
      <c r="A1754" s="27"/>
      <c r="B1754" s="27"/>
      <c r="C1754" s="24"/>
      <c r="D1754" s="24"/>
      <c r="E1754" s="27"/>
      <c r="F1754" s="27"/>
      <c r="G1754" s="27"/>
      <c r="H1754" s="27"/>
      <c r="I1754" s="27"/>
      <c r="J1754" s="27"/>
      <c r="K1754" s="27"/>
      <c r="L1754" s="27"/>
      <c r="M1754" s="27"/>
      <c r="N1754" s="24"/>
      <c r="O1754" s="24"/>
      <c r="P1754" s="24"/>
      <c r="Q1754" s="24"/>
      <c r="R1754" s="24"/>
      <c r="S1754" s="24"/>
      <c r="T1754" s="24"/>
      <c r="U1754" s="27"/>
      <c r="V1754" s="27"/>
      <c r="W1754" s="24"/>
      <c r="X1754" s="24"/>
    </row>
    <row r="1755" spans="1:24" ht="14.25" customHeight="1" x14ac:dyDescent="0.25">
      <c r="A1755" s="27"/>
      <c r="B1755" s="27"/>
      <c r="C1755" s="24"/>
      <c r="D1755" s="24"/>
      <c r="E1755" s="27"/>
      <c r="F1755" s="27"/>
      <c r="G1755" s="27"/>
      <c r="H1755" s="27"/>
      <c r="I1755" s="27"/>
      <c r="J1755" s="27"/>
      <c r="K1755" s="27"/>
      <c r="L1755" s="27"/>
      <c r="M1755" s="27"/>
      <c r="N1755" s="24"/>
      <c r="O1755" s="24"/>
      <c r="P1755" s="24"/>
      <c r="Q1755" s="24"/>
      <c r="R1755" s="24"/>
      <c r="S1755" s="24"/>
      <c r="T1755" s="24"/>
      <c r="U1755" s="27"/>
      <c r="V1755" s="27"/>
      <c r="W1755" s="24"/>
      <c r="X1755" s="24"/>
    </row>
    <row r="1756" spans="1:24" ht="14.25" customHeight="1" x14ac:dyDescent="0.25">
      <c r="A1756" s="27"/>
      <c r="B1756" s="27"/>
      <c r="C1756" s="24"/>
      <c r="D1756" s="24"/>
      <c r="E1756" s="27"/>
      <c r="F1756" s="27"/>
      <c r="G1756" s="27"/>
      <c r="H1756" s="27"/>
      <c r="I1756" s="27"/>
      <c r="J1756" s="27"/>
      <c r="K1756" s="27"/>
      <c r="L1756" s="27"/>
      <c r="M1756" s="27"/>
      <c r="N1756" s="24"/>
      <c r="O1756" s="24"/>
      <c r="P1756" s="24"/>
      <c r="Q1756" s="24"/>
      <c r="R1756" s="24"/>
      <c r="S1756" s="24"/>
      <c r="T1756" s="24"/>
      <c r="U1756" s="27"/>
      <c r="V1756" s="27"/>
      <c r="W1756" s="24"/>
      <c r="X1756" s="24"/>
    </row>
    <row r="1757" spans="1:24" ht="14.25" customHeight="1" x14ac:dyDescent="0.25">
      <c r="A1757" s="27"/>
      <c r="B1757" s="27"/>
      <c r="C1757" s="24"/>
      <c r="D1757" s="24"/>
      <c r="E1757" s="27"/>
      <c r="F1757" s="27"/>
      <c r="G1757" s="27"/>
      <c r="H1757" s="27"/>
      <c r="I1757" s="27"/>
      <c r="J1757" s="27"/>
      <c r="K1757" s="27"/>
      <c r="L1757" s="27"/>
      <c r="M1757" s="27"/>
      <c r="N1757" s="24"/>
      <c r="O1757" s="24"/>
      <c r="P1757" s="24"/>
      <c r="Q1757" s="24"/>
      <c r="R1757" s="24"/>
      <c r="S1757" s="24"/>
      <c r="T1757" s="24"/>
      <c r="U1757" s="27"/>
      <c r="V1757" s="27"/>
      <c r="W1757" s="24"/>
      <c r="X1757" s="24"/>
    </row>
    <row r="1758" spans="1:24" ht="14.25" customHeight="1" x14ac:dyDescent="0.25">
      <c r="A1758" s="27"/>
      <c r="B1758" s="27"/>
      <c r="C1758" s="24"/>
      <c r="D1758" s="24"/>
      <c r="E1758" s="27"/>
      <c r="F1758" s="27"/>
      <c r="G1758" s="27"/>
      <c r="H1758" s="27"/>
      <c r="I1758" s="27"/>
      <c r="J1758" s="27"/>
      <c r="K1758" s="27"/>
      <c r="L1758" s="27"/>
      <c r="M1758" s="27"/>
      <c r="N1758" s="24"/>
      <c r="O1758" s="24"/>
      <c r="P1758" s="24"/>
      <c r="Q1758" s="24"/>
      <c r="R1758" s="24"/>
      <c r="S1758" s="24"/>
      <c r="T1758" s="24"/>
      <c r="U1758" s="27"/>
      <c r="V1758" s="27"/>
      <c r="W1758" s="24"/>
      <c r="X1758" s="24"/>
    </row>
    <row r="1759" spans="1:24" ht="14.25" customHeight="1" x14ac:dyDescent="0.25">
      <c r="A1759" s="27"/>
      <c r="B1759" s="27"/>
      <c r="C1759" s="24"/>
      <c r="D1759" s="24"/>
      <c r="E1759" s="27"/>
      <c r="F1759" s="27"/>
      <c r="G1759" s="27"/>
      <c r="H1759" s="27"/>
      <c r="I1759" s="27"/>
      <c r="J1759" s="27"/>
      <c r="K1759" s="27"/>
      <c r="L1759" s="27"/>
      <c r="M1759" s="27"/>
      <c r="N1759" s="24"/>
      <c r="O1759" s="24"/>
      <c r="P1759" s="24"/>
      <c r="Q1759" s="24"/>
      <c r="R1759" s="24"/>
      <c r="S1759" s="24"/>
      <c r="T1759" s="24"/>
      <c r="U1759" s="27"/>
      <c r="V1759" s="27"/>
      <c r="W1759" s="24"/>
      <c r="X1759" s="24"/>
    </row>
    <row r="1760" spans="1:24" ht="14.25" customHeight="1" x14ac:dyDescent="0.25">
      <c r="A1760" s="27"/>
      <c r="B1760" s="27"/>
      <c r="C1760" s="24"/>
      <c r="D1760" s="24"/>
      <c r="E1760" s="27"/>
      <c r="F1760" s="27"/>
      <c r="G1760" s="27"/>
      <c r="H1760" s="27"/>
      <c r="I1760" s="27"/>
      <c r="J1760" s="27"/>
      <c r="K1760" s="27"/>
      <c r="L1760" s="27"/>
      <c r="M1760" s="27"/>
      <c r="N1760" s="24"/>
      <c r="O1760" s="24"/>
      <c r="P1760" s="24"/>
      <c r="Q1760" s="24"/>
      <c r="R1760" s="24"/>
      <c r="S1760" s="24"/>
      <c r="T1760" s="24"/>
      <c r="U1760" s="27"/>
      <c r="V1760" s="27"/>
      <c r="W1760" s="24"/>
      <c r="X1760" s="24"/>
    </row>
    <row r="1761" spans="1:24" ht="14.25" customHeight="1" x14ac:dyDescent="0.25">
      <c r="A1761" s="27"/>
      <c r="B1761" s="27"/>
      <c r="C1761" s="24"/>
      <c r="D1761" s="24"/>
      <c r="E1761" s="27"/>
      <c r="F1761" s="27"/>
      <c r="G1761" s="27"/>
      <c r="H1761" s="27"/>
      <c r="I1761" s="27"/>
      <c r="J1761" s="27"/>
      <c r="K1761" s="27"/>
      <c r="L1761" s="27"/>
      <c r="M1761" s="27"/>
      <c r="N1761" s="24"/>
      <c r="O1761" s="24"/>
      <c r="P1761" s="24"/>
      <c r="Q1761" s="24"/>
      <c r="R1761" s="24"/>
      <c r="S1761" s="24"/>
      <c r="T1761" s="24"/>
      <c r="U1761" s="27"/>
      <c r="V1761" s="27"/>
      <c r="W1761" s="24"/>
      <c r="X1761" s="24"/>
    </row>
    <row r="1762" spans="1:24" ht="14.25" customHeight="1" x14ac:dyDescent="0.25">
      <c r="A1762" s="27"/>
      <c r="B1762" s="27"/>
      <c r="C1762" s="24"/>
      <c r="D1762" s="24"/>
      <c r="E1762" s="27"/>
      <c r="F1762" s="27"/>
      <c r="G1762" s="27"/>
      <c r="H1762" s="27"/>
      <c r="I1762" s="27"/>
      <c r="J1762" s="27"/>
      <c r="K1762" s="27"/>
      <c r="L1762" s="27"/>
      <c r="M1762" s="27"/>
      <c r="N1762" s="24"/>
      <c r="O1762" s="24"/>
      <c r="P1762" s="24"/>
      <c r="Q1762" s="24"/>
      <c r="R1762" s="24"/>
      <c r="S1762" s="24"/>
      <c r="T1762" s="24"/>
      <c r="U1762" s="27"/>
      <c r="V1762" s="27"/>
      <c r="W1762" s="24"/>
      <c r="X1762" s="24"/>
    </row>
    <row r="1763" spans="1:24" ht="14.25" customHeight="1" x14ac:dyDescent="0.25">
      <c r="A1763" s="27"/>
      <c r="B1763" s="27"/>
      <c r="C1763" s="24"/>
      <c r="D1763" s="24"/>
      <c r="E1763" s="27"/>
      <c r="F1763" s="27"/>
      <c r="G1763" s="27"/>
      <c r="H1763" s="27"/>
      <c r="I1763" s="27"/>
      <c r="J1763" s="27"/>
      <c r="K1763" s="27"/>
      <c r="L1763" s="27"/>
      <c r="M1763" s="27"/>
      <c r="N1763" s="24"/>
      <c r="O1763" s="24"/>
      <c r="P1763" s="24"/>
      <c r="Q1763" s="24"/>
      <c r="R1763" s="24"/>
      <c r="S1763" s="24"/>
      <c r="T1763" s="24"/>
      <c r="U1763" s="27"/>
      <c r="V1763" s="27"/>
      <c r="W1763" s="24"/>
      <c r="X1763" s="24"/>
    </row>
    <row r="1764" spans="1:24" ht="14.25" customHeight="1" x14ac:dyDescent="0.25">
      <c r="A1764" s="27"/>
      <c r="B1764" s="27"/>
      <c r="C1764" s="24"/>
      <c r="D1764" s="24"/>
      <c r="E1764" s="27"/>
      <c r="F1764" s="27"/>
      <c r="G1764" s="27"/>
      <c r="H1764" s="27"/>
      <c r="I1764" s="27"/>
      <c r="J1764" s="27"/>
      <c r="K1764" s="27"/>
      <c r="L1764" s="27"/>
      <c r="M1764" s="27"/>
      <c r="N1764" s="24"/>
      <c r="O1764" s="24"/>
      <c r="P1764" s="24"/>
      <c r="Q1764" s="24"/>
      <c r="R1764" s="24"/>
      <c r="S1764" s="24"/>
      <c r="T1764" s="24"/>
      <c r="U1764" s="27"/>
      <c r="V1764" s="27"/>
      <c r="W1764" s="24"/>
      <c r="X1764" s="24"/>
    </row>
    <row r="1765" spans="1:24" ht="14.25" customHeight="1" x14ac:dyDescent="0.25">
      <c r="A1765" s="27"/>
      <c r="B1765" s="27"/>
      <c r="C1765" s="24"/>
      <c r="D1765" s="24"/>
      <c r="E1765" s="27"/>
      <c r="F1765" s="27"/>
      <c r="G1765" s="27"/>
      <c r="H1765" s="27"/>
      <c r="I1765" s="27"/>
      <c r="J1765" s="27"/>
      <c r="K1765" s="27"/>
      <c r="L1765" s="27"/>
      <c r="M1765" s="27"/>
      <c r="N1765" s="24"/>
      <c r="O1765" s="24"/>
      <c r="P1765" s="24"/>
      <c r="Q1765" s="24"/>
      <c r="R1765" s="24"/>
      <c r="S1765" s="24"/>
      <c r="T1765" s="24"/>
      <c r="U1765" s="27"/>
      <c r="V1765" s="27"/>
      <c r="W1765" s="24"/>
      <c r="X1765" s="24"/>
    </row>
  </sheetData>
  <customSheetViews>
    <customSheetView guid="{DC55A741-C279-4DF2-8CD2-9A7A21E49031}" filter="1" showAutoFilter="1">
      <pageMargins left="0.7" right="0.7" top="0.75" bottom="0.75" header="0.3" footer="0.3"/>
      <autoFilter ref="A1:AL209"/>
    </customSheetView>
  </customSheetViews>
  <mergeCells count="3">
    <mergeCell ref="A1:X1"/>
    <mergeCell ref="Q2:R2"/>
    <mergeCell ref="Q60:T60"/>
  </mergeCells>
  <hyperlinks>
    <hyperlink ref="K4" r:id="rId1"/>
    <hyperlink ref="L4" r:id="rId2"/>
    <hyperlink ref="K5" r:id="rId3"/>
    <hyperlink ref="L5" r:id="rId4"/>
    <hyperlink ref="K6" r:id="rId5"/>
    <hyperlink ref="L6" r:id="rId6"/>
    <hyperlink ref="K7" r:id="rId7"/>
    <hyperlink ref="L7" r:id="rId8"/>
    <hyperlink ref="K8" r:id="rId9"/>
    <hyperlink ref="L8" r:id="rId10"/>
    <hyperlink ref="K9" r:id="rId11"/>
    <hyperlink ref="L9" r:id="rId12"/>
    <hyperlink ref="K10" r:id="rId13"/>
    <hyperlink ref="L10" r:id="rId14"/>
    <hyperlink ref="K11" r:id="rId15"/>
    <hyperlink ref="L11" r:id="rId16"/>
    <hyperlink ref="K12" r:id="rId17"/>
    <hyperlink ref="L12" r:id="rId18"/>
    <hyperlink ref="K13" r:id="rId19"/>
    <hyperlink ref="L13" r:id="rId20"/>
    <hyperlink ref="K14" r:id="rId21"/>
    <hyperlink ref="L14" r:id="rId22"/>
    <hyperlink ref="K15" r:id="rId23"/>
    <hyperlink ref="L15" r:id="rId24"/>
    <hyperlink ref="K16" r:id="rId25"/>
    <hyperlink ref="L16" r:id="rId26"/>
    <hyperlink ref="K17" r:id="rId27"/>
    <hyperlink ref="L17" r:id="rId28"/>
    <hyperlink ref="K18" r:id="rId29"/>
    <hyperlink ref="L18" r:id="rId30"/>
    <hyperlink ref="K19" r:id="rId31"/>
    <hyperlink ref="L19" r:id="rId32"/>
    <hyperlink ref="K20" r:id="rId33"/>
    <hyperlink ref="L20" r:id="rId34"/>
    <hyperlink ref="K21" r:id="rId35"/>
    <hyperlink ref="L21" r:id="rId36"/>
    <hyperlink ref="K22" r:id="rId37"/>
    <hyperlink ref="L22" r:id="rId38"/>
    <hyperlink ref="K23" r:id="rId39"/>
    <hyperlink ref="L23" r:id="rId40"/>
    <hyperlink ref="K24" r:id="rId41"/>
    <hyperlink ref="L24" r:id="rId42"/>
    <hyperlink ref="K25" r:id="rId43"/>
    <hyperlink ref="L25" r:id="rId44"/>
    <hyperlink ref="K26" r:id="rId45"/>
    <hyperlink ref="L26" r:id="rId46"/>
    <hyperlink ref="K27" r:id="rId47"/>
    <hyperlink ref="L27" r:id="rId48"/>
    <hyperlink ref="K28" r:id="rId49"/>
    <hyperlink ref="L28" r:id="rId50"/>
    <hyperlink ref="K29" r:id="rId51"/>
    <hyperlink ref="L29" r:id="rId52"/>
    <hyperlink ref="K30" r:id="rId53"/>
    <hyperlink ref="L30" r:id="rId54"/>
    <hyperlink ref="K31" r:id="rId55"/>
    <hyperlink ref="L31" r:id="rId56"/>
    <hyperlink ref="K32" r:id="rId57"/>
    <hyperlink ref="L32" r:id="rId58"/>
    <hyperlink ref="K33" r:id="rId59"/>
    <hyperlink ref="L33" r:id="rId60"/>
    <hyperlink ref="K34" r:id="rId61"/>
    <hyperlink ref="L34" r:id="rId62"/>
    <hyperlink ref="K35" r:id="rId63"/>
    <hyperlink ref="L35" r:id="rId64"/>
    <hyperlink ref="K36" r:id="rId65"/>
    <hyperlink ref="L36" r:id="rId66"/>
    <hyperlink ref="K37" r:id="rId67"/>
    <hyperlink ref="L37" r:id="rId68"/>
    <hyperlink ref="K38" r:id="rId69"/>
    <hyperlink ref="L38" r:id="rId70"/>
    <hyperlink ref="K39" r:id="rId71"/>
    <hyperlink ref="L39" r:id="rId72"/>
    <hyperlink ref="K40" r:id="rId73"/>
    <hyperlink ref="L40" r:id="rId74"/>
    <hyperlink ref="K41" r:id="rId75"/>
    <hyperlink ref="L41" r:id="rId76"/>
    <hyperlink ref="K42" r:id="rId77"/>
    <hyperlink ref="L42" r:id="rId78"/>
    <hyperlink ref="K43" r:id="rId79"/>
    <hyperlink ref="L43" r:id="rId80"/>
    <hyperlink ref="K44" r:id="rId81"/>
    <hyperlink ref="L44" r:id="rId82"/>
    <hyperlink ref="K45" r:id="rId83"/>
    <hyperlink ref="L45" r:id="rId84"/>
    <hyperlink ref="K46" r:id="rId85"/>
    <hyperlink ref="L46" r:id="rId86"/>
    <hyperlink ref="K47" r:id="rId87"/>
    <hyperlink ref="L47" r:id="rId88"/>
    <hyperlink ref="K48" r:id="rId89"/>
    <hyperlink ref="L48" r:id="rId90"/>
    <hyperlink ref="K49" r:id="rId91"/>
    <hyperlink ref="L49" r:id="rId92"/>
    <hyperlink ref="K50" r:id="rId93"/>
    <hyperlink ref="L50" r:id="rId94"/>
    <hyperlink ref="K51" r:id="rId95"/>
    <hyperlink ref="L51" r:id="rId96"/>
    <hyperlink ref="K52" r:id="rId97"/>
    <hyperlink ref="L52" r:id="rId98"/>
    <hyperlink ref="K53" r:id="rId99"/>
    <hyperlink ref="L53" r:id="rId100"/>
    <hyperlink ref="K54" r:id="rId101"/>
    <hyperlink ref="L54" r:id="rId102"/>
    <hyperlink ref="K55" r:id="rId103"/>
    <hyperlink ref="L55" r:id="rId104"/>
    <hyperlink ref="K56" r:id="rId105"/>
    <hyperlink ref="L56" r:id="rId106"/>
    <hyperlink ref="K57" r:id="rId107"/>
    <hyperlink ref="L57" r:id="rId108"/>
    <hyperlink ref="K58" r:id="rId109"/>
    <hyperlink ref="L58" r:id="rId110"/>
    <hyperlink ref="K59" r:id="rId111"/>
    <hyperlink ref="L59" r:id="rId112"/>
    <hyperlink ref="K60" r:id="rId113"/>
    <hyperlink ref="L60" r:id="rId114"/>
    <hyperlink ref="K61" r:id="rId115"/>
    <hyperlink ref="L61" r:id="rId116"/>
    <hyperlink ref="K62" r:id="rId117"/>
    <hyperlink ref="L62" r:id="rId118"/>
    <hyperlink ref="K63" r:id="rId119"/>
    <hyperlink ref="L63" r:id="rId120"/>
    <hyperlink ref="K64" r:id="rId121"/>
    <hyperlink ref="L64" r:id="rId122"/>
    <hyperlink ref="K65" r:id="rId123"/>
    <hyperlink ref="L65" r:id="rId124"/>
    <hyperlink ref="K66" r:id="rId125"/>
    <hyperlink ref="L66" r:id="rId126"/>
    <hyperlink ref="K67" r:id="rId127"/>
    <hyperlink ref="L67" r:id="rId128"/>
    <hyperlink ref="K68" r:id="rId129"/>
    <hyperlink ref="L68" r:id="rId130"/>
    <hyperlink ref="K69" r:id="rId131"/>
    <hyperlink ref="L69" r:id="rId132"/>
    <hyperlink ref="K70" r:id="rId133"/>
    <hyperlink ref="L70" r:id="rId134"/>
    <hyperlink ref="K71" r:id="rId135"/>
    <hyperlink ref="L71" r:id="rId136"/>
    <hyperlink ref="K72" r:id="rId137"/>
    <hyperlink ref="L72" r:id="rId138"/>
    <hyperlink ref="K73" r:id="rId139"/>
    <hyperlink ref="L73" r:id="rId140"/>
    <hyperlink ref="K74" r:id="rId141"/>
    <hyperlink ref="L74" r:id="rId142"/>
    <hyperlink ref="K75" r:id="rId143"/>
    <hyperlink ref="L75" r:id="rId144"/>
    <hyperlink ref="K76" r:id="rId145"/>
    <hyperlink ref="L76" r:id="rId146"/>
    <hyperlink ref="K77" r:id="rId147"/>
    <hyperlink ref="L77" r:id="rId148"/>
    <hyperlink ref="K78" r:id="rId149"/>
    <hyperlink ref="L78" r:id="rId150"/>
    <hyperlink ref="K79" r:id="rId151"/>
    <hyperlink ref="L79" r:id="rId152"/>
    <hyperlink ref="K80" r:id="rId153"/>
    <hyperlink ref="L80" r:id="rId154"/>
    <hyperlink ref="K81" r:id="rId155"/>
    <hyperlink ref="L81" r:id="rId156"/>
    <hyperlink ref="K82" r:id="rId157"/>
    <hyperlink ref="L82" r:id="rId158"/>
    <hyperlink ref="K83" r:id="rId159"/>
    <hyperlink ref="L83" r:id="rId160"/>
    <hyperlink ref="K84" r:id="rId161"/>
    <hyperlink ref="L84" r:id="rId162"/>
    <hyperlink ref="K85" r:id="rId163"/>
    <hyperlink ref="L85" r:id="rId164"/>
    <hyperlink ref="K86" r:id="rId165"/>
    <hyperlink ref="L86" r:id="rId166"/>
    <hyperlink ref="K87" r:id="rId167"/>
    <hyperlink ref="L87" r:id="rId168"/>
    <hyperlink ref="K88" r:id="rId169"/>
    <hyperlink ref="L88" r:id="rId170"/>
    <hyperlink ref="K89" r:id="rId171"/>
    <hyperlink ref="L89" r:id="rId172"/>
    <hyperlink ref="K90" r:id="rId173"/>
    <hyperlink ref="L90" r:id="rId174"/>
    <hyperlink ref="K91" r:id="rId175"/>
    <hyperlink ref="L91" r:id="rId176"/>
    <hyperlink ref="K92" r:id="rId177"/>
    <hyperlink ref="L92" r:id="rId178"/>
    <hyperlink ref="K93" r:id="rId179"/>
    <hyperlink ref="L93" r:id="rId180"/>
    <hyperlink ref="K94" r:id="rId181"/>
    <hyperlink ref="L94" r:id="rId182"/>
    <hyperlink ref="K95" r:id="rId183"/>
    <hyperlink ref="L95" r:id="rId184"/>
    <hyperlink ref="K96" r:id="rId185"/>
    <hyperlink ref="L96" r:id="rId186"/>
    <hyperlink ref="K97" r:id="rId187"/>
    <hyperlink ref="L97" r:id="rId188"/>
    <hyperlink ref="K98" r:id="rId189"/>
    <hyperlink ref="L98" r:id="rId190"/>
    <hyperlink ref="K99" r:id="rId191"/>
    <hyperlink ref="L99" r:id="rId192"/>
    <hyperlink ref="K100" r:id="rId193"/>
    <hyperlink ref="L100" r:id="rId194"/>
    <hyperlink ref="K101" r:id="rId195"/>
    <hyperlink ref="L101" r:id="rId196"/>
    <hyperlink ref="K102" r:id="rId197"/>
    <hyperlink ref="L102" r:id="rId198"/>
    <hyperlink ref="K103" r:id="rId199"/>
    <hyperlink ref="L103" r:id="rId200"/>
    <hyperlink ref="K104" r:id="rId201"/>
    <hyperlink ref="L104" r:id="rId202"/>
    <hyperlink ref="K105" r:id="rId203"/>
    <hyperlink ref="L105" r:id="rId204"/>
    <hyperlink ref="K106" r:id="rId205"/>
    <hyperlink ref="L106" r:id="rId206"/>
    <hyperlink ref="K107" r:id="rId207"/>
    <hyperlink ref="L107" r:id="rId208"/>
    <hyperlink ref="K108" r:id="rId209"/>
    <hyperlink ref="L108" r:id="rId210"/>
    <hyperlink ref="K109" r:id="rId211"/>
    <hyperlink ref="L109" r:id="rId212"/>
    <hyperlink ref="K110" r:id="rId213"/>
    <hyperlink ref="L110" r:id="rId214"/>
    <hyperlink ref="K111" r:id="rId215"/>
    <hyperlink ref="L111" r:id="rId216"/>
    <hyperlink ref="K112" r:id="rId217"/>
    <hyperlink ref="L112" r:id="rId218"/>
    <hyperlink ref="K113" r:id="rId219"/>
    <hyperlink ref="L113" r:id="rId220"/>
    <hyperlink ref="K114" r:id="rId221"/>
    <hyperlink ref="L114" r:id="rId222"/>
    <hyperlink ref="K115" r:id="rId223"/>
    <hyperlink ref="L115" r:id="rId224"/>
    <hyperlink ref="K116" r:id="rId225"/>
    <hyperlink ref="L116" r:id="rId226"/>
    <hyperlink ref="K117" r:id="rId227"/>
    <hyperlink ref="L117" r:id="rId228"/>
    <hyperlink ref="K118" r:id="rId229"/>
    <hyperlink ref="L118" r:id="rId230"/>
    <hyperlink ref="K119" r:id="rId231"/>
    <hyperlink ref="L119" r:id="rId232"/>
    <hyperlink ref="K120" r:id="rId233"/>
    <hyperlink ref="L120" r:id="rId234"/>
    <hyperlink ref="K121" r:id="rId235"/>
    <hyperlink ref="L121" r:id="rId236"/>
    <hyperlink ref="K122" r:id="rId237"/>
    <hyperlink ref="L122" r:id="rId238"/>
    <hyperlink ref="K123" r:id="rId239"/>
    <hyperlink ref="L123" r:id="rId240"/>
    <hyperlink ref="K124" r:id="rId241"/>
    <hyperlink ref="L124" r:id="rId242"/>
    <hyperlink ref="K125" r:id="rId243"/>
    <hyperlink ref="L125" r:id="rId244"/>
    <hyperlink ref="K126" r:id="rId245"/>
    <hyperlink ref="L126" r:id="rId246"/>
    <hyperlink ref="K127" r:id="rId247"/>
    <hyperlink ref="L127" r:id="rId248"/>
    <hyperlink ref="K128" r:id="rId249"/>
    <hyperlink ref="L128" r:id="rId250"/>
    <hyperlink ref="K129" r:id="rId251"/>
    <hyperlink ref="L129" r:id="rId252"/>
    <hyperlink ref="K130" r:id="rId253"/>
    <hyperlink ref="L130" r:id="rId254"/>
    <hyperlink ref="K131" r:id="rId255"/>
    <hyperlink ref="L131" r:id="rId256"/>
    <hyperlink ref="K132" r:id="rId257"/>
    <hyperlink ref="L132" r:id="rId258"/>
    <hyperlink ref="K133" r:id="rId259"/>
    <hyperlink ref="L133" r:id="rId260"/>
    <hyperlink ref="K134" r:id="rId261"/>
    <hyperlink ref="L134" r:id="rId262"/>
    <hyperlink ref="K135" r:id="rId263"/>
    <hyperlink ref="L135" r:id="rId264"/>
    <hyperlink ref="K136" r:id="rId265"/>
    <hyperlink ref="L136" r:id="rId266"/>
    <hyperlink ref="K137" r:id="rId267"/>
    <hyperlink ref="L137" r:id="rId268"/>
    <hyperlink ref="K138" r:id="rId269"/>
    <hyperlink ref="L138" r:id="rId270"/>
    <hyperlink ref="K139" r:id="rId271"/>
    <hyperlink ref="K140" r:id="rId272"/>
    <hyperlink ref="K141" r:id="rId273"/>
    <hyperlink ref="K142" r:id="rId274"/>
    <hyperlink ref="L142" r:id="rId275"/>
    <hyperlink ref="K143" r:id="rId276"/>
    <hyperlink ref="L143" r:id="rId277"/>
    <hyperlink ref="K144" r:id="rId278"/>
    <hyperlink ref="L144" r:id="rId279"/>
    <hyperlink ref="K145" r:id="rId280"/>
    <hyperlink ref="L145" r:id="rId281"/>
    <hyperlink ref="K146" r:id="rId282"/>
    <hyperlink ref="K147" r:id="rId283"/>
    <hyperlink ref="K148" r:id="rId284"/>
    <hyperlink ref="K149" r:id="rId285"/>
    <hyperlink ref="L149" r:id="rId286"/>
    <hyperlink ref="K150" r:id="rId287"/>
    <hyperlink ref="L150" r:id="rId288"/>
    <hyperlink ref="K151" r:id="rId289"/>
    <hyperlink ref="L151" r:id="rId290"/>
    <hyperlink ref="K152" r:id="rId291"/>
    <hyperlink ref="L152" r:id="rId292"/>
    <hyperlink ref="K153" r:id="rId293"/>
    <hyperlink ref="L153" r:id="rId294"/>
    <hyperlink ref="K154" r:id="rId295"/>
    <hyperlink ref="L154" r:id="rId296"/>
    <hyperlink ref="K155" r:id="rId297"/>
    <hyperlink ref="L155" r:id="rId298"/>
    <hyperlink ref="K156" r:id="rId299"/>
    <hyperlink ref="L156" r:id="rId300"/>
    <hyperlink ref="K157" r:id="rId301"/>
    <hyperlink ref="L157" r:id="rId302"/>
    <hyperlink ref="K158" r:id="rId303"/>
    <hyperlink ref="L158" r:id="rId304"/>
    <hyperlink ref="K159" r:id="rId305"/>
    <hyperlink ref="L159" r:id="rId306"/>
    <hyperlink ref="K160" r:id="rId307"/>
    <hyperlink ref="L160" r:id="rId308"/>
    <hyperlink ref="K161" r:id="rId309"/>
    <hyperlink ref="L161" r:id="rId310"/>
    <hyperlink ref="K162" r:id="rId311"/>
    <hyperlink ref="L162" r:id="rId312"/>
    <hyperlink ref="K163" r:id="rId313"/>
    <hyperlink ref="L163" r:id="rId314"/>
    <hyperlink ref="K164" r:id="rId315"/>
    <hyperlink ref="L164" r:id="rId316"/>
    <hyperlink ref="K165" r:id="rId317"/>
    <hyperlink ref="L165" r:id="rId318"/>
    <hyperlink ref="K166" r:id="rId319"/>
    <hyperlink ref="L166" r:id="rId320"/>
    <hyperlink ref="K167" r:id="rId321"/>
    <hyperlink ref="L167" r:id="rId322"/>
    <hyperlink ref="K168" r:id="rId323"/>
    <hyperlink ref="L168" r:id="rId324"/>
    <hyperlink ref="K169" r:id="rId325"/>
    <hyperlink ref="L169" r:id="rId326"/>
    <hyperlink ref="K170" r:id="rId327"/>
    <hyperlink ref="L170" r:id="rId328"/>
    <hyperlink ref="K171" r:id="rId329"/>
    <hyperlink ref="L171" r:id="rId330"/>
    <hyperlink ref="K172" r:id="rId331"/>
    <hyperlink ref="L172" r:id="rId332"/>
    <hyperlink ref="K173" r:id="rId333"/>
    <hyperlink ref="L173" r:id="rId334"/>
    <hyperlink ref="K174" r:id="rId335"/>
    <hyperlink ref="L174" r:id="rId336"/>
    <hyperlink ref="K175" r:id="rId337"/>
    <hyperlink ref="L175" r:id="rId338"/>
    <hyperlink ref="K176" r:id="rId339"/>
    <hyperlink ref="L176" r:id="rId340"/>
    <hyperlink ref="K177" r:id="rId341"/>
    <hyperlink ref="L177" r:id="rId342"/>
    <hyperlink ref="K178" r:id="rId343"/>
    <hyperlink ref="K179" r:id="rId344"/>
    <hyperlink ref="L179" r:id="rId345"/>
    <hyperlink ref="K180" r:id="rId346"/>
    <hyperlink ref="L180" r:id="rId347"/>
    <hyperlink ref="K181" r:id="rId348"/>
    <hyperlink ref="K182" r:id="rId349"/>
    <hyperlink ref="L182" r:id="rId350"/>
    <hyperlink ref="K183" r:id="rId351"/>
    <hyperlink ref="L183" r:id="rId352"/>
    <hyperlink ref="K184" r:id="rId353"/>
    <hyperlink ref="L184" r:id="rId354"/>
    <hyperlink ref="L185" r:id="rId355"/>
    <hyperlink ref="K186" r:id="rId356"/>
    <hyperlink ref="L186" r:id="rId357"/>
    <hyperlink ref="K187" r:id="rId358"/>
    <hyperlink ref="L187" r:id="rId359"/>
    <hyperlink ref="K188" r:id="rId360"/>
    <hyperlink ref="L188" r:id="rId361"/>
    <hyperlink ref="K189" r:id="rId362"/>
    <hyperlink ref="L189" r:id="rId363"/>
    <hyperlink ref="K190" r:id="rId364"/>
    <hyperlink ref="L190" r:id="rId365"/>
    <hyperlink ref="K191" r:id="rId366"/>
    <hyperlink ref="L191" r:id="rId367"/>
    <hyperlink ref="K192" r:id="rId368"/>
    <hyperlink ref="L192" r:id="rId369"/>
    <hyperlink ref="K193" r:id="rId370"/>
    <hyperlink ref="K194" r:id="rId371"/>
    <hyperlink ref="L194" r:id="rId372"/>
    <hyperlink ref="K195" r:id="rId373"/>
    <hyperlink ref="L195" r:id="rId374"/>
    <hyperlink ref="K196" r:id="rId375"/>
    <hyperlink ref="L196" r:id="rId376"/>
    <hyperlink ref="K197" r:id="rId377"/>
    <hyperlink ref="L197" r:id="rId378"/>
    <hyperlink ref="K198" r:id="rId379"/>
    <hyperlink ref="L198" r:id="rId380"/>
    <hyperlink ref="K199" r:id="rId381"/>
    <hyperlink ref="L199" r:id="rId382"/>
    <hyperlink ref="K200" r:id="rId383"/>
    <hyperlink ref="L200" r:id="rId384"/>
    <hyperlink ref="K201" r:id="rId385"/>
    <hyperlink ref="L201" r:id="rId386"/>
    <hyperlink ref="K202" r:id="rId387"/>
    <hyperlink ref="L202" r:id="rId388"/>
    <hyperlink ref="K203" r:id="rId389"/>
    <hyperlink ref="L203" r:id="rId390"/>
    <hyperlink ref="K204" r:id="rId391"/>
    <hyperlink ref="L204" r:id="rId392"/>
    <hyperlink ref="K205" r:id="rId393"/>
    <hyperlink ref="L205" r:id="rId394"/>
    <hyperlink ref="K206" r:id="rId395"/>
    <hyperlink ref="L206" r:id="rId396"/>
    <hyperlink ref="K207" r:id="rId397"/>
    <hyperlink ref="L207" r:id="rId398"/>
    <hyperlink ref="K208" r:id="rId399"/>
    <hyperlink ref="L208" r:id="rId400"/>
    <hyperlink ref="K209" r:id="rId401"/>
    <hyperlink ref="L209" r:id="rId402"/>
    <hyperlink ref="K212" r:id="rId403"/>
    <hyperlink ref="L212" r:id="rId404"/>
    <hyperlink ref="K213" r:id="rId405"/>
    <hyperlink ref="L213" r:id="rId406"/>
    <hyperlink ref="K214" r:id="rId407"/>
    <hyperlink ref="L214" r:id="rId408"/>
    <hyperlink ref="K215" r:id="rId409"/>
    <hyperlink ref="L215" r:id="rId410"/>
    <hyperlink ref="K216" r:id="rId411"/>
    <hyperlink ref="L216" r:id="rId412"/>
    <hyperlink ref="K217" r:id="rId413"/>
    <hyperlink ref="L217" r:id="rId414"/>
    <hyperlink ref="K218" r:id="rId415"/>
    <hyperlink ref="L218" r:id="rId416"/>
    <hyperlink ref="K219" r:id="rId417"/>
    <hyperlink ref="L219" r:id="rId418"/>
    <hyperlink ref="K220" r:id="rId419"/>
    <hyperlink ref="L220" r:id="rId420"/>
    <hyperlink ref="K221" r:id="rId421"/>
    <hyperlink ref="L221" r:id="rId422"/>
    <hyperlink ref="K222" r:id="rId423"/>
    <hyperlink ref="L222" r:id="rId424"/>
    <hyperlink ref="K223" r:id="rId425"/>
    <hyperlink ref="L223" r:id="rId426"/>
    <hyperlink ref="K224" r:id="rId427"/>
    <hyperlink ref="L224" r:id="rId428"/>
    <hyperlink ref="K225" r:id="rId429"/>
    <hyperlink ref="L225" r:id="rId430"/>
    <hyperlink ref="K226" r:id="rId431"/>
    <hyperlink ref="L226" r:id="rId432"/>
    <hyperlink ref="K227" r:id="rId433"/>
    <hyperlink ref="L227" r:id="rId434"/>
    <hyperlink ref="K228" r:id="rId435"/>
    <hyperlink ref="L228" r:id="rId436"/>
    <hyperlink ref="K229" r:id="rId437"/>
    <hyperlink ref="L229" r:id="rId438"/>
    <hyperlink ref="K230" r:id="rId439"/>
    <hyperlink ref="L230" r:id="rId440"/>
    <hyperlink ref="K231" r:id="rId441"/>
    <hyperlink ref="L231" r:id="rId442"/>
    <hyperlink ref="K232" r:id="rId443"/>
    <hyperlink ref="L232" r:id="rId444"/>
    <hyperlink ref="K233" r:id="rId445"/>
    <hyperlink ref="K234" r:id="rId446"/>
    <hyperlink ref="L234" r:id="rId447"/>
    <hyperlink ref="K235" r:id="rId448"/>
    <hyperlink ref="L235" r:id="rId449"/>
    <hyperlink ref="K236" r:id="rId450"/>
    <hyperlink ref="L236" r:id="rId451"/>
    <hyperlink ref="K237" r:id="rId452"/>
    <hyperlink ref="L237" r:id="rId453"/>
    <hyperlink ref="K238" r:id="rId454"/>
    <hyperlink ref="L238" r:id="rId455"/>
    <hyperlink ref="K239" r:id="rId456"/>
    <hyperlink ref="L239" r:id="rId457"/>
    <hyperlink ref="K240" r:id="rId458"/>
    <hyperlink ref="L240" r:id="rId459"/>
    <hyperlink ref="K241" r:id="rId460"/>
    <hyperlink ref="L241" r:id="rId461"/>
    <hyperlink ref="K242" r:id="rId462"/>
    <hyperlink ref="L242" r:id="rId463"/>
    <hyperlink ref="K243" r:id="rId464"/>
    <hyperlink ref="L243" r:id="rId465"/>
    <hyperlink ref="K244" r:id="rId466"/>
    <hyperlink ref="K245" r:id="rId467"/>
    <hyperlink ref="K246" r:id="rId468"/>
    <hyperlink ref="K247" r:id="rId469"/>
    <hyperlink ref="K248" r:id="rId470"/>
    <hyperlink ref="K249" r:id="rId471"/>
    <hyperlink ref="K250" r:id="rId472"/>
    <hyperlink ref="L250" r:id="rId473"/>
    <hyperlink ref="K251" r:id="rId474"/>
    <hyperlink ref="K252" r:id="rId475"/>
    <hyperlink ref="K253" r:id="rId476"/>
    <hyperlink ref="L253" r:id="rId477"/>
    <hyperlink ref="K254" r:id="rId478"/>
    <hyperlink ref="L254" r:id="rId479"/>
    <hyperlink ref="K255" r:id="rId480"/>
    <hyperlink ref="L255" r:id="rId481"/>
    <hyperlink ref="K256" r:id="rId482"/>
    <hyperlink ref="L256" r:id="rId483"/>
    <hyperlink ref="K257" r:id="rId484"/>
    <hyperlink ref="L257" r:id="rId485"/>
    <hyperlink ref="K258" r:id="rId486"/>
    <hyperlink ref="L258" r:id="rId487"/>
    <hyperlink ref="K259" r:id="rId488"/>
    <hyperlink ref="L259" r:id="rId489"/>
    <hyperlink ref="K260" r:id="rId490"/>
    <hyperlink ref="L260" r:id="rId491"/>
    <hyperlink ref="K261" r:id="rId492"/>
    <hyperlink ref="L261" r:id="rId493"/>
    <hyperlink ref="K265" r:id="rId494"/>
    <hyperlink ref="L265" r:id="rId495"/>
    <hyperlink ref="K266" r:id="rId496"/>
    <hyperlink ref="L266" r:id="rId497"/>
    <hyperlink ref="K267" r:id="rId498"/>
    <hyperlink ref="L267" r:id="rId499"/>
    <hyperlink ref="K268" r:id="rId500"/>
    <hyperlink ref="L268" r:id="rId501"/>
    <hyperlink ref="K269" r:id="rId502"/>
    <hyperlink ref="L269" r:id="rId503"/>
    <hyperlink ref="K270" r:id="rId504"/>
    <hyperlink ref="L270" r:id="rId505"/>
    <hyperlink ref="K271" r:id="rId506"/>
    <hyperlink ref="L271" r:id="rId507"/>
    <hyperlink ref="K272" r:id="rId508"/>
    <hyperlink ref="L272" r:id="rId509"/>
    <hyperlink ref="K273" r:id="rId510"/>
    <hyperlink ref="L273" r:id="rId511"/>
    <hyperlink ref="K274" r:id="rId512"/>
    <hyperlink ref="K275" r:id="rId513"/>
    <hyperlink ref="L275" r:id="rId514"/>
    <hyperlink ref="K276" r:id="rId515"/>
    <hyperlink ref="L276" r:id="rId516"/>
    <hyperlink ref="L277" r:id="rId517"/>
    <hyperlink ref="K278" r:id="rId518"/>
    <hyperlink ref="L278" r:id="rId519"/>
    <hyperlink ref="K279" r:id="rId520"/>
    <hyperlink ref="L279" r:id="rId521"/>
    <hyperlink ref="K280" r:id="rId522"/>
    <hyperlink ref="L280" r:id="rId523"/>
    <hyperlink ref="K281" r:id="rId524"/>
    <hyperlink ref="L282" r:id="rId525"/>
    <hyperlink ref="K283" r:id="rId526"/>
    <hyperlink ref="L283" r:id="rId527"/>
    <hyperlink ref="K284" r:id="rId528"/>
    <hyperlink ref="L284" r:id="rId529"/>
    <hyperlink ref="K285" r:id="rId530"/>
    <hyperlink ref="L285" r:id="rId531"/>
    <hyperlink ref="K286" r:id="rId532"/>
    <hyperlink ref="L286" r:id="rId533"/>
    <hyperlink ref="K287" r:id="rId534"/>
    <hyperlink ref="L287" r:id="rId535"/>
    <hyperlink ref="K288" r:id="rId536"/>
    <hyperlink ref="L288" r:id="rId537"/>
    <hyperlink ref="K289" r:id="rId538"/>
    <hyperlink ref="K290" r:id="rId539"/>
    <hyperlink ref="K291" r:id="rId540"/>
    <hyperlink ref="L291" r:id="rId541"/>
    <hyperlink ref="K292" r:id="rId542"/>
    <hyperlink ref="L292" r:id="rId543"/>
    <hyperlink ref="K293" r:id="rId544"/>
    <hyperlink ref="L293" r:id="rId545"/>
    <hyperlink ref="L294" r:id="rId546"/>
    <hyperlink ref="K295" r:id="rId547"/>
    <hyperlink ref="L295" r:id="rId548"/>
    <hyperlink ref="K296" r:id="rId549"/>
    <hyperlink ref="L296" r:id="rId550"/>
    <hyperlink ref="K297" r:id="rId551"/>
    <hyperlink ref="L297" r:id="rId552"/>
    <hyperlink ref="K298" r:id="rId553"/>
    <hyperlink ref="L298" r:id="rId554"/>
    <hyperlink ref="K299" r:id="rId555"/>
    <hyperlink ref="L299" r:id="rId556"/>
    <hyperlink ref="K300" r:id="rId557"/>
    <hyperlink ref="K301" r:id="rId558"/>
    <hyperlink ref="L301" r:id="rId559"/>
    <hyperlink ref="K302" r:id="rId560"/>
    <hyperlink ref="L302" r:id="rId561"/>
    <hyperlink ref="K303" r:id="rId562"/>
    <hyperlink ref="K304" r:id="rId563"/>
    <hyperlink ref="K305" r:id="rId564"/>
    <hyperlink ref="L305" r:id="rId565"/>
    <hyperlink ref="K306" r:id="rId566"/>
    <hyperlink ref="L306" r:id="rId567"/>
    <hyperlink ref="K307" r:id="rId568"/>
    <hyperlink ref="L307" r:id="rId569"/>
    <hyperlink ref="K308" r:id="rId570"/>
    <hyperlink ref="L308" r:id="rId571"/>
    <hyperlink ref="K309" r:id="rId572"/>
    <hyperlink ref="L309" r:id="rId573"/>
    <hyperlink ref="K310" r:id="rId574"/>
    <hyperlink ref="L310" r:id="rId575"/>
    <hyperlink ref="K311" r:id="rId576"/>
    <hyperlink ref="L311" r:id="rId577"/>
    <hyperlink ref="L312" r:id="rId578"/>
    <hyperlink ref="K313" r:id="rId579"/>
    <hyperlink ref="L313" r:id="rId580"/>
    <hyperlink ref="K314" r:id="rId581"/>
    <hyperlink ref="K315" r:id="rId582"/>
    <hyperlink ref="K316" r:id="rId583"/>
    <hyperlink ref="L316" r:id="rId584"/>
    <hyperlink ref="K317" r:id="rId585"/>
    <hyperlink ref="L317" r:id="rId586"/>
    <hyperlink ref="K318" r:id="rId587"/>
    <hyperlink ref="L318" r:id="rId588"/>
    <hyperlink ref="K319" r:id="rId589"/>
    <hyperlink ref="L319" r:id="rId590"/>
    <hyperlink ref="K320" r:id="rId591"/>
    <hyperlink ref="L320" r:id="rId592"/>
    <hyperlink ref="K321" r:id="rId593"/>
    <hyperlink ref="L321" r:id="rId594"/>
    <hyperlink ref="K322" r:id="rId595"/>
    <hyperlink ref="L322" r:id="rId596"/>
    <hyperlink ref="K323" r:id="rId597"/>
    <hyperlink ref="K325" r:id="rId598"/>
    <hyperlink ref="K326" r:id="rId599"/>
    <hyperlink ref="K327" r:id="rId600"/>
    <hyperlink ref="K328" r:id="rId601"/>
    <hyperlink ref="K342" r:id="rId602"/>
    <hyperlink ref="K344" r:id="rId603"/>
    <hyperlink ref="K345" r:id="rId604"/>
    <hyperlink ref="K347" r:id="rId605"/>
    <hyperlink ref="K348" r:id="rId606"/>
    <hyperlink ref="K351" r:id="rId607"/>
    <hyperlink ref="K352" r:id="rId608"/>
    <hyperlink ref="K353" r:id="rId609"/>
    <hyperlink ref="K354" r:id="rId610"/>
    <hyperlink ref="K355" r:id="rId611"/>
    <hyperlink ref="K356" r:id="rId612"/>
    <hyperlink ref="K359" r:id="rId613"/>
    <hyperlink ref="K360" r:id="rId614"/>
    <hyperlink ref="K361" r:id="rId615"/>
    <hyperlink ref="K362" r:id="rId616"/>
    <hyperlink ref="K390" r:id="rId617"/>
    <hyperlink ref="K391" r:id="rId618"/>
    <hyperlink ref="K397" r:id="rId619"/>
    <hyperlink ref="K401" r:id="rId620"/>
    <hyperlink ref="K404" r:id="rId621"/>
    <hyperlink ref="K411" r:id="rId622"/>
    <hyperlink ref="K412" r:id="rId623"/>
    <hyperlink ref="K414" r:id="rId624"/>
    <hyperlink ref="K415" r:id="rId625"/>
    <hyperlink ref="K417" r:id="rId626"/>
    <hyperlink ref="K421" r:id="rId627"/>
    <hyperlink ref="K422" r:id="rId628"/>
    <hyperlink ref="K446" r:id="rId629"/>
    <hyperlink ref="K461" r:id="rId630"/>
    <hyperlink ref="K469" r:id="rId631"/>
    <hyperlink ref="K470" r:id="rId632"/>
    <hyperlink ref="K474" r:id="rId633"/>
    <hyperlink ref="K475" r:id="rId634"/>
    <hyperlink ref="K479" r:id="rId635"/>
    <hyperlink ref="K480" r:id="rId636"/>
    <hyperlink ref="K481" r:id="rId637"/>
    <hyperlink ref="K482" r:id="rId638"/>
    <hyperlink ref="K493" r:id="rId639"/>
    <hyperlink ref="K498" r:id="rId640"/>
    <hyperlink ref="K504" r:id="rId641"/>
    <hyperlink ref="K505" r:id="rId642"/>
    <hyperlink ref="K506" r:id="rId643"/>
    <hyperlink ref="K512" r:id="rId644"/>
    <hyperlink ref="K516" r:id="rId645"/>
    <hyperlink ref="K517" r:id="rId646"/>
    <hyperlink ref="K522" r:id="rId647"/>
    <hyperlink ref="K535" r:id="rId648"/>
    <hyperlink ref="K537" r:id="rId649"/>
    <hyperlink ref="K543" r:id="rId650"/>
    <hyperlink ref="K544" r:id="rId651"/>
    <hyperlink ref="K566" r:id="rId652"/>
    <hyperlink ref="K570" r:id="rId653"/>
    <hyperlink ref="K571" r:id="rId654"/>
    <hyperlink ref="K572" r:id="rId655"/>
    <hyperlink ref="K579" r:id="rId656"/>
    <hyperlink ref="K580" r:id="rId657"/>
    <hyperlink ref="K581" r:id="rId658"/>
    <hyperlink ref="K583" r:id="rId659"/>
    <hyperlink ref="K584" r:id="rId660"/>
    <hyperlink ref="K586" r:id="rId661"/>
    <hyperlink ref="K599" r:id="rId662"/>
    <hyperlink ref="K602" r:id="rId663"/>
    <hyperlink ref="K604" r:id="rId664"/>
    <hyperlink ref="K605" r:id="rId665"/>
    <hyperlink ref="K631" r:id="rId666"/>
    <hyperlink ref="K636" r:id="rId667"/>
    <hyperlink ref="K637" r:id="rId668"/>
    <hyperlink ref="K643" r:id="rId669"/>
    <hyperlink ref="K650" r:id="rId670"/>
    <hyperlink ref="K655" r:id="rId671"/>
    <hyperlink ref="K663" r:id="rId672"/>
    <hyperlink ref="K664" r:id="rId673"/>
    <hyperlink ref="K669" r:id="rId674"/>
    <hyperlink ref="K670" r:id="rId675"/>
    <hyperlink ref="K680" r:id="rId676"/>
    <hyperlink ref="K681" r:id="rId677"/>
    <hyperlink ref="K684" r:id="rId678"/>
    <hyperlink ref="K692" r:id="rId679"/>
    <hyperlink ref="K701" r:id="rId680"/>
    <hyperlink ref="K710" r:id="rId681"/>
    <hyperlink ref="K711" r:id="rId682"/>
    <hyperlink ref="K712" r:id="rId683"/>
    <hyperlink ref="K716" r:id="rId684"/>
    <hyperlink ref="K718" r:id="rId685"/>
    <hyperlink ref="K721" r:id="rId686"/>
    <hyperlink ref="K725" r:id="rId687"/>
    <hyperlink ref="K731" r:id="rId688"/>
    <hyperlink ref="K735" r:id="rId689"/>
    <hyperlink ref="K760" r:id="rId690"/>
    <hyperlink ref="K761" r:id="rId691"/>
    <hyperlink ref="K763" r:id="rId692"/>
    <hyperlink ref="K773" r:id="rId693"/>
    <hyperlink ref="K774" r:id="rId694"/>
    <hyperlink ref="K779" r:id="rId695"/>
    <hyperlink ref="K793" r:id="rId696"/>
    <hyperlink ref="K799" r:id="rId697"/>
    <hyperlink ref="K800" r:id="rId698"/>
    <hyperlink ref="K802" r:id="rId699"/>
    <hyperlink ref="K808" r:id="rId700"/>
    <hyperlink ref="K811" r:id="rId701"/>
    <hyperlink ref="K832" r:id="rId702"/>
    <hyperlink ref="K845" r:id="rId703"/>
    <hyperlink ref="K850" r:id="rId704"/>
    <hyperlink ref="K855" r:id="rId705"/>
    <hyperlink ref="K856" r:id="rId706"/>
    <hyperlink ref="K872" r:id="rId707"/>
    <hyperlink ref="K883" r:id="rId708"/>
    <hyperlink ref="K910" r:id="rId709"/>
    <hyperlink ref="K923" r:id="rId710"/>
    <hyperlink ref="K927" r:id="rId711"/>
    <hyperlink ref="K962" r:id="rId712"/>
    <hyperlink ref="K973" r:id="rId713"/>
    <hyperlink ref="K1013" r:id="rId714"/>
    <hyperlink ref="K1014" r:id="rId715"/>
    <hyperlink ref="K1111" r:id="rId716"/>
    <hyperlink ref="K1131" r:id="rId717"/>
    <hyperlink ref="K1137" r:id="rId718"/>
    <hyperlink ref="K1138" r:id="rId719"/>
    <hyperlink ref="K1142" r:id="rId720"/>
    <hyperlink ref="K1154" r:id="rId721"/>
    <hyperlink ref="K1162" r:id="rId722"/>
    <hyperlink ref="K1163" r:id="rId723"/>
    <hyperlink ref="K1170" r:id="rId724"/>
    <hyperlink ref="K1171" r:id="rId725"/>
    <hyperlink ref="K1183" r:id="rId726"/>
    <hyperlink ref="K1184" r:id="rId727"/>
    <hyperlink ref="K1212" r:id="rId728"/>
    <hyperlink ref="K1213" r:id="rId729"/>
    <hyperlink ref="K1214" r:id="rId730"/>
    <hyperlink ref="K1235" r:id="rId731"/>
  </hyperlinks>
  <pageMargins left="0.7" right="0.7" top="0.75" bottom="0.75" header="0" footer="0"/>
  <pageSetup paperSize="9" scale="22" orientation="portrait" r:id="rId732"/>
  <tableParts count="1">
    <tablePart r:id="rId733"/>
  </tableParts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ErrorMessage="1">
          <x14:formula1>
            <xm:f>Лист1!$I$3:$I$10</xm:f>
          </x14:formula1>
          <xm:sqref>M4:M59 M61:M1240</xm:sqref>
        </x14:dataValidation>
        <x14:dataValidation type="list" allowBlank="1" showErrorMessage="1">
          <x14:formula1>
            <xm:f>Лист1!$B$3:$B$6</xm:f>
          </x14:formula1>
          <xm:sqref>W4 W7:W1240</xm:sqref>
        </x14:dataValidation>
        <x14:dataValidation type="list" allowBlank="1" showErrorMessage="1">
          <x14:formula1>
            <xm:f>Лист1!$F$3:$F$10</xm:f>
          </x14:formula1>
          <xm:sqref>X4:X24 X74:X75 X486:X522 X524:X543 X545:X558 X560:X564 X566:X1240 X475:X484 X324:X473 X78:X322 X26:X71</xm:sqref>
        </x14:dataValidation>
        <x14:dataValidation type="list" allowBlank="1" showErrorMessage="1">
          <x14:formula1>
            <xm:f>Лист1!$B$3:$B$5</xm:f>
          </x14:formula1>
          <xm:sqref>W5:W6</xm:sqref>
        </x14:dataValidation>
        <x14:dataValidation type="list" allowBlank="1" showErrorMessage="1">
          <x14:formula1>
            <xm:f>Лист4!$B$2:$B$8</xm:f>
          </x14:formula1>
          <xm:sqref>E4:E1240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B2:B8"/>
  <sheetViews>
    <sheetView workbookViewId="0"/>
  </sheetViews>
  <sheetFormatPr defaultColWidth="14.42578125" defaultRowHeight="15" customHeight="1" x14ac:dyDescent="0.25"/>
  <cols>
    <col min="2" max="2" width="28.140625" customWidth="1"/>
  </cols>
  <sheetData>
    <row r="2" spans="2:2" x14ac:dyDescent="0.25">
      <c r="B2" s="1" t="s">
        <v>0</v>
      </c>
    </row>
    <row r="3" spans="2:2" x14ac:dyDescent="0.25">
      <c r="B3" s="1" t="s">
        <v>2</v>
      </c>
    </row>
    <row r="4" spans="2:2" x14ac:dyDescent="0.25">
      <c r="B4" s="1" t="s">
        <v>3</v>
      </c>
    </row>
    <row r="5" spans="2:2" x14ac:dyDescent="0.25">
      <c r="B5" s="1" t="s">
        <v>4</v>
      </c>
    </row>
    <row r="6" spans="2:2" x14ac:dyDescent="0.25">
      <c r="B6" s="1" t="s">
        <v>5</v>
      </c>
    </row>
    <row r="7" spans="2:2" x14ac:dyDescent="0.25">
      <c r="B7" s="1" t="s">
        <v>6</v>
      </c>
    </row>
    <row r="8" spans="2:2" x14ac:dyDescent="0.25">
      <c r="B8" s="1" t="s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000"/>
  <sheetViews>
    <sheetView workbookViewId="0"/>
  </sheetViews>
  <sheetFormatPr defaultColWidth="14.42578125" defaultRowHeight="15" customHeight="1" x14ac:dyDescent="0.25"/>
  <cols>
    <col min="1" max="1" width="8.7109375" customWidth="1"/>
    <col min="2" max="2" width="36.140625" customWidth="1"/>
    <col min="3" max="5" width="8.7109375" customWidth="1"/>
    <col min="6" max="6" width="38.28515625" customWidth="1"/>
    <col min="7" max="8" width="8.7109375" customWidth="1"/>
    <col min="9" max="9" width="20.5703125" customWidth="1"/>
    <col min="10" max="26" width="8.7109375" customWidth="1"/>
  </cols>
  <sheetData>
    <row r="1" spans="2:9" ht="14.25" customHeight="1" x14ac:dyDescent="0.25"/>
    <row r="2" spans="2:9" ht="14.25" customHeight="1" x14ac:dyDescent="0.25">
      <c r="B2" s="2" t="s">
        <v>1</v>
      </c>
      <c r="F2" s="2" t="s">
        <v>8</v>
      </c>
      <c r="I2" s="3" t="s">
        <v>9</v>
      </c>
    </row>
    <row r="3" spans="2:9" ht="14.25" customHeight="1" x14ac:dyDescent="0.25">
      <c r="B3" s="4" t="s">
        <v>10</v>
      </c>
      <c r="F3" s="4" t="s">
        <v>11</v>
      </c>
      <c r="I3" t="s">
        <v>12</v>
      </c>
    </row>
    <row r="4" spans="2:9" ht="14.25" customHeight="1" x14ac:dyDescent="0.25">
      <c r="B4" s="4" t="s">
        <v>13</v>
      </c>
      <c r="F4" s="4" t="s">
        <v>14</v>
      </c>
      <c r="I4" t="s">
        <v>15</v>
      </c>
    </row>
    <row r="5" spans="2:9" ht="14.25" customHeight="1" x14ac:dyDescent="0.25">
      <c r="B5" s="5" t="s">
        <v>16</v>
      </c>
      <c r="F5" s="4" t="s">
        <v>17</v>
      </c>
      <c r="I5" t="s">
        <v>18</v>
      </c>
    </row>
    <row r="6" spans="2:9" ht="14.25" customHeight="1" x14ac:dyDescent="0.25">
      <c r="F6" s="4" t="s">
        <v>19</v>
      </c>
      <c r="I6" t="s">
        <v>20</v>
      </c>
    </row>
    <row r="7" spans="2:9" ht="14.25" customHeight="1" x14ac:dyDescent="0.25">
      <c r="F7" s="4" t="s">
        <v>21</v>
      </c>
      <c r="I7" t="s">
        <v>22</v>
      </c>
    </row>
    <row r="8" spans="2:9" ht="14.25" customHeight="1" x14ac:dyDescent="0.25">
      <c r="F8" s="4" t="s">
        <v>23</v>
      </c>
      <c r="I8" t="s">
        <v>24</v>
      </c>
    </row>
    <row r="9" spans="2:9" ht="14.25" customHeight="1" x14ac:dyDescent="0.25">
      <c r="F9" s="4" t="s">
        <v>25</v>
      </c>
      <c r="I9" t="s">
        <v>26</v>
      </c>
    </row>
    <row r="10" spans="2:9" ht="14.25" customHeight="1" x14ac:dyDescent="0.25"/>
    <row r="11" spans="2:9" ht="14.25" customHeight="1" x14ac:dyDescent="0.25"/>
    <row r="12" spans="2:9" ht="14.25" customHeight="1" x14ac:dyDescent="0.25"/>
    <row r="13" spans="2:9" ht="14.25" customHeight="1" x14ac:dyDescent="0.25"/>
    <row r="14" spans="2:9" ht="14.25" customHeight="1" x14ac:dyDescent="0.25"/>
    <row r="15" spans="2:9" ht="14.25" customHeight="1" x14ac:dyDescent="0.25"/>
    <row r="16" spans="2:9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2578125" defaultRowHeight="15" customHeight="1" x14ac:dyDescent="0.25"/>
  <cols>
    <col min="1" max="26" width="8.7109375" customWidth="1"/>
  </cols>
  <sheetData>
    <row r="1" ht="14.25" customHeight="1" x14ac:dyDescent="0.25"/>
    <row r="2" ht="14.25" customHeight="1" x14ac:dyDescent="0.25"/>
    <row r="3" ht="14.25" customHeight="1" x14ac:dyDescent="0.25"/>
    <row r="4" ht="14.25" customHeight="1" x14ac:dyDescent="0.25"/>
    <row r="5" ht="14.25" customHeight="1" x14ac:dyDescent="0.25"/>
    <row r="6" ht="14.25" customHeight="1" x14ac:dyDescent="0.25"/>
    <row r="7" ht="14.25" customHeight="1" x14ac:dyDescent="0.25"/>
    <row r="8" ht="14.25" customHeight="1" x14ac:dyDescent="0.25"/>
    <row r="9" ht="14.25" customHeight="1" x14ac:dyDescent="0.25"/>
    <row r="10" ht="14.25" customHeight="1" x14ac:dyDescent="0.25"/>
    <row r="11" ht="14.25" customHeight="1" x14ac:dyDescent="0.25"/>
    <row r="12" ht="14.25" customHeight="1" x14ac:dyDescent="0.25"/>
    <row r="13" ht="14.25" customHeight="1" x14ac:dyDescent="0.25"/>
    <row r="14" ht="14.25" customHeight="1" x14ac:dyDescent="0.25"/>
    <row r="15" ht="14.25" customHeight="1" x14ac:dyDescent="0.25"/>
    <row r="16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2578125" defaultRowHeight="15" customHeight="1" x14ac:dyDescent="0.25"/>
  <cols>
    <col min="1" max="26" width="8.7109375" customWidth="1"/>
  </cols>
  <sheetData>
    <row r="1" ht="14.25" customHeight="1" x14ac:dyDescent="0.25"/>
    <row r="2" ht="14.25" customHeight="1" x14ac:dyDescent="0.25"/>
    <row r="3" ht="14.25" customHeight="1" x14ac:dyDescent="0.25"/>
    <row r="4" ht="14.25" customHeight="1" x14ac:dyDescent="0.25"/>
    <row r="5" ht="14.25" customHeight="1" x14ac:dyDescent="0.25"/>
    <row r="6" ht="14.25" customHeight="1" x14ac:dyDescent="0.25"/>
    <row r="7" ht="14.25" customHeight="1" x14ac:dyDescent="0.25"/>
    <row r="8" ht="14.25" customHeight="1" x14ac:dyDescent="0.25"/>
    <row r="9" ht="14.25" customHeight="1" x14ac:dyDescent="0.25"/>
    <row r="10" ht="14.25" customHeight="1" x14ac:dyDescent="0.25"/>
    <row r="11" ht="14.25" customHeight="1" x14ac:dyDescent="0.25"/>
    <row r="12" ht="14.25" customHeight="1" x14ac:dyDescent="0.25"/>
    <row r="13" ht="14.25" customHeight="1" x14ac:dyDescent="0.25"/>
    <row r="14" ht="14.25" customHeight="1" x14ac:dyDescent="0.25"/>
    <row r="15" ht="14.25" customHeight="1" x14ac:dyDescent="0.25"/>
    <row r="16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BDS1</vt:lpstr>
      <vt:lpstr>Лист4</vt:lpstr>
      <vt:lpstr>Лист1</vt:lpstr>
      <vt:lpstr>Лист2</vt:lpstr>
      <vt:lpstr>Лист3</vt:lpstr>
      <vt:lpstr>Лист1!OLE_LINK3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Gavrish</cp:lastModifiedBy>
  <dcterms:modified xsi:type="dcterms:W3CDTF">2019-12-20T14:54:51Z</dcterms:modified>
</cp:coreProperties>
</file>