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\Соляник_ЮС\на сайт\"/>
    </mc:Choice>
  </mc:AlternateContent>
  <bookViews>
    <workbookView xWindow="0" yWindow="0" windowWidth="24000" windowHeight="9030" tabRatio="968" firstSheet="1" activeTab="1"/>
  </bookViews>
  <sheets>
    <sheet name="Лист1" sheetId="50" state="hidden" r:id="rId1"/>
    <sheet name="Заг тариф" sheetId="49" r:id="rId2"/>
    <sheet name="матер1" sheetId="31" state="hidden" r:id="rId3"/>
    <sheet name="Прибуд. терит" sheetId="7" state="hidden" r:id="rId4"/>
    <sheet name="мат.сіль" sheetId="55" state="hidden" r:id="rId5"/>
    <sheet name="сіль" sheetId="54" state="hidden" r:id="rId6"/>
    <sheet name="то ліфтів" sheetId="26" state="hidden" r:id="rId7"/>
    <sheet name="матер. тепло" sheetId="33" state="hidden" r:id="rId8"/>
    <sheet name="ТО тепло" sheetId="27" state="hidden" r:id="rId9"/>
    <sheet name="мат.вода" sheetId="37" state="hidden" r:id="rId10"/>
    <sheet name="ТО вода" sheetId="32" state="hidden" r:id="rId11"/>
    <sheet name="мат. канал" sheetId="38" state="hidden" r:id="rId12"/>
    <sheet name="ТО злив.кан" sheetId="35" state="hidden" r:id="rId13"/>
    <sheet name="Дератизац" sheetId="19" state="hidden" r:id="rId14"/>
    <sheet name="Дезінсекц" sheetId="20" state="hidden" r:id="rId15"/>
    <sheet name="Димовентканали" sheetId="18" state="hidden" r:id="rId16"/>
    <sheet name="мат вода" sheetId="45" state="hidden" r:id="rId17"/>
    <sheet name="ПР вода" sheetId="43" state="hidden" r:id="rId18"/>
    <sheet name="мат тепло" sheetId="46" state="hidden" r:id="rId19"/>
    <sheet name="ПР тепло" sheetId="42" state="hidden" r:id="rId20"/>
    <sheet name="мат елкт" sheetId="41" state="hidden" r:id="rId21"/>
    <sheet name="ПР елект" sheetId="40" state="hidden" r:id="rId22"/>
    <sheet name="мат. рул.шиф" sheetId="47" state="hidden" r:id="rId23"/>
    <sheet name="ПР шиф.рул." sheetId="48" state="hidden" r:id="rId24"/>
    <sheet name="мат.кон.елем" sheetId="39" state="hidden" r:id="rId25"/>
    <sheet name="ПР кон.елем" sheetId="22" state="hidden" r:id="rId26"/>
    <sheet name="Осв. місць заг.кор." sheetId="23" state="hidden" r:id="rId27"/>
    <sheet name="ЗП 92" sheetId="11" state="hidden" r:id="rId28"/>
    <sheet name="ЗП" sheetId="56" state="hidden" r:id="rId29"/>
    <sheet name="91" sheetId="13" state="hidden" r:id="rId30"/>
    <sheet name="92" sheetId="12" state="hidden" r:id="rId31"/>
    <sheet name="Утрмання" sheetId="52" state="hidden" r:id="rId32"/>
    <sheet name="прямі в-ти" sheetId="14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62913"/>
</workbook>
</file>

<file path=xl/calcChain.xml><?xml version="1.0" encoding="utf-8"?>
<calcChain xmlns="http://schemas.openxmlformats.org/spreadsheetml/2006/main">
  <c r="F9" i="20" l="1"/>
  <c r="D16" i="38" l="1"/>
  <c r="D17" i="38"/>
  <c r="D18" i="38"/>
  <c r="D19" i="38"/>
  <c r="D20" i="38"/>
  <c r="D21" i="38"/>
  <c r="D15" i="38"/>
  <c r="F11" i="39" l="1"/>
  <c r="F14" i="39"/>
  <c r="F15" i="39"/>
  <c r="F16" i="39"/>
  <c r="F17" i="39"/>
  <c r="F41" i="47"/>
  <c r="F40" i="47"/>
  <c r="F39" i="47"/>
  <c r="F38" i="47"/>
  <c r="F37" i="47"/>
  <c r="F36" i="47"/>
  <c r="F35" i="47"/>
  <c r="F34" i="47"/>
  <c r="F16" i="47"/>
  <c r="F17" i="47"/>
  <c r="F18" i="47"/>
  <c r="F19" i="47"/>
  <c r="F13" i="41"/>
  <c r="F14" i="46"/>
  <c r="F13" i="46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F14" i="45"/>
  <c r="D8" i="45"/>
  <c r="F8" i="45" s="1"/>
  <c r="D9" i="45"/>
  <c r="F9" i="45" s="1"/>
  <c r="D10" i="45"/>
  <c r="D11" i="45"/>
  <c r="F11" i="45" s="1"/>
  <c r="D12" i="45"/>
  <c r="F12" i="45" s="1"/>
  <c r="D7" i="45"/>
  <c r="F7" i="45" s="1"/>
  <c r="F10" i="45"/>
  <c r="F11" i="38"/>
  <c r="D13" i="38"/>
  <c r="D11" i="38"/>
  <c r="D10" i="38"/>
  <c r="F10" i="38" s="1"/>
  <c r="D9" i="38"/>
  <c r="D8" i="38"/>
  <c r="D7" i="38"/>
  <c r="D6" i="38"/>
  <c r="D14" i="55"/>
  <c r="F15" i="55"/>
  <c r="F16" i="55"/>
  <c r="F17" i="55"/>
  <c r="F18" i="55"/>
  <c r="F19" i="55"/>
  <c r="F20" i="55"/>
  <c r="F33" i="47" l="1"/>
  <c r="C31" i="52"/>
  <c r="G26" i="52"/>
  <c r="C26" i="52"/>
  <c r="G14" i="52"/>
  <c r="C14" i="52"/>
  <c r="C33" i="52" s="1"/>
  <c r="C12" i="12"/>
  <c r="C11" i="12"/>
  <c r="C9" i="12"/>
  <c r="C12" i="13"/>
  <c r="C11" i="13"/>
  <c r="C10" i="13"/>
  <c r="F77" i="56"/>
  <c r="L76" i="56"/>
  <c r="I76" i="56"/>
  <c r="N76" i="56" s="1"/>
  <c r="L75" i="56"/>
  <c r="N75" i="56" s="1"/>
  <c r="L74" i="56"/>
  <c r="N74" i="56" s="1"/>
  <c r="N73" i="56"/>
  <c r="L73" i="56"/>
  <c r="L72" i="56"/>
  <c r="J72" i="56"/>
  <c r="N72" i="56" s="1"/>
  <c r="L71" i="56"/>
  <c r="N71" i="56" s="1"/>
  <c r="N69" i="56"/>
  <c r="L68" i="56"/>
  <c r="N68" i="56" s="1"/>
  <c r="G9" i="26" s="1"/>
  <c r="G11" i="26" s="1"/>
  <c r="L67" i="56"/>
  <c r="N67" i="56" s="1"/>
  <c r="L66" i="56"/>
  <c r="N66" i="56" s="1"/>
  <c r="L65" i="56"/>
  <c r="N65" i="56" s="1"/>
  <c r="L64" i="56"/>
  <c r="N64" i="56" s="1"/>
  <c r="L63" i="56"/>
  <c r="H63" i="56"/>
  <c r="L62" i="56"/>
  <c r="H62" i="56"/>
  <c r="N62" i="56" s="1"/>
  <c r="L61" i="56"/>
  <c r="H61" i="56"/>
  <c r="N61" i="56" s="1"/>
  <c r="L60" i="56"/>
  <c r="H60" i="56"/>
  <c r="N60" i="56" s="1"/>
  <c r="M59" i="56"/>
  <c r="L59" i="56"/>
  <c r="I59" i="56"/>
  <c r="N59" i="56" s="1"/>
  <c r="L58" i="56"/>
  <c r="K58" i="56"/>
  <c r="J58" i="56"/>
  <c r="J77" i="56" s="1"/>
  <c r="J78" i="56" s="1"/>
  <c r="N57" i="56"/>
  <c r="L57" i="56"/>
  <c r="H57" i="56"/>
  <c r="L56" i="56"/>
  <c r="N56" i="56" s="1"/>
  <c r="H56" i="56"/>
  <c r="L55" i="56"/>
  <c r="H55" i="56"/>
  <c r="N55" i="56" s="1"/>
  <c r="L54" i="56"/>
  <c r="H54" i="56"/>
  <c r="L53" i="56"/>
  <c r="I53" i="56"/>
  <c r="H53" i="56"/>
  <c r="N53" i="56" s="1"/>
  <c r="M52" i="56"/>
  <c r="L52" i="56"/>
  <c r="I52" i="56"/>
  <c r="H52" i="56"/>
  <c r="N52" i="56" s="1"/>
  <c r="L51" i="56"/>
  <c r="I51" i="56"/>
  <c r="H51" i="56"/>
  <c r="N51" i="56" s="1"/>
  <c r="L50" i="56"/>
  <c r="I50" i="56"/>
  <c r="H50" i="56"/>
  <c r="L49" i="56"/>
  <c r="N49" i="56" s="1"/>
  <c r="N48" i="56"/>
  <c r="F7" i="55" s="1"/>
  <c r="F6" i="55" s="1"/>
  <c r="L48" i="56"/>
  <c r="K48" i="56"/>
  <c r="K77" i="56" s="1"/>
  <c r="K78" i="56" s="1"/>
  <c r="M45" i="56"/>
  <c r="M78" i="56" s="1"/>
  <c r="F45" i="56"/>
  <c r="F78" i="56" s="1"/>
  <c r="M4" i="56" s="1"/>
  <c r="L43" i="56"/>
  <c r="N43" i="56" s="1"/>
  <c r="L42" i="56"/>
  <c r="N42" i="56" s="1"/>
  <c r="N41" i="56"/>
  <c r="L41" i="56"/>
  <c r="L40" i="56"/>
  <c r="N40" i="56" s="1"/>
  <c r="L39" i="56"/>
  <c r="N39" i="56" s="1"/>
  <c r="L37" i="56"/>
  <c r="I37" i="56"/>
  <c r="I45" i="56" s="1"/>
  <c r="M35" i="56"/>
  <c r="L35" i="56"/>
  <c r="L33" i="56"/>
  <c r="N33" i="56" s="1"/>
  <c r="L32" i="56"/>
  <c r="N32" i="56" s="1"/>
  <c r="N31" i="56"/>
  <c r="L31" i="56"/>
  <c r="L30" i="56"/>
  <c r="N30" i="56" s="1"/>
  <c r="L29" i="56"/>
  <c r="N29" i="56" s="1"/>
  <c r="L27" i="56"/>
  <c r="N27" i="56" s="1"/>
  <c r="L25" i="56"/>
  <c r="N25" i="56" s="1"/>
  <c r="N24" i="56"/>
  <c r="L23" i="56"/>
  <c r="N23" i="56" s="1"/>
  <c r="L21" i="56"/>
  <c r="N21" i="56" s="1"/>
  <c r="L20" i="56"/>
  <c r="N20" i="56" s="1"/>
  <c r="L19" i="56"/>
  <c r="N19" i="56" s="1"/>
  <c r="L17" i="56"/>
  <c r="N17" i="56" s="1"/>
  <c r="L16" i="56"/>
  <c r="N16" i="56" s="1"/>
  <c r="L15" i="56"/>
  <c r="N15" i="56" s="1"/>
  <c r="D28" i="11"/>
  <c r="G27" i="11"/>
  <c r="H27" i="11" s="1"/>
  <c r="G26" i="11"/>
  <c r="H26" i="11" s="1"/>
  <c r="H25" i="11"/>
  <c r="H24" i="11"/>
  <c r="G24" i="11"/>
  <c r="G23" i="11"/>
  <c r="H23" i="11" s="1"/>
  <c r="H22" i="11"/>
  <c r="G22" i="11"/>
  <c r="G21" i="11"/>
  <c r="H21" i="11" s="1"/>
  <c r="G20" i="11"/>
  <c r="H20" i="11" s="1"/>
  <c r="G19" i="11"/>
  <c r="H19" i="11" s="1"/>
  <c r="G18" i="11"/>
  <c r="H18" i="11" s="1"/>
  <c r="G17" i="11"/>
  <c r="C161" i="23"/>
  <c r="E160" i="23"/>
  <c r="F160" i="23" s="1"/>
  <c r="G160" i="23" s="1"/>
  <c r="E159" i="23"/>
  <c r="F159" i="23" s="1"/>
  <c r="G159" i="23" s="1"/>
  <c r="E158" i="23"/>
  <c r="F158" i="23" s="1"/>
  <c r="G158" i="23" s="1"/>
  <c r="E157" i="23"/>
  <c r="F157" i="23" s="1"/>
  <c r="G157" i="23" s="1"/>
  <c r="E156" i="23"/>
  <c r="F156" i="23" s="1"/>
  <c r="G156" i="23" s="1"/>
  <c r="E155" i="23"/>
  <c r="F155" i="23" s="1"/>
  <c r="G155" i="23" s="1"/>
  <c r="E154" i="23"/>
  <c r="F154" i="23" s="1"/>
  <c r="G154" i="23" s="1"/>
  <c r="F153" i="23"/>
  <c r="G153" i="23" s="1"/>
  <c r="F152" i="23"/>
  <c r="G152" i="23" s="1"/>
  <c r="I152" i="23" s="1"/>
  <c r="E151" i="23"/>
  <c r="F151" i="23" s="1"/>
  <c r="G151" i="23" s="1"/>
  <c r="E150" i="23"/>
  <c r="F150" i="23" s="1"/>
  <c r="G150" i="23" s="1"/>
  <c r="E149" i="23"/>
  <c r="F149" i="23" s="1"/>
  <c r="G149" i="23" s="1"/>
  <c r="E148" i="23"/>
  <c r="F148" i="23" s="1"/>
  <c r="G148" i="23" s="1"/>
  <c r="E147" i="23"/>
  <c r="F147" i="23" s="1"/>
  <c r="G147" i="23" s="1"/>
  <c r="E146" i="23"/>
  <c r="F146" i="23" s="1"/>
  <c r="G146" i="23" s="1"/>
  <c r="E145" i="23"/>
  <c r="F145" i="23" s="1"/>
  <c r="G145" i="23" s="1"/>
  <c r="E144" i="23"/>
  <c r="F144" i="23" s="1"/>
  <c r="G144" i="23" s="1"/>
  <c r="E143" i="23"/>
  <c r="F143" i="23" s="1"/>
  <c r="G143" i="23" s="1"/>
  <c r="E142" i="23"/>
  <c r="F142" i="23" s="1"/>
  <c r="G142" i="23" s="1"/>
  <c r="E141" i="23"/>
  <c r="F141" i="23" s="1"/>
  <c r="G141" i="23" s="1"/>
  <c r="E140" i="23"/>
  <c r="F140" i="23" s="1"/>
  <c r="G140" i="23" s="1"/>
  <c r="E139" i="23"/>
  <c r="F139" i="23" s="1"/>
  <c r="G139" i="23" s="1"/>
  <c r="E138" i="23"/>
  <c r="F138" i="23" s="1"/>
  <c r="G138" i="23" s="1"/>
  <c r="E137" i="23"/>
  <c r="F137" i="23" s="1"/>
  <c r="G137" i="23" s="1"/>
  <c r="E136" i="23"/>
  <c r="F136" i="23" s="1"/>
  <c r="G136" i="23" s="1"/>
  <c r="E135" i="23"/>
  <c r="F135" i="23" s="1"/>
  <c r="G135" i="23" s="1"/>
  <c r="E134" i="23"/>
  <c r="F134" i="23" s="1"/>
  <c r="G134" i="23" s="1"/>
  <c r="F133" i="23"/>
  <c r="G133" i="23" s="1"/>
  <c r="F132" i="23"/>
  <c r="G132" i="23" s="1"/>
  <c r="F131" i="23"/>
  <c r="G131" i="23" s="1"/>
  <c r="I131" i="23" s="1"/>
  <c r="F130" i="23"/>
  <c r="G130" i="23" s="1"/>
  <c r="I130" i="23" s="1"/>
  <c r="F129" i="23"/>
  <c r="G129" i="23" s="1"/>
  <c r="F128" i="23"/>
  <c r="G128" i="23" s="1"/>
  <c r="E127" i="23"/>
  <c r="F127" i="23" s="1"/>
  <c r="G127" i="23" s="1"/>
  <c r="I127" i="23" s="1"/>
  <c r="E126" i="23"/>
  <c r="F126" i="23" s="1"/>
  <c r="G126" i="23" s="1"/>
  <c r="E125" i="23"/>
  <c r="F125" i="23" s="1"/>
  <c r="G125" i="23" s="1"/>
  <c r="I125" i="23" s="1"/>
  <c r="E124" i="23"/>
  <c r="F124" i="23" s="1"/>
  <c r="G124" i="23" s="1"/>
  <c r="E123" i="23"/>
  <c r="F123" i="23" s="1"/>
  <c r="G123" i="23" s="1"/>
  <c r="E122" i="23"/>
  <c r="F122" i="23" s="1"/>
  <c r="G122" i="23" s="1"/>
  <c r="E121" i="23"/>
  <c r="F121" i="23" s="1"/>
  <c r="G121" i="23" s="1"/>
  <c r="E120" i="23"/>
  <c r="F120" i="23" s="1"/>
  <c r="G120" i="23" s="1"/>
  <c r="E119" i="23"/>
  <c r="F119" i="23" s="1"/>
  <c r="G119" i="23" s="1"/>
  <c r="E118" i="23"/>
  <c r="F118" i="23" s="1"/>
  <c r="G118" i="23" s="1"/>
  <c r="E117" i="23"/>
  <c r="F117" i="23" s="1"/>
  <c r="G117" i="23" s="1"/>
  <c r="E116" i="23"/>
  <c r="F116" i="23" s="1"/>
  <c r="G116" i="23" s="1"/>
  <c r="E115" i="23"/>
  <c r="F115" i="23" s="1"/>
  <c r="G115" i="23" s="1"/>
  <c r="E114" i="23"/>
  <c r="F114" i="23" s="1"/>
  <c r="G114" i="23" s="1"/>
  <c r="E113" i="23"/>
  <c r="F113" i="23" s="1"/>
  <c r="G113" i="23" s="1"/>
  <c r="E112" i="23"/>
  <c r="F112" i="23" s="1"/>
  <c r="G112" i="23" s="1"/>
  <c r="E111" i="23"/>
  <c r="F111" i="23" s="1"/>
  <c r="G111" i="23" s="1"/>
  <c r="E110" i="23"/>
  <c r="F110" i="23" s="1"/>
  <c r="G110" i="23" s="1"/>
  <c r="E109" i="23"/>
  <c r="F109" i="23" s="1"/>
  <c r="G109" i="23" s="1"/>
  <c r="E108" i="23"/>
  <c r="F108" i="23" s="1"/>
  <c r="G108" i="23" s="1"/>
  <c r="E107" i="23"/>
  <c r="F107" i="23" s="1"/>
  <c r="G107" i="23" s="1"/>
  <c r="E106" i="23"/>
  <c r="F106" i="23" s="1"/>
  <c r="G106" i="23" s="1"/>
  <c r="E105" i="23"/>
  <c r="F105" i="23" s="1"/>
  <c r="G105" i="23" s="1"/>
  <c r="E104" i="23"/>
  <c r="F104" i="23" s="1"/>
  <c r="G104" i="23" s="1"/>
  <c r="E103" i="23"/>
  <c r="F103" i="23" s="1"/>
  <c r="G103" i="23" s="1"/>
  <c r="F102" i="23"/>
  <c r="G102" i="23" s="1"/>
  <c r="I102" i="23" s="1"/>
  <c r="G101" i="23"/>
  <c r="I101" i="23" s="1"/>
  <c r="F101" i="23"/>
  <c r="E100" i="23"/>
  <c r="F100" i="23" s="1"/>
  <c r="G100" i="23" s="1"/>
  <c r="E99" i="23"/>
  <c r="F99" i="23" s="1"/>
  <c r="G99" i="23" s="1"/>
  <c r="G98" i="23"/>
  <c r="E98" i="23"/>
  <c r="F98" i="23" s="1"/>
  <c r="E97" i="23"/>
  <c r="F97" i="23" s="1"/>
  <c r="G97" i="23" s="1"/>
  <c r="E96" i="23"/>
  <c r="F96" i="23" s="1"/>
  <c r="G96" i="23" s="1"/>
  <c r="E95" i="23"/>
  <c r="F95" i="23" s="1"/>
  <c r="G95" i="23" s="1"/>
  <c r="E94" i="23"/>
  <c r="F94" i="23" s="1"/>
  <c r="G94" i="23" s="1"/>
  <c r="E93" i="23"/>
  <c r="F93" i="23" s="1"/>
  <c r="G93" i="23" s="1"/>
  <c r="F92" i="23"/>
  <c r="G92" i="23" s="1"/>
  <c r="E91" i="23"/>
  <c r="F91" i="23" s="1"/>
  <c r="G91" i="23" s="1"/>
  <c r="E90" i="23"/>
  <c r="F90" i="23" s="1"/>
  <c r="G90" i="23" s="1"/>
  <c r="E89" i="23"/>
  <c r="F89" i="23" s="1"/>
  <c r="G89" i="23" s="1"/>
  <c r="E88" i="23"/>
  <c r="F88" i="23" s="1"/>
  <c r="G88" i="23" s="1"/>
  <c r="E87" i="23"/>
  <c r="F87" i="23" s="1"/>
  <c r="G87" i="23" s="1"/>
  <c r="E86" i="23"/>
  <c r="F86" i="23" s="1"/>
  <c r="G86" i="23" s="1"/>
  <c r="E85" i="23"/>
  <c r="F85" i="23" s="1"/>
  <c r="G85" i="23" s="1"/>
  <c r="E84" i="23"/>
  <c r="F84" i="23" s="1"/>
  <c r="G84" i="23" s="1"/>
  <c r="E83" i="23"/>
  <c r="F83" i="23" s="1"/>
  <c r="G83" i="23" s="1"/>
  <c r="E82" i="23"/>
  <c r="F82" i="23" s="1"/>
  <c r="G82" i="23" s="1"/>
  <c r="E81" i="23"/>
  <c r="F81" i="23" s="1"/>
  <c r="G81" i="23" s="1"/>
  <c r="E80" i="23"/>
  <c r="F80" i="23" s="1"/>
  <c r="G80" i="23" s="1"/>
  <c r="E79" i="23"/>
  <c r="F79" i="23" s="1"/>
  <c r="G79" i="23" s="1"/>
  <c r="E78" i="23"/>
  <c r="F78" i="23" s="1"/>
  <c r="G78" i="23" s="1"/>
  <c r="E77" i="23"/>
  <c r="F77" i="23" s="1"/>
  <c r="G77" i="23" s="1"/>
  <c r="E76" i="23"/>
  <c r="F76" i="23" s="1"/>
  <c r="G76" i="23" s="1"/>
  <c r="E75" i="23"/>
  <c r="F75" i="23" s="1"/>
  <c r="G75" i="23" s="1"/>
  <c r="E74" i="23"/>
  <c r="F74" i="23" s="1"/>
  <c r="G74" i="23" s="1"/>
  <c r="E73" i="23"/>
  <c r="F73" i="23" s="1"/>
  <c r="G73" i="23" s="1"/>
  <c r="F72" i="23"/>
  <c r="G72" i="23" s="1"/>
  <c r="E71" i="23"/>
  <c r="F71" i="23" s="1"/>
  <c r="G71" i="23" s="1"/>
  <c r="I71" i="23" s="1"/>
  <c r="E70" i="23"/>
  <c r="F70" i="23" s="1"/>
  <c r="G70" i="23" s="1"/>
  <c r="I70" i="23" s="1"/>
  <c r="E69" i="23"/>
  <c r="F69" i="23" s="1"/>
  <c r="G69" i="23" s="1"/>
  <c r="I69" i="23" s="1"/>
  <c r="E68" i="23"/>
  <c r="F68" i="23" s="1"/>
  <c r="G68" i="23" s="1"/>
  <c r="I68" i="23" s="1"/>
  <c r="E67" i="23"/>
  <c r="F67" i="23" s="1"/>
  <c r="G67" i="23" s="1"/>
  <c r="I67" i="23" s="1"/>
  <c r="E66" i="23"/>
  <c r="F66" i="23" s="1"/>
  <c r="G66" i="23" s="1"/>
  <c r="I66" i="23" s="1"/>
  <c r="E65" i="23"/>
  <c r="F65" i="23" s="1"/>
  <c r="G65" i="23" s="1"/>
  <c r="I65" i="23" s="1"/>
  <c r="E64" i="23"/>
  <c r="F64" i="23" s="1"/>
  <c r="G64" i="23" s="1"/>
  <c r="I64" i="23" s="1"/>
  <c r="E63" i="23"/>
  <c r="F63" i="23" s="1"/>
  <c r="G63" i="23" s="1"/>
  <c r="I63" i="23" s="1"/>
  <c r="E62" i="23"/>
  <c r="F62" i="23" s="1"/>
  <c r="G62" i="23" s="1"/>
  <c r="I62" i="23" s="1"/>
  <c r="E61" i="23"/>
  <c r="F61" i="23" s="1"/>
  <c r="G61" i="23" s="1"/>
  <c r="I61" i="23" s="1"/>
  <c r="E60" i="23"/>
  <c r="F60" i="23" s="1"/>
  <c r="G60" i="23" s="1"/>
  <c r="I60" i="23" s="1"/>
  <c r="F59" i="23"/>
  <c r="G59" i="23" s="1"/>
  <c r="I59" i="23" s="1"/>
  <c r="F58" i="23"/>
  <c r="G58" i="23" s="1"/>
  <c r="I58" i="23" s="1"/>
  <c r="F57" i="23"/>
  <c r="G57" i="23" s="1"/>
  <c r="E56" i="23"/>
  <c r="F56" i="23" s="1"/>
  <c r="G56" i="23" s="1"/>
  <c r="F55" i="23"/>
  <c r="G55" i="23" s="1"/>
  <c r="F54" i="23"/>
  <c r="G54" i="23" s="1"/>
  <c r="I54" i="23" s="1"/>
  <c r="G53" i="23"/>
  <c r="I53" i="23" s="1"/>
  <c r="F53" i="23"/>
  <c r="E52" i="23"/>
  <c r="F52" i="23" s="1"/>
  <c r="G52" i="23" s="1"/>
  <c r="E51" i="23"/>
  <c r="F51" i="23" s="1"/>
  <c r="G51" i="23" s="1"/>
  <c r="G50" i="23"/>
  <c r="E50" i="23"/>
  <c r="F50" i="23" s="1"/>
  <c r="E49" i="23"/>
  <c r="F49" i="23" s="1"/>
  <c r="G49" i="23" s="1"/>
  <c r="E48" i="23"/>
  <c r="F48" i="23" s="1"/>
  <c r="G48" i="23" s="1"/>
  <c r="E47" i="23"/>
  <c r="F47" i="23" s="1"/>
  <c r="G47" i="23" s="1"/>
  <c r="E46" i="23"/>
  <c r="F46" i="23" s="1"/>
  <c r="G46" i="23" s="1"/>
  <c r="F45" i="23"/>
  <c r="G45" i="23" s="1"/>
  <c r="F44" i="23"/>
  <c r="G44" i="23" s="1"/>
  <c r="F43" i="23"/>
  <c r="G43" i="23" s="1"/>
  <c r="I43" i="23" s="1"/>
  <c r="F42" i="23"/>
  <c r="G42" i="23" s="1"/>
  <c r="I42" i="23" s="1"/>
  <c r="F41" i="23"/>
  <c r="G41" i="23" s="1"/>
  <c r="F40" i="23"/>
  <c r="G40" i="23" s="1"/>
  <c r="F39" i="23"/>
  <c r="G39" i="23" s="1"/>
  <c r="I39" i="23" s="1"/>
  <c r="E38" i="23"/>
  <c r="F38" i="23" s="1"/>
  <c r="G38" i="23" s="1"/>
  <c r="E37" i="23"/>
  <c r="F37" i="23" s="1"/>
  <c r="G37" i="23" s="1"/>
  <c r="E36" i="23"/>
  <c r="F36" i="23" s="1"/>
  <c r="G36" i="23" s="1"/>
  <c r="E35" i="23"/>
  <c r="F35" i="23" s="1"/>
  <c r="G35" i="23" s="1"/>
  <c r="F34" i="23"/>
  <c r="G34" i="23" s="1"/>
  <c r="I34" i="23" s="1"/>
  <c r="F33" i="23"/>
  <c r="G33" i="23" s="1"/>
  <c r="F32" i="23"/>
  <c r="G32" i="23" s="1"/>
  <c r="F31" i="23"/>
  <c r="G31" i="23" s="1"/>
  <c r="I31" i="23" s="1"/>
  <c r="G30" i="23"/>
  <c r="I30" i="23" s="1"/>
  <c r="F30" i="23"/>
  <c r="F29" i="23"/>
  <c r="G29" i="23" s="1"/>
  <c r="G28" i="23"/>
  <c r="F28" i="23"/>
  <c r="F27" i="23"/>
  <c r="G27" i="23" s="1"/>
  <c r="I27" i="23" s="1"/>
  <c r="F26" i="23"/>
  <c r="G26" i="23" s="1"/>
  <c r="I26" i="23" s="1"/>
  <c r="F25" i="23"/>
  <c r="G25" i="23" s="1"/>
  <c r="F24" i="23"/>
  <c r="G24" i="23" s="1"/>
  <c r="F23" i="23"/>
  <c r="G23" i="23" s="1"/>
  <c r="I23" i="23" s="1"/>
  <c r="G22" i="23"/>
  <c r="I22" i="23" s="1"/>
  <c r="F22" i="23"/>
  <c r="F21" i="23"/>
  <c r="G21" i="23" s="1"/>
  <c r="G20" i="23"/>
  <c r="F20" i="23"/>
  <c r="F19" i="23"/>
  <c r="G19" i="23" s="1"/>
  <c r="I19" i="23" s="1"/>
  <c r="F18" i="23"/>
  <c r="G18" i="23" s="1"/>
  <c r="I18" i="23" s="1"/>
  <c r="F17" i="23"/>
  <c r="G17" i="23" s="1"/>
  <c r="F16" i="23"/>
  <c r="G16" i="23" s="1"/>
  <c r="E15" i="23"/>
  <c r="F15" i="23" s="1"/>
  <c r="G15" i="23" s="1"/>
  <c r="I15" i="23" s="1"/>
  <c r="F14" i="23"/>
  <c r="G14" i="23" s="1"/>
  <c r="I14" i="23" s="1"/>
  <c r="F13" i="23"/>
  <c r="G13" i="23" s="1"/>
  <c r="I13" i="23" s="1"/>
  <c r="G12" i="23"/>
  <c r="F12" i="23"/>
  <c r="F11" i="23"/>
  <c r="G11" i="23" s="1"/>
  <c r="F10" i="23"/>
  <c r="G10" i="23" s="1"/>
  <c r="I10" i="23" s="1"/>
  <c r="E10" i="23"/>
  <c r="E9" i="23"/>
  <c r="F9" i="23" s="1"/>
  <c r="G9" i="23" s="1"/>
  <c r="F8" i="23"/>
  <c r="G8" i="23" s="1"/>
  <c r="I8" i="23" s="1"/>
  <c r="E8" i="23"/>
  <c r="E7" i="23"/>
  <c r="F7" i="23" s="1"/>
  <c r="G7" i="23" s="1"/>
  <c r="I7" i="23" s="1"/>
  <c r="F6" i="23"/>
  <c r="G6" i="23" s="1"/>
  <c r="I6" i="23" s="1"/>
  <c r="E6" i="23"/>
  <c r="E5" i="23"/>
  <c r="F5" i="23" s="1"/>
  <c r="G5" i="23" s="1"/>
  <c r="I5" i="23" s="1"/>
  <c r="F4" i="23"/>
  <c r="G4" i="23" s="1"/>
  <c r="I4" i="23" s="1"/>
  <c r="E4" i="23"/>
  <c r="E3" i="23"/>
  <c r="C161" i="22"/>
  <c r="D160" i="22"/>
  <c r="D159" i="22"/>
  <c r="D157" i="22"/>
  <c r="D156" i="22"/>
  <c r="D152" i="22"/>
  <c r="D151" i="22"/>
  <c r="D150" i="22"/>
  <c r="D149" i="22"/>
  <c r="D147" i="22"/>
  <c r="D146" i="22"/>
  <c r="D145" i="22"/>
  <c r="D143" i="22"/>
  <c r="D142" i="22"/>
  <c r="D140" i="22"/>
  <c r="D138" i="22"/>
  <c r="D137" i="22"/>
  <c r="D134" i="22"/>
  <c r="D133" i="22"/>
  <c r="D132" i="22"/>
  <c r="D131" i="22"/>
  <c r="D129" i="22"/>
  <c r="D128" i="22"/>
  <c r="D126" i="22"/>
  <c r="D123" i="22"/>
  <c r="D122" i="22"/>
  <c r="D118" i="22"/>
  <c r="D117" i="22"/>
  <c r="D116" i="22"/>
  <c r="D115" i="22"/>
  <c r="D114" i="22"/>
  <c r="D111" i="22"/>
  <c r="D110" i="22"/>
  <c r="D109" i="22"/>
  <c r="D108" i="22"/>
  <c r="D107" i="22"/>
  <c r="D106" i="22"/>
  <c r="D105" i="22"/>
  <c r="D103" i="22"/>
  <c r="D101" i="22"/>
  <c r="D100" i="22"/>
  <c r="D99" i="22"/>
  <c r="D98" i="22"/>
  <c r="D97" i="22"/>
  <c r="D96" i="22"/>
  <c r="D95" i="22"/>
  <c r="D93" i="22"/>
  <c r="D92" i="22"/>
  <c r="D90" i="22"/>
  <c r="D89" i="22"/>
  <c r="D88" i="22"/>
  <c r="D87" i="22"/>
  <c r="D86" i="22"/>
  <c r="D85" i="22"/>
  <c r="D84" i="22"/>
  <c r="D83" i="22"/>
  <c r="D82" i="22"/>
  <c r="D81" i="22"/>
  <c r="D79" i="22"/>
  <c r="D77" i="22"/>
  <c r="D76" i="22"/>
  <c r="D73" i="22"/>
  <c r="D72" i="22"/>
  <c r="D71" i="22"/>
  <c r="D70" i="22"/>
  <c r="D69" i="22"/>
  <c r="D68" i="22"/>
  <c r="D67" i="22"/>
  <c r="D66" i="22"/>
  <c r="D65" i="22"/>
  <c r="D64" i="22"/>
  <c r="D63" i="22"/>
  <c r="D61" i="22"/>
  <c r="D60" i="22"/>
  <c r="D58" i="22"/>
  <c r="D57" i="22"/>
  <c r="D56" i="22"/>
  <c r="D55" i="22"/>
  <c r="D54" i="22"/>
  <c r="D52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161" i="22" s="1"/>
  <c r="D5" i="39" s="1"/>
  <c r="F6" i="39" s="1"/>
  <c r="D3" i="39" s="1"/>
  <c r="F29" i="39"/>
  <c r="F28" i="39"/>
  <c r="F27" i="39"/>
  <c r="F26" i="39"/>
  <c r="F25" i="39"/>
  <c r="F24" i="39"/>
  <c r="F23" i="39"/>
  <c r="F22" i="39"/>
  <c r="F21" i="39"/>
  <c r="F20" i="39"/>
  <c r="F19" i="39"/>
  <c r="F161" i="48"/>
  <c r="D161" i="48"/>
  <c r="D6" i="47" s="1"/>
  <c r="F8" i="47" s="1"/>
  <c r="C161" i="48"/>
  <c r="F45" i="47"/>
  <c r="F44" i="47"/>
  <c r="F43" i="47"/>
  <c r="D31" i="47"/>
  <c r="D47" i="47" s="1"/>
  <c r="F47" i="47" s="1"/>
  <c r="F23" i="47"/>
  <c r="F22" i="47"/>
  <c r="F14" i="47"/>
  <c r="F13" i="47"/>
  <c r="F12" i="47"/>
  <c r="F4" i="47"/>
  <c r="D15" i="47" s="1"/>
  <c r="F15" i="47" s="1"/>
  <c r="C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F22" i="41"/>
  <c r="F21" i="41"/>
  <c r="E161" i="42"/>
  <c r="C161" i="42"/>
  <c r="D80" i="42"/>
  <c r="D161" i="42" s="1"/>
  <c r="D4" i="46" s="1"/>
  <c r="F36" i="46"/>
  <c r="F35" i="46"/>
  <c r="F34" i="46"/>
  <c r="F33" i="46"/>
  <c r="F32" i="46"/>
  <c r="F31" i="46"/>
  <c r="D30" i="46"/>
  <c r="F30" i="46" s="1"/>
  <c r="F29" i="46"/>
  <c r="F28" i="46"/>
  <c r="F27" i="46"/>
  <c r="F26" i="46"/>
  <c r="F25" i="46"/>
  <c r="F24" i="46"/>
  <c r="F23" i="46"/>
  <c r="F22" i="46"/>
  <c r="D22" i="46"/>
  <c r="D21" i="46"/>
  <c r="F21" i="46" s="1"/>
  <c r="F20" i="46"/>
  <c r="D20" i="46"/>
  <c r="D19" i="46"/>
  <c r="F19" i="46" s="1"/>
  <c r="F18" i="46"/>
  <c r="D18" i="46"/>
  <c r="D17" i="46"/>
  <c r="F17" i="46" s="1"/>
  <c r="F16" i="46"/>
  <c r="F6" i="46"/>
  <c r="E161" i="43"/>
  <c r="F161" i="43" s="1"/>
  <c r="C161" i="43"/>
  <c r="D80" i="43"/>
  <c r="D161" i="43" s="1"/>
  <c r="D4" i="45" s="1"/>
  <c r="F31" i="45"/>
  <c r="F30" i="45"/>
  <c r="F29" i="45"/>
  <c r="F28" i="45"/>
  <c r="F27" i="45"/>
  <c r="F26" i="45"/>
  <c r="F25" i="45"/>
  <c r="F24" i="45"/>
  <c r="F23" i="45"/>
  <c r="D22" i="45"/>
  <c r="F22" i="45" s="1"/>
  <c r="D21" i="45"/>
  <c r="F21" i="45" s="1"/>
  <c r="D20" i="45"/>
  <c r="F20" i="45" s="1"/>
  <c r="D19" i="45"/>
  <c r="F19" i="45" s="1"/>
  <c r="D18" i="45"/>
  <c r="F18" i="45" s="1"/>
  <c r="D17" i="45"/>
  <c r="F17" i="45" s="1"/>
  <c r="F16" i="45"/>
  <c r="F13" i="45"/>
  <c r="F6" i="45" s="1"/>
  <c r="C161" i="18"/>
  <c r="D160" i="18"/>
  <c r="F160" i="18" s="1"/>
  <c r="G160" i="18" s="1"/>
  <c r="D159" i="18"/>
  <c r="F159" i="18" s="1"/>
  <c r="G159" i="18" s="1"/>
  <c r="D158" i="18"/>
  <c r="F158" i="18" s="1"/>
  <c r="G158" i="18" s="1"/>
  <c r="D157" i="18"/>
  <c r="F157" i="18" s="1"/>
  <c r="G157" i="18" s="1"/>
  <c r="D156" i="18"/>
  <c r="F156" i="18" s="1"/>
  <c r="G156" i="18" s="1"/>
  <c r="D155" i="18"/>
  <c r="F155" i="18" s="1"/>
  <c r="G155" i="18" s="1"/>
  <c r="F154" i="18"/>
  <c r="G154" i="18" s="1"/>
  <c r="D154" i="18"/>
  <c r="D153" i="18"/>
  <c r="F153" i="18" s="1"/>
  <c r="G153" i="18" s="1"/>
  <c r="F152" i="18"/>
  <c r="G152" i="18" s="1"/>
  <c r="D152" i="18"/>
  <c r="D151" i="18"/>
  <c r="F151" i="18" s="1"/>
  <c r="G151" i="18" s="1"/>
  <c r="D150" i="18"/>
  <c r="F150" i="18" s="1"/>
  <c r="G150" i="18" s="1"/>
  <c r="G149" i="18"/>
  <c r="D149" i="18"/>
  <c r="F149" i="18" s="1"/>
  <c r="D148" i="18"/>
  <c r="F148" i="18" s="1"/>
  <c r="G148" i="18" s="1"/>
  <c r="D147" i="18"/>
  <c r="F147" i="18" s="1"/>
  <c r="G147" i="18" s="1"/>
  <c r="D146" i="18"/>
  <c r="F146" i="18" s="1"/>
  <c r="G146" i="18" s="1"/>
  <c r="G145" i="18"/>
  <c r="D145" i="18"/>
  <c r="F145" i="18" s="1"/>
  <c r="D144" i="18"/>
  <c r="F144" i="18" s="1"/>
  <c r="G144" i="18" s="1"/>
  <c r="D143" i="18"/>
  <c r="F143" i="18" s="1"/>
  <c r="G143" i="18" s="1"/>
  <c r="F142" i="18"/>
  <c r="G142" i="18" s="1"/>
  <c r="D142" i="18"/>
  <c r="D141" i="18"/>
  <c r="F141" i="18" s="1"/>
  <c r="G141" i="18" s="1"/>
  <c r="F140" i="18"/>
  <c r="G140" i="18" s="1"/>
  <c r="D140" i="18"/>
  <c r="D139" i="18"/>
  <c r="F139" i="18" s="1"/>
  <c r="G139" i="18" s="1"/>
  <c r="D138" i="18"/>
  <c r="F138" i="18" s="1"/>
  <c r="G138" i="18" s="1"/>
  <c r="D137" i="18"/>
  <c r="F137" i="18" s="1"/>
  <c r="G137" i="18" s="1"/>
  <c r="D136" i="18"/>
  <c r="F136" i="18" s="1"/>
  <c r="G136" i="18" s="1"/>
  <c r="D135" i="18"/>
  <c r="F135" i="18" s="1"/>
  <c r="G135" i="18" s="1"/>
  <c r="F134" i="18"/>
  <c r="G134" i="18" s="1"/>
  <c r="D134" i="18"/>
  <c r="D133" i="18"/>
  <c r="F133" i="18" s="1"/>
  <c r="G133" i="18" s="1"/>
  <c r="F132" i="18"/>
  <c r="G132" i="18" s="1"/>
  <c r="D132" i="18"/>
  <c r="D131" i="18"/>
  <c r="F131" i="18" s="1"/>
  <c r="G131" i="18" s="1"/>
  <c r="F130" i="18"/>
  <c r="G130" i="18" s="1"/>
  <c r="D130" i="18"/>
  <c r="D129" i="18"/>
  <c r="F129" i="18" s="1"/>
  <c r="G129" i="18" s="1"/>
  <c r="F128" i="18"/>
  <c r="G128" i="18" s="1"/>
  <c r="D128" i="18"/>
  <c r="D127" i="18"/>
  <c r="F127" i="18" s="1"/>
  <c r="G127" i="18" s="1"/>
  <c r="D126" i="18"/>
  <c r="F126" i="18" s="1"/>
  <c r="G126" i="18" s="1"/>
  <c r="D125" i="18"/>
  <c r="F125" i="18" s="1"/>
  <c r="G125" i="18" s="1"/>
  <c r="D124" i="18"/>
  <c r="F124" i="18" s="1"/>
  <c r="G124" i="18" s="1"/>
  <c r="D123" i="18"/>
  <c r="F123" i="18" s="1"/>
  <c r="G123" i="18" s="1"/>
  <c r="F122" i="18"/>
  <c r="G122" i="18" s="1"/>
  <c r="D122" i="18"/>
  <c r="D121" i="18"/>
  <c r="F121" i="18" s="1"/>
  <c r="G121" i="18" s="1"/>
  <c r="D120" i="18"/>
  <c r="F120" i="18" s="1"/>
  <c r="G120" i="18" s="1"/>
  <c r="D119" i="18"/>
  <c r="F119" i="18" s="1"/>
  <c r="G119" i="18" s="1"/>
  <c r="D118" i="18"/>
  <c r="F118" i="18" s="1"/>
  <c r="G118" i="18" s="1"/>
  <c r="G117" i="18"/>
  <c r="D117" i="18"/>
  <c r="F117" i="18" s="1"/>
  <c r="D116" i="18"/>
  <c r="F116" i="18" s="1"/>
  <c r="G116" i="18" s="1"/>
  <c r="D115" i="18"/>
  <c r="F115" i="18" s="1"/>
  <c r="G115" i="18" s="1"/>
  <c r="D114" i="18"/>
  <c r="F114" i="18" s="1"/>
  <c r="G114" i="18" s="1"/>
  <c r="D113" i="18"/>
  <c r="F113" i="18" s="1"/>
  <c r="G113" i="18" s="1"/>
  <c r="D112" i="18"/>
  <c r="F112" i="18" s="1"/>
  <c r="G112" i="18" s="1"/>
  <c r="D111" i="18"/>
  <c r="F111" i="18" s="1"/>
  <c r="G111" i="18" s="1"/>
  <c r="F110" i="18"/>
  <c r="G110" i="18" s="1"/>
  <c r="D110" i="18"/>
  <c r="D109" i="18"/>
  <c r="F109" i="18" s="1"/>
  <c r="G109" i="18" s="1"/>
  <c r="D108" i="18"/>
  <c r="F108" i="18" s="1"/>
  <c r="G108" i="18" s="1"/>
  <c r="D107" i="18"/>
  <c r="F107" i="18" s="1"/>
  <c r="G107" i="18" s="1"/>
  <c r="D106" i="18"/>
  <c r="F106" i="18" s="1"/>
  <c r="G106" i="18" s="1"/>
  <c r="D105" i="18"/>
  <c r="F105" i="18" s="1"/>
  <c r="G105" i="18" s="1"/>
  <c r="D104" i="18"/>
  <c r="F104" i="18" s="1"/>
  <c r="G104" i="18" s="1"/>
  <c r="D103" i="18"/>
  <c r="F103" i="18" s="1"/>
  <c r="G103" i="18" s="1"/>
  <c r="F102" i="18"/>
  <c r="G102" i="18" s="1"/>
  <c r="D102" i="18"/>
  <c r="D101" i="18"/>
  <c r="F101" i="18" s="1"/>
  <c r="G101" i="18" s="1"/>
  <c r="F100" i="18"/>
  <c r="G100" i="18" s="1"/>
  <c r="D100" i="18"/>
  <c r="D99" i="18"/>
  <c r="F99" i="18" s="1"/>
  <c r="G99" i="18" s="1"/>
  <c r="D98" i="18"/>
  <c r="F98" i="18" s="1"/>
  <c r="G98" i="18" s="1"/>
  <c r="D97" i="18"/>
  <c r="F97" i="18" s="1"/>
  <c r="G97" i="18" s="1"/>
  <c r="D96" i="18"/>
  <c r="F96" i="18" s="1"/>
  <c r="G96" i="18" s="1"/>
  <c r="D95" i="18"/>
  <c r="F95" i="18" s="1"/>
  <c r="G95" i="18" s="1"/>
  <c r="D94" i="18"/>
  <c r="F94" i="18" s="1"/>
  <c r="G94" i="18" s="1"/>
  <c r="D93" i="18"/>
  <c r="F93" i="18" s="1"/>
  <c r="G93" i="18" s="1"/>
  <c r="D92" i="18"/>
  <c r="F92" i="18" s="1"/>
  <c r="G92" i="18" s="1"/>
  <c r="D91" i="18"/>
  <c r="F91" i="18" s="1"/>
  <c r="G91" i="18" s="1"/>
  <c r="F90" i="18"/>
  <c r="G90" i="18" s="1"/>
  <c r="D90" i="18"/>
  <c r="D89" i="18"/>
  <c r="F89" i="18" s="1"/>
  <c r="G89" i="18" s="1"/>
  <c r="F88" i="18"/>
  <c r="G88" i="18" s="1"/>
  <c r="D88" i="18"/>
  <c r="D87" i="18"/>
  <c r="F87" i="18" s="1"/>
  <c r="G87" i="18" s="1"/>
  <c r="D86" i="18"/>
  <c r="F86" i="18" s="1"/>
  <c r="G86" i="18" s="1"/>
  <c r="G85" i="18"/>
  <c r="D85" i="18"/>
  <c r="F85" i="18" s="1"/>
  <c r="D84" i="18"/>
  <c r="F84" i="18" s="1"/>
  <c r="G84" i="18" s="1"/>
  <c r="D83" i="18"/>
  <c r="F83" i="18" s="1"/>
  <c r="G83" i="18" s="1"/>
  <c r="F82" i="18"/>
  <c r="G82" i="18" s="1"/>
  <c r="D82" i="18"/>
  <c r="D81" i="18"/>
  <c r="F81" i="18" s="1"/>
  <c r="G81" i="18" s="1"/>
  <c r="F80" i="18"/>
  <c r="G80" i="18" s="1"/>
  <c r="D80" i="18"/>
  <c r="D79" i="18"/>
  <c r="F79" i="18" s="1"/>
  <c r="G79" i="18" s="1"/>
  <c r="F78" i="18"/>
  <c r="G78" i="18" s="1"/>
  <c r="D78" i="18"/>
  <c r="D77" i="18"/>
  <c r="F77" i="18" s="1"/>
  <c r="G77" i="18" s="1"/>
  <c r="D76" i="18"/>
  <c r="F76" i="18" s="1"/>
  <c r="G76" i="18" s="1"/>
  <c r="D75" i="18"/>
  <c r="F75" i="18" s="1"/>
  <c r="G75" i="18" s="1"/>
  <c r="D74" i="18"/>
  <c r="F74" i="18" s="1"/>
  <c r="G74" i="18" s="1"/>
  <c r="D73" i="18"/>
  <c r="F73" i="18" s="1"/>
  <c r="G73" i="18" s="1"/>
  <c r="F72" i="18"/>
  <c r="G72" i="18" s="1"/>
  <c r="D72" i="18"/>
  <c r="D71" i="18"/>
  <c r="F71" i="18" s="1"/>
  <c r="G71" i="18" s="1"/>
  <c r="F70" i="18"/>
  <c r="G70" i="18" s="1"/>
  <c r="D70" i="18"/>
  <c r="D69" i="18"/>
  <c r="F69" i="18" s="1"/>
  <c r="G69" i="18" s="1"/>
  <c r="F68" i="18"/>
  <c r="G68" i="18" s="1"/>
  <c r="D68" i="18"/>
  <c r="D67" i="18"/>
  <c r="F67" i="18" s="1"/>
  <c r="G67" i="18" s="1"/>
  <c r="F66" i="18"/>
  <c r="G66" i="18" s="1"/>
  <c r="D66" i="18"/>
  <c r="D65" i="18"/>
  <c r="F65" i="18" s="1"/>
  <c r="G65" i="18" s="1"/>
  <c r="D64" i="18"/>
  <c r="F64" i="18" s="1"/>
  <c r="G64" i="18" s="1"/>
  <c r="D63" i="18"/>
  <c r="F63" i="18" s="1"/>
  <c r="G63" i="18" s="1"/>
  <c r="D62" i="18"/>
  <c r="F62" i="18" s="1"/>
  <c r="G62" i="18" s="1"/>
  <c r="D61" i="18"/>
  <c r="F61" i="18" s="1"/>
  <c r="G61" i="18" s="1"/>
  <c r="D60" i="18"/>
  <c r="F60" i="18" s="1"/>
  <c r="G60" i="18" s="1"/>
  <c r="D59" i="18"/>
  <c r="F59" i="18" s="1"/>
  <c r="G59" i="18" s="1"/>
  <c r="F58" i="18"/>
  <c r="G58" i="18" s="1"/>
  <c r="D58" i="18"/>
  <c r="D57" i="18"/>
  <c r="F57" i="18" s="1"/>
  <c r="G57" i="18" s="1"/>
  <c r="F56" i="18"/>
  <c r="G56" i="18" s="1"/>
  <c r="D56" i="18"/>
  <c r="D55" i="18"/>
  <c r="F55" i="18" s="1"/>
  <c r="G55" i="18" s="1"/>
  <c r="D54" i="18"/>
  <c r="F54" i="18" s="1"/>
  <c r="G54" i="18" s="1"/>
  <c r="G53" i="18"/>
  <c r="D53" i="18"/>
  <c r="F53" i="18" s="1"/>
  <c r="D52" i="18"/>
  <c r="F52" i="18" s="1"/>
  <c r="G52" i="18" s="1"/>
  <c r="D51" i="18"/>
  <c r="F51" i="18" s="1"/>
  <c r="G51" i="18" s="1"/>
  <c r="F50" i="18"/>
  <c r="G50" i="18" s="1"/>
  <c r="D50" i="18"/>
  <c r="D49" i="18"/>
  <c r="F49" i="18" s="1"/>
  <c r="G49" i="18" s="1"/>
  <c r="F48" i="18"/>
  <c r="G48" i="18" s="1"/>
  <c r="D48" i="18"/>
  <c r="D47" i="18"/>
  <c r="F47" i="18" s="1"/>
  <c r="G47" i="18" s="1"/>
  <c r="F46" i="18"/>
  <c r="G46" i="18" s="1"/>
  <c r="D46" i="18"/>
  <c r="D45" i="18"/>
  <c r="F45" i="18" s="1"/>
  <c r="G45" i="18" s="1"/>
  <c r="D44" i="18"/>
  <c r="F44" i="18" s="1"/>
  <c r="G44" i="18" s="1"/>
  <c r="D43" i="18"/>
  <c r="F43" i="18" s="1"/>
  <c r="G43" i="18" s="1"/>
  <c r="D42" i="18"/>
  <c r="F42" i="18" s="1"/>
  <c r="G42" i="18" s="1"/>
  <c r="D41" i="18"/>
  <c r="F41" i="18" s="1"/>
  <c r="G41" i="18" s="1"/>
  <c r="D40" i="18"/>
  <c r="F40" i="18" s="1"/>
  <c r="G40" i="18" s="1"/>
  <c r="D39" i="18"/>
  <c r="F39" i="18" s="1"/>
  <c r="G39" i="18" s="1"/>
  <c r="F38" i="18"/>
  <c r="G38" i="18" s="1"/>
  <c r="D38" i="18"/>
  <c r="D37" i="18"/>
  <c r="F37" i="18" s="1"/>
  <c r="G37" i="18" s="1"/>
  <c r="F36" i="18"/>
  <c r="G36" i="18" s="1"/>
  <c r="D36" i="18"/>
  <c r="D35" i="18"/>
  <c r="F35" i="18" s="1"/>
  <c r="G35" i="18" s="1"/>
  <c r="D34" i="18"/>
  <c r="F34" i="18" s="1"/>
  <c r="G34" i="18" s="1"/>
  <c r="D33" i="18"/>
  <c r="F33" i="18" s="1"/>
  <c r="G33" i="18" s="1"/>
  <c r="D32" i="18"/>
  <c r="F32" i="18" s="1"/>
  <c r="G32" i="18" s="1"/>
  <c r="D31" i="18"/>
  <c r="F31" i="18" s="1"/>
  <c r="G31" i="18" s="1"/>
  <c r="F30" i="18"/>
  <c r="G30" i="18" s="1"/>
  <c r="D30" i="18"/>
  <c r="D29" i="18"/>
  <c r="F29" i="18" s="1"/>
  <c r="G29" i="18" s="1"/>
  <c r="D28" i="18"/>
  <c r="F28" i="18" s="1"/>
  <c r="G28" i="18" s="1"/>
  <c r="F27" i="18"/>
  <c r="G27" i="18" s="1"/>
  <c r="D26" i="18"/>
  <c r="F26" i="18" s="1"/>
  <c r="G26" i="18" s="1"/>
  <c r="D25" i="18"/>
  <c r="F25" i="18" s="1"/>
  <c r="G25" i="18" s="1"/>
  <c r="G24" i="18"/>
  <c r="D24" i="18"/>
  <c r="F24" i="18" s="1"/>
  <c r="D23" i="18"/>
  <c r="F23" i="18" s="1"/>
  <c r="G23" i="18" s="1"/>
  <c r="D22" i="18"/>
  <c r="F22" i="18" s="1"/>
  <c r="G22" i="18" s="1"/>
  <c r="G21" i="18"/>
  <c r="D21" i="18"/>
  <c r="F21" i="18" s="1"/>
  <c r="D20" i="18"/>
  <c r="F20" i="18" s="1"/>
  <c r="G20" i="18" s="1"/>
  <c r="D19" i="18"/>
  <c r="F19" i="18" s="1"/>
  <c r="G19" i="18" s="1"/>
  <c r="D18" i="18"/>
  <c r="F18" i="18" s="1"/>
  <c r="G18" i="18" s="1"/>
  <c r="F17" i="18"/>
  <c r="G17" i="18" s="1"/>
  <c r="D17" i="18"/>
  <c r="D16" i="18"/>
  <c r="F16" i="18" s="1"/>
  <c r="G16" i="18" s="1"/>
  <c r="D15" i="18"/>
  <c r="F15" i="18" s="1"/>
  <c r="G15" i="18" s="1"/>
  <c r="D14" i="18"/>
  <c r="F14" i="18" s="1"/>
  <c r="G14" i="18" s="1"/>
  <c r="F13" i="18"/>
  <c r="G13" i="18" s="1"/>
  <c r="D13" i="18"/>
  <c r="D12" i="18"/>
  <c r="F12" i="18" s="1"/>
  <c r="G12" i="18" s="1"/>
  <c r="D11" i="18"/>
  <c r="F11" i="18" s="1"/>
  <c r="G11" i="18" s="1"/>
  <c r="D10" i="18"/>
  <c r="F10" i="18" s="1"/>
  <c r="G10" i="18" s="1"/>
  <c r="D9" i="18"/>
  <c r="F9" i="18" s="1"/>
  <c r="G9" i="18" s="1"/>
  <c r="F8" i="18"/>
  <c r="G8" i="18" s="1"/>
  <c r="D8" i="18"/>
  <c r="D7" i="18"/>
  <c r="F7" i="18" s="1"/>
  <c r="G7" i="18" s="1"/>
  <c r="D6" i="18"/>
  <c r="F6" i="18" s="1"/>
  <c r="G6" i="18" s="1"/>
  <c r="D5" i="18"/>
  <c r="F5" i="18" s="1"/>
  <c r="G5" i="18" s="1"/>
  <c r="F4" i="18"/>
  <c r="G4" i="18" s="1"/>
  <c r="D4" i="18"/>
  <c r="D3" i="18"/>
  <c r="D161" i="20"/>
  <c r="F161" i="20" s="1"/>
  <c r="C161" i="20"/>
  <c r="G160" i="20"/>
  <c r="F160" i="20"/>
  <c r="F159" i="20"/>
  <c r="G159" i="20" s="1"/>
  <c r="G158" i="20"/>
  <c r="F158" i="20"/>
  <c r="F156" i="20"/>
  <c r="G156" i="20" s="1"/>
  <c r="F155" i="20"/>
  <c r="G155" i="20" s="1"/>
  <c r="F154" i="20"/>
  <c r="G154" i="20" s="1"/>
  <c r="F153" i="20"/>
  <c r="G153" i="20" s="1"/>
  <c r="F152" i="20"/>
  <c r="G152" i="20" s="1"/>
  <c r="G151" i="20"/>
  <c r="F151" i="20"/>
  <c r="F150" i="20"/>
  <c r="G150" i="20" s="1"/>
  <c r="F149" i="20"/>
  <c r="G149" i="20" s="1"/>
  <c r="F148" i="20"/>
  <c r="G148" i="20" s="1"/>
  <c r="F147" i="20"/>
  <c r="G147" i="20" s="1"/>
  <c r="F146" i="20"/>
  <c r="G146" i="20" s="1"/>
  <c r="F145" i="20"/>
  <c r="G145" i="20" s="1"/>
  <c r="F144" i="20"/>
  <c r="G144" i="20" s="1"/>
  <c r="G143" i="20"/>
  <c r="F143" i="20"/>
  <c r="F142" i="20"/>
  <c r="G142" i="20" s="1"/>
  <c r="G141" i="20"/>
  <c r="F141" i="20"/>
  <c r="F140" i="20"/>
  <c r="G140" i="20" s="1"/>
  <c r="F139" i="20"/>
  <c r="G139" i="20" s="1"/>
  <c r="F138" i="20"/>
  <c r="G138" i="20" s="1"/>
  <c r="F137" i="20"/>
  <c r="G137" i="20" s="1"/>
  <c r="F136" i="20"/>
  <c r="G136" i="20" s="1"/>
  <c r="G135" i="20"/>
  <c r="F135" i="20"/>
  <c r="F134" i="20"/>
  <c r="G134" i="20" s="1"/>
  <c r="F133" i="20"/>
  <c r="G133" i="20" s="1"/>
  <c r="F132" i="20"/>
  <c r="G132" i="20" s="1"/>
  <c r="F131" i="20"/>
  <c r="G131" i="20" s="1"/>
  <c r="F129" i="20"/>
  <c r="G129" i="20" s="1"/>
  <c r="F128" i="20"/>
  <c r="G128" i="20" s="1"/>
  <c r="F127" i="20"/>
  <c r="G127" i="20" s="1"/>
  <c r="G126" i="20"/>
  <c r="F126" i="20"/>
  <c r="F125" i="20"/>
  <c r="G125" i="20" s="1"/>
  <c r="G124" i="20"/>
  <c r="F124" i="20"/>
  <c r="F123" i="20"/>
  <c r="G123" i="20" s="1"/>
  <c r="F122" i="20"/>
  <c r="G122" i="20" s="1"/>
  <c r="F121" i="20"/>
  <c r="G121" i="20" s="1"/>
  <c r="F120" i="20"/>
  <c r="G120" i="20" s="1"/>
  <c r="F119" i="20"/>
  <c r="G119" i="20" s="1"/>
  <c r="G118" i="20"/>
  <c r="F118" i="20"/>
  <c r="F117" i="20"/>
  <c r="G117" i="20" s="1"/>
  <c r="F116" i="20"/>
  <c r="G116" i="20" s="1"/>
  <c r="F115" i="20"/>
  <c r="G115" i="20" s="1"/>
  <c r="F114" i="20"/>
  <c r="G114" i="20" s="1"/>
  <c r="F113" i="20"/>
  <c r="G113" i="20" s="1"/>
  <c r="F112" i="20"/>
  <c r="G112" i="20" s="1"/>
  <c r="F111" i="20"/>
  <c r="G111" i="20" s="1"/>
  <c r="G110" i="20"/>
  <c r="F110" i="20"/>
  <c r="F109" i="20"/>
  <c r="G109" i="20" s="1"/>
  <c r="G108" i="20"/>
  <c r="F108" i="20"/>
  <c r="F106" i="20"/>
  <c r="G106" i="20" s="1"/>
  <c r="F105" i="20"/>
  <c r="G105" i="20" s="1"/>
  <c r="F104" i="20"/>
  <c r="G104" i="20" s="1"/>
  <c r="F103" i="20"/>
  <c r="G103" i="20" s="1"/>
  <c r="F102" i="20"/>
  <c r="G102" i="20" s="1"/>
  <c r="G101" i="20"/>
  <c r="F101" i="20"/>
  <c r="F100" i="20"/>
  <c r="G100" i="20" s="1"/>
  <c r="F99" i="20"/>
  <c r="G99" i="20" s="1"/>
  <c r="F98" i="20"/>
  <c r="G98" i="20" s="1"/>
  <c r="F97" i="20"/>
  <c r="G97" i="20" s="1"/>
  <c r="F96" i="20"/>
  <c r="G96" i="20" s="1"/>
  <c r="F95" i="20"/>
  <c r="G95" i="20" s="1"/>
  <c r="F94" i="20"/>
  <c r="G94" i="20" s="1"/>
  <c r="G93" i="20"/>
  <c r="F93" i="20"/>
  <c r="F92" i="20"/>
  <c r="G92" i="20" s="1"/>
  <c r="G91" i="20"/>
  <c r="F91" i="20"/>
  <c r="F90" i="20"/>
  <c r="G90" i="20" s="1"/>
  <c r="F89" i="20"/>
  <c r="G89" i="20" s="1"/>
  <c r="F88" i="20"/>
  <c r="G88" i="20" s="1"/>
  <c r="F87" i="20"/>
  <c r="G87" i="20" s="1"/>
  <c r="F86" i="20"/>
  <c r="G86" i="20" s="1"/>
  <c r="G85" i="20"/>
  <c r="F85" i="20"/>
  <c r="F84" i="20"/>
  <c r="G84" i="20" s="1"/>
  <c r="F83" i="20"/>
  <c r="G83" i="20" s="1"/>
  <c r="F78" i="20"/>
  <c r="G78" i="20" s="1"/>
  <c r="F77" i="20"/>
  <c r="G77" i="20" s="1"/>
  <c r="F73" i="20"/>
  <c r="G73" i="20" s="1"/>
  <c r="F72" i="20"/>
  <c r="G72" i="20" s="1"/>
  <c r="F59" i="20"/>
  <c r="G59" i="20" s="1"/>
  <c r="G58" i="20"/>
  <c r="F58" i="20"/>
  <c r="F57" i="20"/>
  <c r="G57" i="20" s="1"/>
  <c r="G56" i="20"/>
  <c r="F56" i="20"/>
  <c r="F54" i="20"/>
  <c r="G54" i="20" s="1"/>
  <c r="F53" i="20"/>
  <c r="G53" i="20" s="1"/>
  <c r="F51" i="20"/>
  <c r="G51" i="20" s="1"/>
  <c r="F50" i="20"/>
  <c r="G50" i="20" s="1"/>
  <c r="F45" i="20"/>
  <c r="G45" i="20" s="1"/>
  <c r="G42" i="20"/>
  <c r="F42" i="20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19" i="20"/>
  <c r="G19" i="20" s="1"/>
  <c r="G18" i="20"/>
  <c r="F18" i="20"/>
  <c r="F17" i="20"/>
  <c r="G17" i="20" s="1"/>
  <c r="G16" i="20"/>
  <c r="F16" i="20"/>
  <c r="F13" i="20"/>
  <c r="G13" i="20" s="1"/>
  <c r="F12" i="20"/>
  <c r="G12" i="20" s="1"/>
  <c r="F11" i="20"/>
  <c r="G11" i="20" s="1"/>
  <c r="G9" i="20"/>
  <c r="D161" i="19"/>
  <c r="F161" i="19" s="1"/>
  <c r="C161" i="19"/>
  <c r="F160" i="19"/>
  <c r="G160" i="19" s="1"/>
  <c r="F159" i="19"/>
  <c r="G159" i="19" s="1"/>
  <c r="F158" i="19"/>
  <c r="G158" i="19" s="1"/>
  <c r="F156" i="19"/>
  <c r="G156" i="19" s="1"/>
  <c r="F155" i="19"/>
  <c r="G155" i="19" s="1"/>
  <c r="F154" i="19"/>
  <c r="G154" i="19" s="1"/>
  <c r="F153" i="19"/>
  <c r="G153" i="19" s="1"/>
  <c r="F152" i="19"/>
  <c r="G152" i="19" s="1"/>
  <c r="F151" i="19"/>
  <c r="G151" i="19" s="1"/>
  <c r="G150" i="19"/>
  <c r="F150" i="19"/>
  <c r="F149" i="19"/>
  <c r="G149" i="19" s="1"/>
  <c r="G148" i="19"/>
  <c r="F148" i="19"/>
  <c r="F147" i="19"/>
  <c r="G147" i="19" s="1"/>
  <c r="G146" i="19"/>
  <c r="F146" i="19"/>
  <c r="F145" i="19"/>
  <c r="G145" i="19" s="1"/>
  <c r="G144" i="19"/>
  <c r="F144" i="19"/>
  <c r="F143" i="19"/>
  <c r="G143" i="19" s="1"/>
  <c r="G142" i="19"/>
  <c r="F142" i="19"/>
  <c r="F141" i="19"/>
  <c r="G141" i="19" s="1"/>
  <c r="G140" i="19"/>
  <c r="F140" i="19"/>
  <c r="F139" i="19"/>
  <c r="G139" i="19" s="1"/>
  <c r="G138" i="19"/>
  <c r="F138" i="19"/>
  <c r="F137" i="19"/>
  <c r="G137" i="19" s="1"/>
  <c r="G136" i="19"/>
  <c r="F136" i="19"/>
  <c r="F135" i="19"/>
  <c r="G135" i="19" s="1"/>
  <c r="G134" i="19"/>
  <c r="F134" i="19"/>
  <c r="F133" i="19"/>
  <c r="G133" i="19" s="1"/>
  <c r="G132" i="19"/>
  <c r="F132" i="19"/>
  <c r="F131" i="19"/>
  <c r="G131" i="19" s="1"/>
  <c r="G129" i="19"/>
  <c r="F129" i="19"/>
  <c r="F128" i="19"/>
  <c r="G128" i="19" s="1"/>
  <c r="G127" i="19"/>
  <c r="F127" i="19"/>
  <c r="F126" i="19"/>
  <c r="G126" i="19" s="1"/>
  <c r="G125" i="19"/>
  <c r="F125" i="19"/>
  <c r="F124" i="19"/>
  <c r="G124" i="19" s="1"/>
  <c r="G123" i="19"/>
  <c r="F123" i="19"/>
  <c r="F122" i="19"/>
  <c r="G122" i="19" s="1"/>
  <c r="G121" i="19"/>
  <c r="F121" i="19"/>
  <c r="F120" i="19"/>
  <c r="G120" i="19" s="1"/>
  <c r="G119" i="19"/>
  <c r="F119" i="19"/>
  <c r="F118" i="19"/>
  <c r="G118" i="19" s="1"/>
  <c r="G117" i="19"/>
  <c r="F117" i="19"/>
  <c r="F116" i="19"/>
  <c r="G116" i="19" s="1"/>
  <c r="G115" i="19"/>
  <c r="F115" i="19"/>
  <c r="F114" i="19"/>
  <c r="G114" i="19" s="1"/>
  <c r="G113" i="19"/>
  <c r="F113" i="19"/>
  <c r="F112" i="19"/>
  <c r="G112" i="19" s="1"/>
  <c r="G111" i="19"/>
  <c r="F111" i="19"/>
  <c r="F110" i="19"/>
  <c r="G110" i="19" s="1"/>
  <c r="G109" i="19"/>
  <c r="F109" i="19"/>
  <c r="F108" i="19"/>
  <c r="G108" i="19" s="1"/>
  <c r="G106" i="19"/>
  <c r="F106" i="19"/>
  <c r="F105" i="19"/>
  <c r="G105" i="19" s="1"/>
  <c r="G104" i="19"/>
  <c r="F104" i="19"/>
  <c r="F103" i="19"/>
  <c r="G103" i="19" s="1"/>
  <c r="G102" i="19"/>
  <c r="F102" i="19"/>
  <c r="F101" i="19"/>
  <c r="G101" i="19" s="1"/>
  <c r="G100" i="19"/>
  <c r="F100" i="19"/>
  <c r="F99" i="19"/>
  <c r="G99" i="19" s="1"/>
  <c r="G98" i="19"/>
  <c r="F98" i="19"/>
  <c r="F97" i="19"/>
  <c r="G97" i="19" s="1"/>
  <c r="G96" i="19"/>
  <c r="F96" i="19"/>
  <c r="F95" i="19"/>
  <c r="G95" i="19" s="1"/>
  <c r="G94" i="19"/>
  <c r="F94" i="19"/>
  <c r="F93" i="19"/>
  <c r="G93" i="19" s="1"/>
  <c r="G92" i="19"/>
  <c r="F92" i="19"/>
  <c r="F91" i="19"/>
  <c r="G91" i="19" s="1"/>
  <c r="G90" i="19"/>
  <c r="F90" i="19"/>
  <c r="F89" i="19"/>
  <c r="G89" i="19" s="1"/>
  <c r="G88" i="19"/>
  <c r="F88" i="19"/>
  <c r="F87" i="19"/>
  <c r="G87" i="19" s="1"/>
  <c r="G86" i="19"/>
  <c r="F86" i="19"/>
  <c r="F85" i="19"/>
  <c r="G85" i="19" s="1"/>
  <c r="G84" i="19"/>
  <c r="F84" i="19"/>
  <c r="F83" i="19"/>
  <c r="G83" i="19" s="1"/>
  <c r="G78" i="19"/>
  <c r="F78" i="19"/>
  <c r="F77" i="19"/>
  <c r="G77" i="19" s="1"/>
  <c r="G73" i="19"/>
  <c r="F73" i="19"/>
  <c r="F72" i="19"/>
  <c r="G72" i="19" s="1"/>
  <c r="G59" i="19"/>
  <c r="F59" i="19"/>
  <c r="F58" i="19"/>
  <c r="G58" i="19" s="1"/>
  <c r="G57" i="19"/>
  <c r="F57" i="19"/>
  <c r="F56" i="19"/>
  <c r="G56" i="19" s="1"/>
  <c r="G54" i="19"/>
  <c r="F54" i="19"/>
  <c r="F53" i="19"/>
  <c r="G53" i="19" s="1"/>
  <c r="G51" i="19"/>
  <c r="F51" i="19"/>
  <c r="F50" i="19"/>
  <c r="G50" i="19" s="1"/>
  <c r="G45" i="19"/>
  <c r="F45" i="19"/>
  <c r="F42" i="19"/>
  <c r="G42" i="19" s="1"/>
  <c r="G28" i="19"/>
  <c r="F28" i="19"/>
  <c r="F27" i="19"/>
  <c r="G27" i="19" s="1"/>
  <c r="G26" i="19"/>
  <c r="F26" i="19"/>
  <c r="F25" i="19"/>
  <c r="G25" i="19" s="1"/>
  <c r="G24" i="19"/>
  <c r="F24" i="19"/>
  <c r="F23" i="19"/>
  <c r="G23" i="19" s="1"/>
  <c r="G19" i="19"/>
  <c r="F19" i="19"/>
  <c r="F18" i="19"/>
  <c r="G18" i="19" s="1"/>
  <c r="G17" i="19"/>
  <c r="F17" i="19"/>
  <c r="F16" i="19"/>
  <c r="G16" i="19" s="1"/>
  <c r="G13" i="19"/>
  <c r="F13" i="19"/>
  <c r="F12" i="19"/>
  <c r="G12" i="19" s="1"/>
  <c r="G11" i="19"/>
  <c r="F11" i="19"/>
  <c r="F9" i="19"/>
  <c r="G9" i="19" s="1"/>
  <c r="E161" i="35"/>
  <c r="C161" i="35"/>
  <c r="D80" i="35"/>
  <c r="D161" i="35" s="1"/>
  <c r="D4" i="38" s="1"/>
  <c r="F25" i="38"/>
  <c r="F24" i="38"/>
  <c r="F23" i="38"/>
  <c r="F22" i="38"/>
  <c r="F21" i="38"/>
  <c r="F20" i="38"/>
  <c r="F19" i="38"/>
  <c r="F18" i="38"/>
  <c r="F17" i="38"/>
  <c r="F16" i="38"/>
  <c r="F15" i="38"/>
  <c r="D14" i="38"/>
  <c r="F14" i="38" s="1"/>
  <c r="F13" i="38"/>
  <c r="F9" i="38"/>
  <c r="F8" i="38"/>
  <c r="F7" i="38"/>
  <c r="F6" i="38"/>
  <c r="C161" i="32"/>
  <c r="D80" i="32"/>
  <c r="D161" i="32" s="1"/>
  <c r="D5" i="37" s="1"/>
  <c r="F6" i="37" s="1"/>
  <c r="D3" i="37" s="1"/>
  <c r="F38" i="37"/>
  <c r="F37" i="37"/>
  <c r="F36" i="37"/>
  <c r="F35" i="37"/>
  <c r="F34" i="37"/>
  <c r="C161" i="27"/>
  <c r="D80" i="27"/>
  <c r="D161" i="27" s="1"/>
  <c r="D5" i="33" s="1"/>
  <c r="F6" i="33" s="1"/>
  <c r="D3" i="33" s="1"/>
  <c r="F37" i="33"/>
  <c r="F36" i="33"/>
  <c r="F35" i="33"/>
  <c r="F33" i="33"/>
  <c r="F31" i="33"/>
  <c r="F30" i="33"/>
  <c r="F28" i="33"/>
  <c r="F27" i="33"/>
  <c r="F26" i="33"/>
  <c r="F25" i="33"/>
  <c r="E9" i="26"/>
  <c r="F11" i="26" s="1"/>
  <c r="D9" i="26"/>
  <c r="C10" i="14" s="1"/>
  <c r="C9" i="26"/>
  <c r="I8" i="26"/>
  <c r="I7" i="26"/>
  <c r="I6" i="26"/>
  <c r="I5" i="26"/>
  <c r="I4" i="26"/>
  <c r="I3" i="26"/>
  <c r="I9" i="26" s="1"/>
  <c r="D161" i="54"/>
  <c r="C161" i="54"/>
  <c r="F12" i="55"/>
  <c r="F11" i="55"/>
  <c r="F10" i="55" s="1"/>
  <c r="F8" i="55"/>
  <c r="D3" i="55"/>
  <c r="D4" i="55" s="1"/>
  <c r="C161" i="7"/>
  <c r="D160" i="7"/>
  <c r="D159" i="7"/>
  <c r="D157" i="7"/>
  <c r="D156" i="7"/>
  <c r="D155" i="7"/>
  <c r="D153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4" i="7"/>
  <c r="D123" i="7"/>
  <c r="D121" i="7"/>
  <c r="D120" i="7"/>
  <c r="D119" i="7"/>
  <c r="D118" i="7"/>
  <c r="D117" i="7"/>
  <c r="D116" i="7"/>
  <c r="D114" i="7"/>
  <c r="D113" i="7"/>
  <c r="D111" i="7"/>
  <c r="D110" i="7"/>
  <c r="D108" i="7"/>
  <c r="D107" i="7"/>
  <c r="D106" i="7"/>
  <c r="D105" i="7"/>
  <c r="D104" i="7"/>
  <c r="D103" i="7"/>
  <c r="D102" i="7"/>
  <c r="D101" i="7"/>
  <c r="D100" i="7"/>
  <c r="D95" i="7"/>
  <c r="D91" i="7"/>
  <c r="D90" i="7"/>
  <c r="D89" i="7"/>
  <c r="D88" i="7"/>
  <c r="D87" i="7"/>
  <c r="D86" i="7"/>
  <c r="D83" i="7"/>
  <c r="D82" i="7"/>
  <c r="D81" i="7"/>
  <c r="D80" i="7"/>
  <c r="D78" i="7"/>
  <c r="D77" i="7"/>
  <c r="D76" i="7"/>
  <c r="D75" i="7"/>
  <c r="D71" i="7"/>
  <c r="D70" i="7"/>
  <c r="D69" i="7"/>
  <c r="D65" i="7"/>
  <c r="D62" i="7"/>
  <c r="D59" i="7"/>
  <c r="D54" i="7"/>
  <c r="D53" i="7"/>
  <c r="D51" i="7"/>
  <c r="D46" i="7"/>
  <c r="D33" i="7"/>
  <c r="D24" i="7"/>
  <c r="D19" i="7"/>
  <c r="D7" i="7"/>
  <c r="D3" i="7"/>
  <c r="F23" i="31"/>
  <c r="E164" i="35" l="1"/>
  <c r="E161" i="23"/>
  <c r="F161" i="23" s="1"/>
  <c r="G161" i="23" s="1"/>
  <c r="I161" i="23" s="1"/>
  <c r="F3" i="23"/>
  <c r="G3" i="23" s="1"/>
  <c r="I3" i="23" s="1"/>
  <c r="D161" i="7"/>
  <c r="D3" i="31" s="1"/>
  <c r="F4" i="31" s="1"/>
  <c r="D4" i="31" s="1"/>
  <c r="O49" i="56"/>
  <c r="C16" i="13" s="1"/>
  <c r="N35" i="56"/>
  <c r="C8" i="13" s="1"/>
  <c r="O76" i="56"/>
  <c r="N54" i="56"/>
  <c r="N58" i="56"/>
  <c r="N63" i="56"/>
  <c r="O69" i="56" s="1"/>
  <c r="C18" i="13" s="1"/>
  <c r="D18" i="13" s="1"/>
  <c r="H77" i="56"/>
  <c r="H78" i="56" s="1"/>
  <c r="G38" i="52"/>
  <c r="D161" i="40"/>
  <c r="D5" i="41" s="1"/>
  <c r="F6" i="41" s="1"/>
  <c r="D3" i="41" s="1"/>
  <c r="F18" i="39"/>
  <c r="N37" i="56"/>
  <c r="L77" i="56"/>
  <c r="I77" i="56"/>
  <c r="I78" i="56" s="1"/>
  <c r="C10" i="12"/>
  <c r="F8" i="26"/>
  <c r="G8" i="26" s="1"/>
  <c r="H8" i="26" s="1"/>
  <c r="F7" i="26"/>
  <c r="G7" i="26" s="1"/>
  <c r="H7" i="26" s="1"/>
  <c r="F6" i="26"/>
  <c r="G6" i="26" s="1"/>
  <c r="H6" i="26" s="1"/>
  <c r="F5" i="26"/>
  <c r="G5" i="26" s="1"/>
  <c r="H5" i="26" s="1"/>
  <c r="F4" i="26"/>
  <c r="G4" i="26" s="1"/>
  <c r="H4" i="26" s="1"/>
  <c r="F3" i="26"/>
  <c r="G3" i="26" s="1"/>
  <c r="H3" i="26" s="1"/>
  <c r="F5" i="55"/>
  <c r="E6" i="55"/>
  <c r="D24" i="33"/>
  <c r="F24" i="33" s="1"/>
  <c r="D23" i="33"/>
  <c r="F23" i="33" s="1"/>
  <c r="D22" i="33"/>
  <c r="F22" i="33" s="1"/>
  <c r="D15" i="33"/>
  <c r="F15" i="33" s="1"/>
  <c r="D11" i="33"/>
  <c r="F11" i="33" s="1"/>
  <c r="D12" i="33"/>
  <c r="F12" i="33" s="1"/>
  <c r="D8" i="33"/>
  <c r="F8" i="33" s="1"/>
  <c r="D29" i="33"/>
  <c r="F29" i="33" s="1"/>
  <c r="D13" i="33"/>
  <c r="F13" i="33" s="1"/>
  <c r="D9" i="33"/>
  <c r="F9" i="33" s="1"/>
  <c r="F7" i="33" s="1"/>
  <c r="D34" i="33"/>
  <c r="F34" i="33" s="1"/>
  <c r="D32" i="33"/>
  <c r="F32" i="33" s="1"/>
  <c r="D21" i="33"/>
  <c r="F21" i="33" s="1"/>
  <c r="D17" i="33"/>
  <c r="F17" i="33" s="1"/>
  <c r="D10" i="33"/>
  <c r="F10" i="33" s="1"/>
  <c r="E161" i="27"/>
  <c r="F161" i="27" s="1"/>
  <c r="D20" i="33"/>
  <c r="F20" i="33" s="1"/>
  <c r="D18" i="33"/>
  <c r="F18" i="33" s="1"/>
  <c r="D16" i="33"/>
  <c r="F16" i="33" s="1"/>
  <c r="D19" i="33"/>
  <c r="F19" i="33" s="1"/>
  <c r="I17" i="23"/>
  <c r="I45" i="23"/>
  <c r="I74" i="23"/>
  <c r="I90" i="23"/>
  <c r="I147" i="23"/>
  <c r="E79" i="35"/>
  <c r="E75" i="35"/>
  <c r="E67" i="35"/>
  <c r="E59" i="35"/>
  <c r="E51" i="35"/>
  <c r="E46" i="35"/>
  <c r="E42" i="35"/>
  <c r="E38" i="35"/>
  <c r="E34" i="35"/>
  <c r="E28" i="35"/>
  <c r="E24" i="35"/>
  <c r="E20" i="35"/>
  <c r="E16" i="35"/>
  <c r="E12" i="35"/>
  <c r="E7" i="35"/>
  <c r="E3" i="35"/>
  <c r="E73" i="35"/>
  <c r="E65" i="35"/>
  <c r="E57" i="35"/>
  <c r="E49" i="35"/>
  <c r="E45" i="35"/>
  <c r="E41" i="35"/>
  <c r="E37" i="35"/>
  <c r="E33" i="35"/>
  <c r="E27" i="35"/>
  <c r="E23" i="35"/>
  <c r="E19" i="35"/>
  <c r="E15" i="35"/>
  <c r="E11" i="35"/>
  <c r="E6" i="35"/>
  <c r="E71" i="35"/>
  <c r="E63" i="35"/>
  <c r="E55" i="35"/>
  <c r="E48" i="35"/>
  <c r="E44" i="35"/>
  <c r="E40" i="35"/>
  <c r="E36" i="35"/>
  <c r="E30" i="35"/>
  <c r="E26" i="35"/>
  <c r="E22" i="35"/>
  <c r="E18" i="35"/>
  <c r="E14" i="35"/>
  <c r="E10" i="35"/>
  <c r="E5" i="35"/>
  <c r="D17" i="37"/>
  <c r="F17" i="37" s="1"/>
  <c r="D21" i="37"/>
  <c r="D25" i="37"/>
  <c r="F25" i="37" s="1"/>
  <c r="D29" i="37"/>
  <c r="D18" i="37"/>
  <c r="D22" i="37"/>
  <c r="D26" i="37"/>
  <c r="D30" i="37"/>
  <c r="F30" i="37" s="1"/>
  <c r="D19" i="37"/>
  <c r="F19" i="37" s="1"/>
  <c r="D23" i="37"/>
  <c r="F23" i="37" s="1"/>
  <c r="D27" i="37"/>
  <c r="D31" i="37"/>
  <c r="D20" i="37"/>
  <c r="F20" i="37" s="1"/>
  <c r="D24" i="37"/>
  <c r="D28" i="37"/>
  <c r="F28" i="37" s="1"/>
  <c r="D15" i="37"/>
  <c r="D16" i="37"/>
  <c r="F16" i="37" s="1"/>
  <c r="I25" i="23"/>
  <c r="I55" i="23"/>
  <c r="I82" i="23"/>
  <c r="I97" i="23"/>
  <c r="E17" i="35"/>
  <c r="E35" i="35"/>
  <c r="E53" i="35"/>
  <c r="I33" i="23"/>
  <c r="I49" i="23"/>
  <c r="I78" i="23"/>
  <c r="I86" i="23"/>
  <c r="I93" i="23"/>
  <c r="I134" i="23"/>
  <c r="I151" i="23"/>
  <c r="C9" i="14"/>
  <c r="G161" i="19"/>
  <c r="G161" i="20"/>
  <c r="D161" i="18"/>
  <c r="F3" i="18"/>
  <c r="G3" i="18" s="1"/>
  <c r="D11" i="41"/>
  <c r="D20" i="41"/>
  <c r="D19" i="41"/>
  <c r="I46" i="23"/>
  <c r="I56" i="23"/>
  <c r="I94" i="23"/>
  <c r="I128" i="23"/>
  <c r="I135" i="23"/>
  <c r="I138" i="23"/>
  <c r="I142" i="23"/>
  <c r="H28" i="11"/>
  <c r="I28" i="11" s="1"/>
  <c r="I57" i="23"/>
  <c r="I72" i="23"/>
  <c r="I132" i="23"/>
  <c r="I139" i="23"/>
  <c r="I153" i="23"/>
  <c r="I157" i="23"/>
  <c r="I16" i="23"/>
  <c r="I24" i="23"/>
  <c r="I32" i="23"/>
  <c r="I44" i="23"/>
  <c r="I73" i="23"/>
  <c r="I77" i="23"/>
  <c r="I81" i="23"/>
  <c r="I85" i="23"/>
  <c r="I89" i="23"/>
  <c r="I133" i="23"/>
  <c r="I146" i="23"/>
  <c r="I150" i="23"/>
  <c r="I154" i="23"/>
  <c r="N45" i="56"/>
  <c r="D16" i="13"/>
  <c r="I35" i="23"/>
  <c r="I51" i="23"/>
  <c r="I80" i="23"/>
  <c r="I88" i="23"/>
  <c r="I99" i="23"/>
  <c r="I104" i="23"/>
  <c r="I108" i="23"/>
  <c r="I112" i="23"/>
  <c r="I116" i="23"/>
  <c r="I120" i="23"/>
  <c r="I124" i="23"/>
  <c r="I144" i="23"/>
  <c r="I149" i="23"/>
  <c r="I156" i="23"/>
  <c r="I159" i="23"/>
  <c r="L45" i="56"/>
  <c r="N50" i="56"/>
  <c r="E163" i="42"/>
  <c r="E146" i="42" s="1"/>
  <c r="I9" i="23"/>
  <c r="I11" i="23"/>
  <c r="I21" i="23"/>
  <c r="I28" i="23"/>
  <c r="I36" i="23"/>
  <c r="I41" i="23"/>
  <c r="I47" i="23"/>
  <c r="I52" i="23"/>
  <c r="I75" i="23"/>
  <c r="I83" i="23"/>
  <c r="I91" i="23"/>
  <c r="I95" i="23"/>
  <c r="I100" i="23"/>
  <c r="I105" i="23"/>
  <c r="I109" i="23"/>
  <c r="I113" i="23"/>
  <c r="I117" i="23"/>
  <c r="I121" i="23"/>
  <c r="I140" i="23"/>
  <c r="I145" i="23"/>
  <c r="I160" i="23"/>
  <c r="F161" i="42"/>
  <c r="G161" i="42" s="1"/>
  <c r="G161" i="48"/>
  <c r="G163" i="48" s="1"/>
  <c r="I37" i="23"/>
  <c r="I48" i="23"/>
  <c r="I76" i="23"/>
  <c r="I84" i="23"/>
  <c r="I96" i="23"/>
  <c r="I106" i="23"/>
  <c r="I110" i="23"/>
  <c r="I114" i="23"/>
  <c r="I118" i="23"/>
  <c r="I122" i="23"/>
  <c r="I126" i="23"/>
  <c r="I136" i="23"/>
  <c r="I141" i="23"/>
  <c r="I12" i="23"/>
  <c r="I20" i="23"/>
  <c r="I29" i="23"/>
  <c r="I38" i="23"/>
  <c r="I40" i="23"/>
  <c r="I50" i="23"/>
  <c r="I79" i="23"/>
  <c r="I87" i="23"/>
  <c r="I92" i="23"/>
  <c r="I98" i="23"/>
  <c r="I103" i="23"/>
  <c r="I107" i="23"/>
  <c r="I111" i="23"/>
  <c r="I115" i="23"/>
  <c r="I119" i="23"/>
  <c r="I123" i="23"/>
  <c r="I129" i="23"/>
  <c r="I137" i="23"/>
  <c r="I143" i="23"/>
  <c r="I148" i="23"/>
  <c r="I155" i="23"/>
  <c r="I158" i="23"/>
  <c r="F15" i="46"/>
  <c r="F38" i="46" s="1"/>
  <c r="F39" i="46" s="1"/>
  <c r="E52" i="35"/>
  <c r="E56" i="35"/>
  <c r="E60" i="35"/>
  <c r="E64" i="35"/>
  <c r="E68" i="35"/>
  <c r="E72" i="35"/>
  <c r="E76" i="35"/>
  <c r="F5" i="38"/>
  <c r="E50" i="35"/>
  <c r="E54" i="35"/>
  <c r="E58" i="35"/>
  <c r="E62" i="35"/>
  <c r="E66" i="35"/>
  <c r="E70" i="35"/>
  <c r="E74" i="35"/>
  <c r="D25" i="47"/>
  <c r="F25" i="47" s="1"/>
  <c r="D21" i="47"/>
  <c r="F21" i="47" s="1"/>
  <c r="D24" i="47"/>
  <c r="F24" i="47" s="1"/>
  <c r="D46" i="47"/>
  <c r="F46" i="47" s="1"/>
  <c r="F42" i="47" s="1"/>
  <c r="F49" i="47" s="1"/>
  <c r="F50" i="47" s="1"/>
  <c r="F11" i="47"/>
  <c r="D16" i="31"/>
  <c r="F16" i="31" s="1"/>
  <c r="D26" i="31"/>
  <c r="D18" i="31"/>
  <c r="F18" i="31" s="1"/>
  <c r="F10" i="39"/>
  <c r="D13" i="39"/>
  <c r="F13" i="39" s="1"/>
  <c r="D12" i="39"/>
  <c r="F12" i="39" s="1"/>
  <c r="E161" i="22"/>
  <c r="F7" i="47"/>
  <c r="H161" i="48"/>
  <c r="F163" i="48"/>
  <c r="D10" i="41"/>
  <c r="F10" i="41" s="1"/>
  <c r="F9" i="41" s="1"/>
  <c r="E161" i="40"/>
  <c r="D12" i="41"/>
  <c r="F12" i="41" s="1"/>
  <c r="D16" i="41"/>
  <c r="F16" i="41" s="1"/>
  <c r="F20" i="41"/>
  <c r="D18" i="41"/>
  <c r="F18" i="41" s="1"/>
  <c r="D15" i="41"/>
  <c r="F15" i="41" s="1"/>
  <c r="F11" i="41"/>
  <c r="D17" i="41"/>
  <c r="F17" i="41" s="1"/>
  <c r="F19" i="41"/>
  <c r="E114" i="42"/>
  <c r="E130" i="42"/>
  <c r="E69" i="42"/>
  <c r="E94" i="42"/>
  <c r="E142" i="42"/>
  <c r="E159" i="42"/>
  <c r="E147" i="42"/>
  <c r="E143" i="42"/>
  <c r="E131" i="42"/>
  <c r="E127" i="42"/>
  <c r="E115" i="42"/>
  <c r="E111" i="42"/>
  <c r="E99" i="42"/>
  <c r="E95" i="42"/>
  <c r="E83" i="42"/>
  <c r="E78" i="42"/>
  <c r="E66" i="42"/>
  <c r="E62" i="42"/>
  <c r="E50" i="42"/>
  <c r="E160" i="42"/>
  <c r="E148" i="42"/>
  <c r="E144" i="42"/>
  <c r="E132" i="42"/>
  <c r="E128" i="42"/>
  <c r="E116" i="42"/>
  <c r="E112" i="42"/>
  <c r="E100" i="42"/>
  <c r="E96" i="42"/>
  <c r="E84" i="42"/>
  <c r="E80" i="42"/>
  <c r="E71" i="42"/>
  <c r="E67" i="42"/>
  <c r="E55" i="42"/>
  <c r="E51" i="42"/>
  <c r="E149" i="42"/>
  <c r="E145" i="42"/>
  <c r="E133" i="42"/>
  <c r="E129" i="42"/>
  <c r="E117" i="42"/>
  <c r="E113" i="42"/>
  <c r="E101" i="42"/>
  <c r="E97" i="42"/>
  <c r="E85" i="42"/>
  <c r="E81" i="42"/>
  <c r="E68" i="42"/>
  <c r="E64" i="42"/>
  <c r="E52" i="42"/>
  <c r="F163" i="42"/>
  <c r="F15" i="45"/>
  <c r="F33" i="45" s="1"/>
  <c r="F34" i="45" s="1"/>
  <c r="E163" i="43"/>
  <c r="E39" i="43"/>
  <c r="F163" i="43"/>
  <c r="G161" i="43"/>
  <c r="F12" i="38"/>
  <c r="E77" i="35"/>
  <c r="F161" i="35"/>
  <c r="E160" i="35"/>
  <c r="E159" i="35"/>
  <c r="E158" i="35"/>
  <c r="E157" i="35"/>
  <c r="E156" i="35"/>
  <c r="E155" i="35"/>
  <c r="E154" i="35"/>
  <c r="E153" i="35"/>
  <c r="E152" i="35"/>
  <c r="E151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F21" i="37"/>
  <c r="F15" i="37"/>
  <c r="D13" i="37"/>
  <c r="F13" i="37" s="1"/>
  <c r="D9" i="37"/>
  <c r="F9" i="37" s="1"/>
  <c r="D12" i="37"/>
  <c r="F12" i="37" s="1"/>
  <c r="D8" i="37"/>
  <c r="F8" i="37" s="1"/>
  <c r="D11" i="37"/>
  <c r="F11" i="37" s="1"/>
  <c r="D10" i="37"/>
  <c r="F10" i="37" s="1"/>
  <c r="F29" i="37"/>
  <c r="F32" i="37"/>
  <c r="E161" i="32"/>
  <c r="F33" i="37"/>
  <c r="F31" i="37"/>
  <c r="F26" i="37"/>
  <c r="F24" i="37"/>
  <c r="F22" i="37"/>
  <c r="F18" i="37"/>
  <c r="F27" i="37"/>
  <c r="E161" i="54"/>
  <c r="F14" i="55"/>
  <c r="F13" i="55" s="1"/>
  <c r="D11" i="31"/>
  <c r="F11" i="31" s="1"/>
  <c r="D15" i="31"/>
  <c r="F15" i="31" s="1"/>
  <c r="D14" i="31"/>
  <c r="F14" i="31" s="1"/>
  <c r="D30" i="31"/>
  <c r="F30" i="31" s="1"/>
  <c r="D28" i="31"/>
  <c r="F28" i="31" s="1"/>
  <c r="F26" i="31"/>
  <c r="D24" i="31"/>
  <c r="F24" i="31" s="1"/>
  <c r="D12" i="31"/>
  <c r="F12" i="31" s="1"/>
  <c r="E161" i="7"/>
  <c r="D21" i="31"/>
  <c r="F21" i="31" s="1"/>
  <c r="D13" i="31"/>
  <c r="F13" i="31" s="1"/>
  <c r="D10" i="31"/>
  <c r="F10" i="31" s="1"/>
  <c r="D25" i="31"/>
  <c r="F25" i="31" s="1"/>
  <c r="D20" i="31"/>
  <c r="F20" i="31" s="1"/>
  <c r="D27" i="31"/>
  <c r="F27" i="31" s="1"/>
  <c r="D22" i="31"/>
  <c r="F22" i="31" s="1"/>
  <c r="D19" i="31"/>
  <c r="F19" i="31" s="1"/>
  <c r="D29" i="31"/>
  <c r="F29" i="31" s="1"/>
  <c r="E56" i="42" l="1"/>
  <c r="E72" i="42"/>
  <c r="F72" i="42" s="1"/>
  <c r="G72" i="42" s="1"/>
  <c r="E89" i="42"/>
  <c r="F89" i="42" s="1"/>
  <c r="G89" i="42" s="1"/>
  <c r="E105" i="42"/>
  <c r="E121" i="42"/>
  <c r="E137" i="42"/>
  <c r="F137" i="42" s="1"/>
  <c r="G137" i="42" s="1"/>
  <c r="E153" i="42"/>
  <c r="F153" i="42" s="1"/>
  <c r="G153" i="42" s="1"/>
  <c r="E59" i="42"/>
  <c r="E75" i="42"/>
  <c r="E88" i="42"/>
  <c r="I88" i="42" s="1"/>
  <c r="E104" i="42"/>
  <c r="F104" i="42" s="1"/>
  <c r="G104" i="42" s="1"/>
  <c r="E120" i="42"/>
  <c r="E136" i="42"/>
  <c r="E152" i="42"/>
  <c r="I152" i="42" s="1"/>
  <c r="E54" i="42"/>
  <c r="F54" i="42" s="1"/>
  <c r="G54" i="42" s="1"/>
  <c r="E70" i="42"/>
  <c r="E87" i="42"/>
  <c r="E103" i="42"/>
  <c r="F103" i="42" s="1"/>
  <c r="G103" i="42" s="1"/>
  <c r="E119" i="42"/>
  <c r="F119" i="42" s="1"/>
  <c r="G119" i="42" s="1"/>
  <c r="E135" i="42"/>
  <c r="E151" i="42"/>
  <c r="E126" i="42"/>
  <c r="F126" i="42" s="1"/>
  <c r="G126" i="42" s="1"/>
  <c r="E53" i="42"/>
  <c r="F53" i="42" s="1"/>
  <c r="G53" i="42" s="1"/>
  <c r="E98" i="42"/>
  <c r="O59" i="56"/>
  <c r="C17" i="13" s="1"/>
  <c r="E69" i="35"/>
  <c r="E39" i="35"/>
  <c r="E13" i="35"/>
  <c r="E78" i="35"/>
  <c r="E43" i="35"/>
  <c r="E61" i="35"/>
  <c r="E29" i="35"/>
  <c r="E9" i="35"/>
  <c r="E47" i="35"/>
  <c r="E25" i="35"/>
  <c r="E4" i="35"/>
  <c r="E21" i="35"/>
  <c r="E33" i="43"/>
  <c r="E156" i="43"/>
  <c r="E60" i="42"/>
  <c r="E76" i="42"/>
  <c r="E93" i="42"/>
  <c r="I93" i="42" s="1"/>
  <c r="E109" i="42"/>
  <c r="E125" i="42"/>
  <c r="E141" i="42"/>
  <c r="E157" i="42"/>
  <c r="I157" i="42" s="1"/>
  <c r="E63" i="42"/>
  <c r="E79" i="42"/>
  <c r="E92" i="42"/>
  <c r="I92" i="42" s="1"/>
  <c r="E108" i="42"/>
  <c r="E124" i="42"/>
  <c r="E140" i="42"/>
  <c r="E156" i="42"/>
  <c r="I156" i="42" s="1"/>
  <c r="E58" i="42"/>
  <c r="E74" i="42"/>
  <c r="E91" i="42"/>
  <c r="E107" i="42"/>
  <c r="I107" i="42" s="1"/>
  <c r="E123" i="42"/>
  <c r="I123" i="42" s="1"/>
  <c r="E139" i="42"/>
  <c r="E155" i="42"/>
  <c r="E110" i="42"/>
  <c r="I110" i="42" s="1"/>
  <c r="F20" i="47"/>
  <c r="F27" i="47" s="1"/>
  <c r="J161" i="48" s="1"/>
  <c r="L78" i="56"/>
  <c r="F14" i="33"/>
  <c r="F39" i="33" s="1"/>
  <c r="E77" i="43"/>
  <c r="F77" i="43" s="1"/>
  <c r="G77" i="43" s="1"/>
  <c r="E142" i="43"/>
  <c r="C9" i="13"/>
  <c r="C7" i="13" s="1"/>
  <c r="C6" i="13" s="1"/>
  <c r="G161" i="27"/>
  <c r="F163" i="27"/>
  <c r="C7" i="12"/>
  <c r="I29" i="11"/>
  <c r="C8" i="12" s="1"/>
  <c r="E163" i="18"/>
  <c r="F161" i="18"/>
  <c r="E163" i="27"/>
  <c r="H9" i="26"/>
  <c r="N77" i="56"/>
  <c r="N78" i="56" s="1"/>
  <c r="M5" i="56" s="1"/>
  <c r="E158" i="42"/>
  <c r="I158" i="42" s="1"/>
  <c r="E134" i="42"/>
  <c r="E102" i="42"/>
  <c r="I102" i="42" s="1"/>
  <c r="E154" i="42"/>
  <c r="F154" i="42" s="1"/>
  <c r="G154" i="42" s="1"/>
  <c r="E122" i="42"/>
  <c r="F122" i="42" s="1"/>
  <c r="G122" i="42" s="1"/>
  <c r="E90" i="42"/>
  <c r="E77" i="42"/>
  <c r="F77" i="42" s="1"/>
  <c r="G77" i="42" s="1"/>
  <c r="E57" i="42"/>
  <c r="F57" i="42" s="1"/>
  <c r="G57" i="42" s="1"/>
  <c r="E46" i="42"/>
  <c r="I46" i="42" s="1"/>
  <c r="E42" i="42"/>
  <c r="E38" i="42"/>
  <c r="F38" i="42" s="1"/>
  <c r="G38" i="42" s="1"/>
  <c r="E34" i="42"/>
  <c r="I34" i="42" s="1"/>
  <c r="E30" i="42"/>
  <c r="F30" i="42" s="1"/>
  <c r="G30" i="42" s="1"/>
  <c r="E26" i="42"/>
  <c r="E150" i="42"/>
  <c r="I150" i="42" s="1"/>
  <c r="E118" i="42"/>
  <c r="I118" i="42" s="1"/>
  <c r="E86" i="42"/>
  <c r="I86" i="42" s="1"/>
  <c r="E73" i="42"/>
  <c r="E49" i="42"/>
  <c r="F49" i="42" s="1"/>
  <c r="G49" i="42" s="1"/>
  <c r="E45" i="42"/>
  <c r="E41" i="42"/>
  <c r="I41" i="42" s="1"/>
  <c r="E37" i="42"/>
  <c r="E33" i="42"/>
  <c r="I33" i="42" s="1"/>
  <c r="E29" i="42"/>
  <c r="F29" i="42" s="1"/>
  <c r="G29" i="42" s="1"/>
  <c r="E25" i="42"/>
  <c r="I25" i="42" s="1"/>
  <c r="E138" i="42"/>
  <c r="E106" i="42"/>
  <c r="F106" i="42" s="1"/>
  <c r="G106" i="42" s="1"/>
  <c r="E82" i="42"/>
  <c r="F82" i="42" s="1"/>
  <c r="G82" i="42" s="1"/>
  <c r="E65" i="42"/>
  <c r="I65" i="42" s="1"/>
  <c r="E48" i="42"/>
  <c r="E44" i="42"/>
  <c r="F44" i="42" s="1"/>
  <c r="G44" i="42" s="1"/>
  <c r="E40" i="42"/>
  <c r="F40" i="42" s="1"/>
  <c r="G40" i="42" s="1"/>
  <c r="E61" i="42"/>
  <c r="I61" i="42" s="1"/>
  <c r="E36" i="42"/>
  <c r="E28" i="42"/>
  <c r="F28" i="42" s="1"/>
  <c r="G28" i="42" s="1"/>
  <c r="E22" i="42"/>
  <c r="F22" i="42" s="1"/>
  <c r="G22" i="42" s="1"/>
  <c r="E18" i="42"/>
  <c r="I18" i="42" s="1"/>
  <c r="E14" i="42"/>
  <c r="E10" i="42"/>
  <c r="F10" i="42" s="1"/>
  <c r="G10" i="42" s="1"/>
  <c r="E6" i="42"/>
  <c r="I6" i="42" s="1"/>
  <c r="E47" i="42"/>
  <c r="F47" i="42" s="1"/>
  <c r="G47" i="42" s="1"/>
  <c r="E35" i="42"/>
  <c r="E27" i="42"/>
  <c r="F27" i="42" s="1"/>
  <c r="G27" i="42" s="1"/>
  <c r="E21" i="42"/>
  <c r="F21" i="42" s="1"/>
  <c r="G21" i="42" s="1"/>
  <c r="E17" i="42"/>
  <c r="F17" i="42" s="1"/>
  <c r="G17" i="42" s="1"/>
  <c r="E13" i="42"/>
  <c r="E9" i="42"/>
  <c r="F9" i="42" s="1"/>
  <c r="G9" i="42" s="1"/>
  <c r="E5" i="42"/>
  <c r="F5" i="42" s="1"/>
  <c r="G5" i="42" s="1"/>
  <c r="E43" i="42"/>
  <c r="E32" i="42"/>
  <c r="E24" i="42"/>
  <c r="I24" i="42" s="1"/>
  <c r="E20" i="42"/>
  <c r="F20" i="42" s="1"/>
  <c r="G20" i="42" s="1"/>
  <c r="E16" i="42"/>
  <c r="F16" i="42" s="1"/>
  <c r="G16" i="42" s="1"/>
  <c r="E12" i="42"/>
  <c r="E8" i="42"/>
  <c r="F8" i="42" s="1"/>
  <c r="G8" i="42" s="1"/>
  <c r="E4" i="42"/>
  <c r="I4" i="42" s="1"/>
  <c r="E39" i="42"/>
  <c r="F39" i="42" s="1"/>
  <c r="G39" i="42" s="1"/>
  <c r="E15" i="42"/>
  <c r="E31" i="42"/>
  <c r="F31" i="42" s="1"/>
  <c r="G31" i="42" s="1"/>
  <c r="E11" i="42"/>
  <c r="I11" i="42" s="1"/>
  <c r="E23" i="42"/>
  <c r="F23" i="42" s="1"/>
  <c r="G23" i="42" s="1"/>
  <c r="E7" i="42"/>
  <c r="E19" i="42"/>
  <c r="I19" i="42" s="1"/>
  <c r="E3" i="42"/>
  <c r="F3" i="42" s="1"/>
  <c r="G3" i="42" s="1"/>
  <c r="I161" i="42"/>
  <c r="E74" i="43"/>
  <c r="F74" i="43" s="1"/>
  <c r="G74" i="43" s="1"/>
  <c r="E117" i="43"/>
  <c r="F117" i="43" s="1"/>
  <c r="G117" i="43" s="1"/>
  <c r="F9" i="39"/>
  <c r="F31" i="39" s="1"/>
  <c r="I161" i="22" s="1"/>
  <c r="F161" i="22"/>
  <c r="E163" i="22"/>
  <c r="G159" i="48"/>
  <c r="H159" i="48" s="1"/>
  <c r="G157" i="48"/>
  <c r="H157" i="48" s="1"/>
  <c r="G155" i="48"/>
  <c r="H155" i="48" s="1"/>
  <c r="G160" i="48"/>
  <c r="H160" i="48" s="1"/>
  <c r="G158" i="48"/>
  <c r="H158" i="48" s="1"/>
  <c r="G156" i="48"/>
  <c r="H156" i="48" s="1"/>
  <c r="F154" i="48"/>
  <c r="F153" i="48"/>
  <c r="F152" i="48"/>
  <c r="F151" i="48"/>
  <c r="F150" i="48"/>
  <c r="F149" i="48"/>
  <c r="F148" i="48"/>
  <c r="F147" i="48"/>
  <c r="F146" i="48"/>
  <c r="F145" i="48"/>
  <c r="F144" i="48"/>
  <c r="F143" i="48"/>
  <c r="F142" i="48"/>
  <c r="F141" i="48"/>
  <c r="F140" i="48"/>
  <c r="F139" i="48"/>
  <c r="F138" i="48"/>
  <c r="F137" i="48"/>
  <c r="F136" i="48"/>
  <c r="F135" i="48"/>
  <c r="F134" i="48"/>
  <c r="F133" i="48"/>
  <c r="F132" i="48"/>
  <c r="F131" i="48"/>
  <c r="F130" i="48"/>
  <c r="F129" i="48"/>
  <c r="F128" i="48"/>
  <c r="F127" i="48"/>
  <c r="F126" i="48"/>
  <c r="F125" i="48"/>
  <c r="F124" i="48"/>
  <c r="F123" i="48"/>
  <c r="F122" i="48"/>
  <c r="F121" i="48"/>
  <c r="F120" i="48"/>
  <c r="F119" i="48"/>
  <c r="F118" i="48"/>
  <c r="F117" i="48"/>
  <c r="F116" i="48"/>
  <c r="F115" i="48"/>
  <c r="F114" i="48"/>
  <c r="F113" i="48"/>
  <c r="F112" i="48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86" i="48"/>
  <c r="F85" i="48"/>
  <c r="F84" i="48"/>
  <c r="F83" i="48"/>
  <c r="F82" i="48"/>
  <c r="F79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81" i="48"/>
  <c r="F77" i="48"/>
  <c r="F76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" i="48"/>
  <c r="F4" i="48"/>
  <c r="F3" i="48"/>
  <c r="F78" i="48"/>
  <c r="F22" i="48"/>
  <c r="F80" i="48"/>
  <c r="F23" i="48"/>
  <c r="F14" i="41"/>
  <c r="F24" i="41" s="1"/>
  <c r="E163" i="40"/>
  <c r="F161" i="40"/>
  <c r="F150" i="42"/>
  <c r="G150" i="42" s="1"/>
  <c r="F52" i="42"/>
  <c r="G52" i="42" s="1"/>
  <c r="F68" i="42"/>
  <c r="G68" i="42" s="1"/>
  <c r="F85" i="42"/>
  <c r="G85" i="42" s="1"/>
  <c r="F101" i="42"/>
  <c r="G101" i="42" s="1"/>
  <c r="F117" i="42"/>
  <c r="G117" i="42" s="1"/>
  <c r="F133" i="42"/>
  <c r="G133" i="42" s="1"/>
  <c r="F149" i="42"/>
  <c r="G149" i="42" s="1"/>
  <c r="F55" i="42"/>
  <c r="G55" i="42" s="1"/>
  <c r="F71" i="42"/>
  <c r="G71" i="42" s="1"/>
  <c r="F84" i="42"/>
  <c r="G84" i="42" s="1"/>
  <c r="F100" i="42"/>
  <c r="G100" i="42" s="1"/>
  <c r="F116" i="42"/>
  <c r="G116" i="42" s="1"/>
  <c r="F132" i="42"/>
  <c r="G132" i="42" s="1"/>
  <c r="F148" i="42"/>
  <c r="G148" i="42" s="1"/>
  <c r="F50" i="42"/>
  <c r="G50" i="42" s="1"/>
  <c r="F66" i="42"/>
  <c r="G66" i="42" s="1"/>
  <c r="F83" i="42"/>
  <c r="G83" i="42" s="1"/>
  <c r="F99" i="42"/>
  <c r="G99" i="42" s="1"/>
  <c r="F115" i="42"/>
  <c r="G115" i="42" s="1"/>
  <c r="F131" i="42"/>
  <c r="G131" i="42" s="1"/>
  <c r="F147" i="42"/>
  <c r="G147" i="42" s="1"/>
  <c r="F90" i="42"/>
  <c r="G90" i="42" s="1"/>
  <c r="F110" i="42"/>
  <c r="G110" i="42" s="1"/>
  <c r="F146" i="42"/>
  <c r="G146" i="42" s="1"/>
  <c r="F42" i="42"/>
  <c r="G42" i="42" s="1"/>
  <c r="F26" i="42"/>
  <c r="G26" i="42" s="1"/>
  <c r="F45" i="42"/>
  <c r="G45" i="42" s="1"/>
  <c r="F13" i="42"/>
  <c r="G13" i="42" s="1"/>
  <c r="F134" i="42"/>
  <c r="G134" i="42" s="1"/>
  <c r="F56" i="42"/>
  <c r="G56" i="42" s="1"/>
  <c r="F105" i="42"/>
  <c r="G105" i="42" s="1"/>
  <c r="F121" i="42"/>
  <c r="G121" i="42" s="1"/>
  <c r="F59" i="42"/>
  <c r="G59" i="42" s="1"/>
  <c r="F75" i="42"/>
  <c r="G75" i="42" s="1"/>
  <c r="F120" i="42"/>
  <c r="G120" i="42" s="1"/>
  <c r="F136" i="42"/>
  <c r="G136" i="42" s="1"/>
  <c r="F70" i="42"/>
  <c r="G70" i="42" s="1"/>
  <c r="F87" i="42"/>
  <c r="G87" i="42" s="1"/>
  <c r="F135" i="42"/>
  <c r="G135" i="42" s="1"/>
  <c r="F151" i="42"/>
  <c r="G151" i="42" s="1"/>
  <c r="F138" i="42"/>
  <c r="G138" i="42" s="1"/>
  <c r="F65" i="42"/>
  <c r="G65" i="42" s="1"/>
  <c r="F94" i="42"/>
  <c r="G94" i="42" s="1"/>
  <c r="F130" i="42"/>
  <c r="G130" i="42" s="1"/>
  <c r="F73" i="42"/>
  <c r="G73" i="42" s="1"/>
  <c r="F25" i="42"/>
  <c r="G25" i="42" s="1"/>
  <c r="F60" i="42"/>
  <c r="G60" i="42" s="1"/>
  <c r="F76" i="42"/>
  <c r="G76" i="42" s="1"/>
  <c r="F93" i="42"/>
  <c r="G93" i="42" s="1"/>
  <c r="F109" i="42"/>
  <c r="G109" i="42" s="1"/>
  <c r="F125" i="42"/>
  <c r="G125" i="42" s="1"/>
  <c r="F141" i="42"/>
  <c r="G141" i="42" s="1"/>
  <c r="F157" i="42"/>
  <c r="G157" i="42" s="1"/>
  <c r="F63" i="42"/>
  <c r="G63" i="42" s="1"/>
  <c r="F79" i="42"/>
  <c r="G79" i="42" s="1"/>
  <c r="F92" i="42"/>
  <c r="G92" i="42" s="1"/>
  <c r="F108" i="42"/>
  <c r="G108" i="42" s="1"/>
  <c r="F124" i="42"/>
  <c r="G124" i="42" s="1"/>
  <c r="F140" i="42"/>
  <c r="G140" i="42" s="1"/>
  <c r="F156" i="42"/>
  <c r="G156" i="42" s="1"/>
  <c r="F58" i="42"/>
  <c r="G58" i="42" s="1"/>
  <c r="F74" i="42"/>
  <c r="G74" i="42" s="1"/>
  <c r="F91" i="42"/>
  <c r="G91" i="42" s="1"/>
  <c r="F107" i="42"/>
  <c r="G107" i="42" s="1"/>
  <c r="F123" i="42"/>
  <c r="G123" i="42" s="1"/>
  <c r="F139" i="42"/>
  <c r="G139" i="42" s="1"/>
  <c r="F155" i="42"/>
  <c r="G155" i="42" s="1"/>
  <c r="F142" i="42"/>
  <c r="G142" i="42" s="1"/>
  <c r="F69" i="42"/>
  <c r="G69" i="42" s="1"/>
  <c r="F114" i="42"/>
  <c r="G114" i="42" s="1"/>
  <c r="F158" i="42"/>
  <c r="G158" i="42" s="1"/>
  <c r="F37" i="42"/>
  <c r="G37" i="42" s="1"/>
  <c r="F43" i="42"/>
  <c r="G43" i="42" s="1"/>
  <c r="F35" i="42"/>
  <c r="G35" i="42" s="1"/>
  <c r="F15" i="42"/>
  <c r="G15" i="42" s="1"/>
  <c r="F7" i="42"/>
  <c r="G7" i="42" s="1"/>
  <c r="F48" i="42"/>
  <c r="G48" i="42" s="1"/>
  <c r="F36" i="42"/>
  <c r="G36" i="42" s="1"/>
  <c r="F32" i="42"/>
  <c r="G32" i="42" s="1"/>
  <c r="F12" i="42"/>
  <c r="G12" i="42" s="1"/>
  <c r="F64" i="42"/>
  <c r="G64" i="42" s="1"/>
  <c r="F81" i="42"/>
  <c r="G81" i="42" s="1"/>
  <c r="F97" i="42"/>
  <c r="G97" i="42" s="1"/>
  <c r="F113" i="42"/>
  <c r="G113" i="42" s="1"/>
  <c r="F129" i="42"/>
  <c r="G129" i="42" s="1"/>
  <c r="F145" i="42"/>
  <c r="G145" i="42" s="1"/>
  <c r="F51" i="42"/>
  <c r="G51" i="42" s="1"/>
  <c r="F67" i="42"/>
  <c r="G67" i="42" s="1"/>
  <c r="F80" i="42"/>
  <c r="G80" i="42" s="1"/>
  <c r="F96" i="42"/>
  <c r="G96" i="42" s="1"/>
  <c r="F112" i="42"/>
  <c r="G112" i="42" s="1"/>
  <c r="F128" i="42"/>
  <c r="G128" i="42" s="1"/>
  <c r="F144" i="42"/>
  <c r="G144" i="42" s="1"/>
  <c r="F160" i="42"/>
  <c r="G160" i="42" s="1"/>
  <c r="F62" i="42"/>
  <c r="G62" i="42" s="1"/>
  <c r="F78" i="42"/>
  <c r="G78" i="42" s="1"/>
  <c r="F95" i="42"/>
  <c r="G95" i="42" s="1"/>
  <c r="F111" i="42"/>
  <c r="G111" i="42" s="1"/>
  <c r="F127" i="42"/>
  <c r="G127" i="42" s="1"/>
  <c r="F143" i="42"/>
  <c r="G143" i="42" s="1"/>
  <c r="F159" i="42"/>
  <c r="G159" i="42" s="1"/>
  <c r="F98" i="42"/>
  <c r="G98" i="42" s="1"/>
  <c r="F46" i="42"/>
  <c r="G46" i="42" s="1"/>
  <c r="F14" i="42"/>
  <c r="G14" i="42" s="1"/>
  <c r="E139" i="43"/>
  <c r="F139" i="43" s="1"/>
  <c r="G139" i="43" s="1"/>
  <c r="E44" i="43"/>
  <c r="F44" i="43" s="1"/>
  <c r="G44" i="43" s="1"/>
  <c r="I161" i="43"/>
  <c r="I160" i="42"/>
  <c r="I159" i="42"/>
  <c r="I155" i="42"/>
  <c r="I154" i="42"/>
  <c r="I151" i="42"/>
  <c r="I149" i="42"/>
  <c r="I148" i="42"/>
  <c r="I147" i="42"/>
  <c r="I146" i="42"/>
  <c r="I145" i="42"/>
  <c r="I144" i="42"/>
  <c r="I143" i="42"/>
  <c r="I142" i="42"/>
  <c r="I141" i="42"/>
  <c r="I140" i="42"/>
  <c r="I139" i="42"/>
  <c r="I138" i="42"/>
  <c r="I137" i="42"/>
  <c r="I136" i="42"/>
  <c r="I135" i="42"/>
  <c r="I134" i="42"/>
  <c r="I133" i="42"/>
  <c r="I132" i="42"/>
  <c r="I131" i="42"/>
  <c r="I130" i="42"/>
  <c r="I129" i="42"/>
  <c r="I128" i="42"/>
  <c r="I127" i="42"/>
  <c r="I126" i="42"/>
  <c r="I125" i="42"/>
  <c r="I124" i="42"/>
  <c r="I121" i="42"/>
  <c r="I120" i="42"/>
  <c r="I117" i="42"/>
  <c r="I116" i="42"/>
  <c r="I115" i="42"/>
  <c r="I114" i="42"/>
  <c r="I113" i="42"/>
  <c r="I112" i="42"/>
  <c r="I111" i="42"/>
  <c r="I109" i="42"/>
  <c r="I108" i="42"/>
  <c r="I105" i="42"/>
  <c r="I103" i="42"/>
  <c r="I101" i="42"/>
  <c r="I100" i="42"/>
  <c r="I99" i="42"/>
  <c r="I98" i="42"/>
  <c r="I97" i="42"/>
  <c r="I96" i="42"/>
  <c r="I95" i="42"/>
  <c r="I94" i="42"/>
  <c r="I91" i="42"/>
  <c r="I90" i="42"/>
  <c r="I87" i="42"/>
  <c r="I85" i="42"/>
  <c r="I84" i="42"/>
  <c r="I83" i="42"/>
  <c r="I81" i="42"/>
  <c r="I80" i="42"/>
  <c r="I79" i="42"/>
  <c r="I78" i="42"/>
  <c r="I76" i="42"/>
  <c r="I75" i="42"/>
  <c r="I74" i="42"/>
  <c r="I73" i="42"/>
  <c r="I72" i="42"/>
  <c r="I71" i="42"/>
  <c r="I70" i="42"/>
  <c r="I69" i="42"/>
  <c r="I68" i="42"/>
  <c r="I67" i="42"/>
  <c r="I66" i="42"/>
  <c r="I64" i="42"/>
  <c r="I63" i="42"/>
  <c r="I62" i="42"/>
  <c r="I60" i="42"/>
  <c r="I59" i="42"/>
  <c r="I58" i="42"/>
  <c r="I56" i="42"/>
  <c r="I55" i="42"/>
  <c r="I54" i="42"/>
  <c r="I52" i="42"/>
  <c r="I51" i="42"/>
  <c r="I50" i="42"/>
  <c r="I48" i="42"/>
  <c r="I47" i="42"/>
  <c r="I45" i="42"/>
  <c r="I43" i="42"/>
  <c r="I42" i="42"/>
  <c r="I40" i="42"/>
  <c r="I39" i="42"/>
  <c r="I37" i="42"/>
  <c r="I36" i="42"/>
  <c r="I35" i="42"/>
  <c r="I32" i="42"/>
  <c r="I31" i="42"/>
  <c r="I29" i="42"/>
  <c r="I26" i="42"/>
  <c r="I23" i="42"/>
  <c r="I21" i="42"/>
  <c r="I15" i="42"/>
  <c r="I14" i="42"/>
  <c r="I13" i="42"/>
  <c r="I12" i="42"/>
  <c r="I10" i="42"/>
  <c r="I7" i="42"/>
  <c r="I3" i="42"/>
  <c r="E100" i="43"/>
  <c r="F100" i="43" s="1"/>
  <c r="G100" i="43" s="1"/>
  <c r="E7" i="43"/>
  <c r="F7" i="43" s="1"/>
  <c r="G7" i="43" s="1"/>
  <c r="E110" i="43"/>
  <c r="F110" i="43" s="1"/>
  <c r="G110" i="43" s="1"/>
  <c r="E85" i="43"/>
  <c r="F85" i="43" s="1"/>
  <c r="G85" i="43" s="1"/>
  <c r="E149" i="43"/>
  <c r="F149" i="43" s="1"/>
  <c r="G149" i="43" s="1"/>
  <c r="E107" i="43"/>
  <c r="F107" i="43" s="1"/>
  <c r="G107" i="43" s="1"/>
  <c r="E120" i="43"/>
  <c r="F120" i="43" s="1"/>
  <c r="G120" i="43" s="1"/>
  <c r="E12" i="43"/>
  <c r="F12" i="43" s="1"/>
  <c r="G12" i="43" s="1"/>
  <c r="E17" i="43"/>
  <c r="F17" i="43" s="1"/>
  <c r="G17" i="43" s="1"/>
  <c r="F142" i="43"/>
  <c r="G142" i="43" s="1"/>
  <c r="E60" i="43"/>
  <c r="F60" i="43" s="1"/>
  <c r="G60" i="43" s="1"/>
  <c r="E61" i="43"/>
  <c r="F61" i="43" s="1"/>
  <c r="G61" i="43" s="1"/>
  <c r="E126" i="43"/>
  <c r="F126" i="43" s="1"/>
  <c r="G126" i="43" s="1"/>
  <c r="E101" i="43"/>
  <c r="F101" i="43" s="1"/>
  <c r="G101" i="43" s="1"/>
  <c r="E58" i="43"/>
  <c r="F58" i="43" s="1"/>
  <c r="G58" i="43" s="1"/>
  <c r="E123" i="43"/>
  <c r="F123" i="43" s="1"/>
  <c r="G123" i="43" s="1"/>
  <c r="E67" i="43"/>
  <c r="F67" i="43" s="1"/>
  <c r="G67" i="43" s="1"/>
  <c r="E108" i="43"/>
  <c r="F108" i="43" s="1"/>
  <c r="G108" i="43" s="1"/>
  <c r="F39" i="43"/>
  <c r="G39" i="43" s="1"/>
  <c r="E49" i="43"/>
  <c r="F49" i="43" s="1"/>
  <c r="G49" i="43" s="1"/>
  <c r="E23" i="43"/>
  <c r="F23" i="43" s="1"/>
  <c r="G23" i="43" s="1"/>
  <c r="E94" i="43"/>
  <c r="F94" i="43" s="1"/>
  <c r="G94" i="43" s="1"/>
  <c r="E158" i="43"/>
  <c r="F158" i="43" s="1"/>
  <c r="G158" i="43" s="1"/>
  <c r="E133" i="43"/>
  <c r="F133" i="43" s="1"/>
  <c r="G133" i="43" s="1"/>
  <c r="E91" i="43"/>
  <c r="F91" i="43" s="1"/>
  <c r="G91" i="43" s="1"/>
  <c r="E155" i="43"/>
  <c r="F155" i="43" s="1"/>
  <c r="G155" i="43" s="1"/>
  <c r="E28" i="43"/>
  <c r="F28" i="43" s="1"/>
  <c r="G28" i="43" s="1"/>
  <c r="E152" i="43"/>
  <c r="F152" i="43" s="1"/>
  <c r="G152" i="43" s="1"/>
  <c r="E128" i="43"/>
  <c r="F128" i="43" s="1"/>
  <c r="G128" i="43" s="1"/>
  <c r="E50" i="43"/>
  <c r="E34" i="43"/>
  <c r="F34" i="43" s="1"/>
  <c r="G34" i="43" s="1"/>
  <c r="E18" i="43"/>
  <c r="F18" i="43" s="1"/>
  <c r="G18" i="43" s="1"/>
  <c r="E71" i="43"/>
  <c r="F71" i="43" s="1"/>
  <c r="G71" i="43" s="1"/>
  <c r="E46" i="43"/>
  <c r="E14" i="43"/>
  <c r="F14" i="43" s="1"/>
  <c r="G14" i="43" s="1"/>
  <c r="E96" i="43"/>
  <c r="F96" i="43" s="1"/>
  <c r="G96" i="43" s="1"/>
  <c r="E63" i="43"/>
  <c r="F63" i="43" s="1"/>
  <c r="G63" i="43" s="1"/>
  <c r="E42" i="43"/>
  <c r="E26" i="43"/>
  <c r="F26" i="43" s="1"/>
  <c r="G26" i="43" s="1"/>
  <c r="E10" i="43"/>
  <c r="F10" i="43" s="1"/>
  <c r="G10" i="43" s="1"/>
  <c r="E144" i="43"/>
  <c r="F144" i="43" s="1"/>
  <c r="G144" i="43" s="1"/>
  <c r="E80" i="43"/>
  <c r="E55" i="43"/>
  <c r="F55" i="43" s="1"/>
  <c r="G55" i="43" s="1"/>
  <c r="E38" i="43"/>
  <c r="F38" i="43" s="1"/>
  <c r="G38" i="43" s="1"/>
  <c r="E22" i="43"/>
  <c r="F22" i="43" s="1"/>
  <c r="G22" i="43" s="1"/>
  <c r="E6" i="43"/>
  <c r="E112" i="43"/>
  <c r="F112" i="43" s="1"/>
  <c r="G112" i="43" s="1"/>
  <c r="E30" i="43"/>
  <c r="F30" i="43" s="1"/>
  <c r="G30" i="43" s="1"/>
  <c r="E132" i="43"/>
  <c r="F132" i="43" s="1"/>
  <c r="G132" i="43" s="1"/>
  <c r="E75" i="43"/>
  <c r="E47" i="43"/>
  <c r="F47" i="43" s="1"/>
  <c r="G47" i="43" s="1"/>
  <c r="E31" i="43"/>
  <c r="E15" i="43"/>
  <c r="F15" i="43" s="1"/>
  <c r="G15" i="43" s="1"/>
  <c r="E53" i="43"/>
  <c r="E69" i="43"/>
  <c r="F69" i="43" s="1"/>
  <c r="G69" i="43" s="1"/>
  <c r="E86" i="43"/>
  <c r="F86" i="43" s="1"/>
  <c r="G86" i="43" s="1"/>
  <c r="E102" i="43"/>
  <c r="F102" i="43" s="1"/>
  <c r="G102" i="43" s="1"/>
  <c r="E118" i="43"/>
  <c r="E134" i="43"/>
  <c r="E150" i="43"/>
  <c r="F150" i="43" s="1"/>
  <c r="G150" i="43" s="1"/>
  <c r="E76" i="43"/>
  <c r="F76" i="43" s="1"/>
  <c r="G76" i="43" s="1"/>
  <c r="E93" i="43"/>
  <c r="E109" i="43"/>
  <c r="F109" i="43" s="1"/>
  <c r="G109" i="43" s="1"/>
  <c r="E125" i="43"/>
  <c r="F125" i="43" s="1"/>
  <c r="G125" i="43" s="1"/>
  <c r="E141" i="43"/>
  <c r="I141" i="43" s="1"/>
  <c r="E157" i="43"/>
  <c r="E66" i="43"/>
  <c r="F66" i="43" s="1"/>
  <c r="G66" i="43" s="1"/>
  <c r="E83" i="43"/>
  <c r="F83" i="43" s="1"/>
  <c r="G83" i="43" s="1"/>
  <c r="E99" i="43"/>
  <c r="I99" i="43" s="1"/>
  <c r="E115" i="43"/>
  <c r="E131" i="43"/>
  <c r="F131" i="43" s="1"/>
  <c r="G131" i="43" s="1"/>
  <c r="E147" i="43"/>
  <c r="F147" i="43" s="1"/>
  <c r="G147" i="43" s="1"/>
  <c r="E88" i="43"/>
  <c r="I88" i="43" s="1"/>
  <c r="E51" i="43"/>
  <c r="E36" i="43"/>
  <c r="F36" i="43" s="1"/>
  <c r="G36" i="43" s="1"/>
  <c r="E20" i="43"/>
  <c r="F20" i="43" s="1"/>
  <c r="G20" i="43" s="1"/>
  <c r="E4" i="43"/>
  <c r="I4" i="43" s="1"/>
  <c r="E140" i="43"/>
  <c r="E64" i="43"/>
  <c r="F64" i="43" s="1"/>
  <c r="G64" i="43" s="1"/>
  <c r="E41" i="43"/>
  <c r="F41" i="43" s="1"/>
  <c r="G41" i="43" s="1"/>
  <c r="E25" i="43"/>
  <c r="I25" i="43" s="1"/>
  <c r="E9" i="43"/>
  <c r="E116" i="43"/>
  <c r="F116" i="43" s="1"/>
  <c r="G116" i="43" s="1"/>
  <c r="E68" i="43"/>
  <c r="F68" i="43" s="1"/>
  <c r="G68" i="43" s="1"/>
  <c r="E43" i="43"/>
  <c r="F43" i="43" s="1"/>
  <c r="G43" i="43" s="1"/>
  <c r="E27" i="43"/>
  <c r="E11" i="43"/>
  <c r="F11" i="43" s="1"/>
  <c r="G11" i="43" s="1"/>
  <c r="E57" i="43"/>
  <c r="E73" i="43"/>
  <c r="F73" i="43" s="1"/>
  <c r="G73" i="43" s="1"/>
  <c r="E90" i="43"/>
  <c r="E106" i="43"/>
  <c r="E122" i="43"/>
  <c r="F122" i="43" s="1"/>
  <c r="G122" i="43" s="1"/>
  <c r="E138" i="43"/>
  <c r="I138" i="43" s="1"/>
  <c r="E154" i="43"/>
  <c r="E81" i="43"/>
  <c r="F81" i="43" s="1"/>
  <c r="G81" i="43" s="1"/>
  <c r="E97" i="43"/>
  <c r="E113" i="43"/>
  <c r="F113" i="43" s="1"/>
  <c r="G113" i="43" s="1"/>
  <c r="E129" i="43"/>
  <c r="E145" i="43"/>
  <c r="F145" i="43" s="1"/>
  <c r="G145" i="43" s="1"/>
  <c r="E54" i="43"/>
  <c r="F54" i="43" s="1"/>
  <c r="G54" i="43" s="1"/>
  <c r="E70" i="43"/>
  <c r="I70" i="43" s="1"/>
  <c r="E87" i="43"/>
  <c r="E103" i="43"/>
  <c r="F103" i="43" s="1"/>
  <c r="G103" i="43" s="1"/>
  <c r="E119" i="43"/>
  <c r="E135" i="43"/>
  <c r="F135" i="43" s="1"/>
  <c r="G135" i="43" s="1"/>
  <c r="E151" i="43"/>
  <c r="E136" i="43"/>
  <c r="F136" i="43" s="1"/>
  <c r="G136" i="43" s="1"/>
  <c r="E79" i="43"/>
  <c r="F79" i="43" s="1"/>
  <c r="G79" i="43" s="1"/>
  <c r="E48" i="43"/>
  <c r="I48" i="43" s="1"/>
  <c r="E32" i="43"/>
  <c r="E16" i="43"/>
  <c r="E160" i="43"/>
  <c r="F160" i="43" s="1"/>
  <c r="G160" i="43" s="1"/>
  <c r="E124" i="43"/>
  <c r="F124" i="43" s="1"/>
  <c r="G124" i="43" s="1"/>
  <c r="E56" i="43"/>
  <c r="E37" i="43"/>
  <c r="F37" i="43" s="1"/>
  <c r="G37" i="43" s="1"/>
  <c r="E21" i="43"/>
  <c r="E5" i="43"/>
  <c r="F5" i="43" s="1"/>
  <c r="G5" i="43" s="1"/>
  <c r="E148" i="43"/>
  <c r="E84" i="43"/>
  <c r="F84" i="43" s="1"/>
  <c r="G84" i="43" s="1"/>
  <c r="E52" i="43"/>
  <c r="F52" i="43" s="1"/>
  <c r="G52" i="43" s="1"/>
  <c r="E35" i="43"/>
  <c r="F35" i="43" s="1"/>
  <c r="G35" i="43" s="1"/>
  <c r="E19" i="43"/>
  <c r="E3" i="43"/>
  <c r="F3" i="43" s="1"/>
  <c r="G3" i="43" s="1"/>
  <c r="E65" i="43"/>
  <c r="F65" i="43" s="1"/>
  <c r="G65" i="43" s="1"/>
  <c r="E82" i="43"/>
  <c r="I82" i="43" s="1"/>
  <c r="E98" i="43"/>
  <c r="E114" i="43"/>
  <c r="F114" i="43" s="1"/>
  <c r="G114" i="43" s="1"/>
  <c r="E130" i="43"/>
  <c r="F130" i="43" s="1"/>
  <c r="G130" i="43" s="1"/>
  <c r="E146" i="43"/>
  <c r="I146" i="43" s="1"/>
  <c r="E72" i="43"/>
  <c r="E89" i="43"/>
  <c r="F89" i="43" s="1"/>
  <c r="G89" i="43" s="1"/>
  <c r="E105" i="43"/>
  <c r="F105" i="43" s="1"/>
  <c r="G105" i="43" s="1"/>
  <c r="E121" i="43"/>
  <c r="I121" i="43" s="1"/>
  <c r="E137" i="43"/>
  <c r="E153" i="43"/>
  <c r="F153" i="43" s="1"/>
  <c r="G153" i="43" s="1"/>
  <c r="E62" i="43"/>
  <c r="F62" i="43" s="1"/>
  <c r="G62" i="43" s="1"/>
  <c r="E78" i="43"/>
  <c r="F78" i="43" s="1"/>
  <c r="G78" i="43" s="1"/>
  <c r="E95" i="43"/>
  <c r="E111" i="43"/>
  <c r="F111" i="43" s="1"/>
  <c r="G111" i="43" s="1"/>
  <c r="E127" i="43"/>
  <c r="F127" i="43" s="1"/>
  <c r="G127" i="43" s="1"/>
  <c r="E143" i="43"/>
  <c r="I143" i="43" s="1"/>
  <c r="E159" i="43"/>
  <c r="E104" i="43"/>
  <c r="F104" i="43" s="1"/>
  <c r="G104" i="43" s="1"/>
  <c r="E59" i="43"/>
  <c r="F59" i="43" s="1"/>
  <c r="G59" i="43" s="1"/>
  <c r="E40" i="43"/>
  <c r="F40" i="43" s="1"/>
  <c r="G40" i="43" s="1"/>
  <c r="E24" i="43"/>
  <c r="E8" i="43"/>
  <c r="F8" i="43" s="1"/>
  <c r="G8" i="43" s="1"/>
  <c r="F156" i="43"/>
  <c r="G156" i="43" s="1"/>
  <c r="E92" i="43"/>
  <c r="F92" i="43" s="1"/>
  <c r="G92" i="43" s="1"/>
  <c r="E45" i="43"/>
  <c r="F45" i="43" s="1"/>
  <c r="G45" i="43" s="1"/>
  <c r="E29" i="43"/>
  <c r="F29" i="43" s="1"/>
  <c r="G29" i="43" s="1"/>
  <c r="E13" i="43"/>
  <c r="F13" i="43" s="1"/>
  <c r="G13" i="43" s="1"/>
  <c r="F148" i="43"/>
  <c r="G148" i="43" s="1"/>
  <c r="F19" i="43"/>
  <c r="G19" i="43" s="1"/>
  <c r="F98" i="43"/>
  <c r="G98" i="43" s="1"/>
  <c r="F72" i="43"/>
  <c r="G72" i="43" s="1"/>
  <c r="F137" i="43"/>
  <c r="G137" i="43" s="1"/>
  <c r="F95" i="43"/>
  <c r="G95" i="43" s="1"/>
  <c r="F159" i="43"/>
  <c r="G159" i="43" s="1"/>
  <c r="F24" i="43"/>
  <c r="G24" i="43" s="1"/>
  <c r="F140" i="43"/>
  <c r="G140" i="43" s="1"/>
  <c r="F9" i="43"/>
  <c r="G9" i="43" s="1"/>
  <c r="F75" i="43"/>
  <c r="G75" i="43" s="1"/>
  <c r="F31" i="43"/>
  <c r="G31" i="43" s="1"/>
  <c r="F53" i="43"/>
  <c r="G53" i="43" s="1"/>
  <c r="F118" i="43"/>
  <c r="G118" i="43" s="1"/>
  <c r="F134" i="43"/>
  <c r="G134" i="43" s="1"/>
  <c r="F93" i="43"/>
  <c r="G93" i="43" s="1"/>
  <c r="F157" i="43"/>
  <c r="G157" i="43" s="1"/>
  <c r="F115" i="43"/>
  <c r="G115" i="43" s="1"/>
  <c r="F50" i="43"/>
  <c r="G50" i="43" s="1"/>
  <c r="F51" i="43"/>
  <c r="G51" i="43" s="1"/>
  <c r="F80" i="43"/>
  <c r="G80" i="43" s="1"/>
  <c r="F56" i="43"/>
  <c r="G56" i="43" s="1"/>
  <c r="F6" i="43"/>
  <c r="G6" i="43" s="1"/>
  <c r="F27" i="43"/>
  <c r="G27" i="43" s="1"/>
  <c r="F90" i="43"/>
  <c r="G90" i="43" s="1"/>
  <c r="F106" i="43"/>
  <c r="G106" i="43" s="1"/>
  <c r="F138" i="43"/>
  <c r="G138" i="43" s="1"/>
  <c r="F154" i="43"/>
  <c r="G154" i="43" s="1"/>
  <c r="F129" i="43"/>
  <c r="G129" i="43" s="1"/>
  <c r="F87" i="43"/>
  <c r="G87" i="43" s="1"/>
  <c r="F151" i="43"/>
  <c r="G151" i="43" s="1"/>
  <c r="F32" i="43"/>
  <c r="G32" i="43" s="1"/>
  <c r="F16" i="43"/>
  <c r="G16" i="43" s="1"/>
  <c r="F33" i="43"/>
  <c r="G33" i="43" s="1"/>
  <c r="F46" i="43"/>
  <c r="G46" i="43" s="1"/>
  <c r="F42" i="43"/>
  <c r="G42" i="43" s="1"/>
  <c r="I37" i="43"/>
  <c r="F27" i="38"/>
  <c r="G161" i="35"/>
  <c r="F164" i="35"/>
  <c r="F85" i="35" s="1"/>
  <c r="G85" i="35" s="1"/>
  <c r="F83" i="35"/>
  <c r="G83" i="35" s="1"/>
  <c r="F161" i="32"/>
  <c r="E163" i="32"/>
  <c r="F7" i="37"/>
  <c r="F14" i="37"/>
  <c r="F22" i="55"/>
  <c r="F161" i="54"/>
  <c r="E163" i="54"/>
  <c r="F9" i="31"/>
  <c r="F17" i="31"/>
  <c r="E163" i="7"/>
  <c r="F161" i="7"/>
  <c r="D17" i="13" l="1"/>
  <c r="D19" i="13" s="1"/>
  <c r="C19" i="13"/>
  <c r="I82" i="42"/>
  <c r="F4" i="42"/>
  <c r="G4" i="42" s="1"/>
  <c r="F34" i="42"/>
  <c r="G34" i="42" s="1"/>
  <c r="F6" i="42"/>
  <c r="G6" i="42" s="1"/>
  <c r="F82" i="35"/>
  <c r="G82" i="35" s="1"/>
  <c r="I20" i="42"/>
  <c r="I44" i="42"/>
  <c r="I49" i="42"/>
  <c r="I53" i="42"/>
  <c r="I57" i="42"/>
  <c r="I89" i="42"/>
  <c r="I119" i="42"/>
  <c r="I153" i="42"/>
  <c r="F19" i="42"/>
  <c r="G19" i="42" s="1"/>
  <c r="F118" i="42"/>
  <c r="G118" i="42" s="1"/>
  <c r="F152" i="42"/>
  <c r="G152" i="42" s="1"/>
  <c r="F88" i="42"/>
  <c r="G88" i="42" s="1"/>
  <c r="F28" i="47"/>
  <c r="J9" i="48" s="1"/>
  <c r="I22" i="42"/>
  <c r="I104" i="42"/>
  <c r="F11" i="42"/>
  <c r="G11" i="42" s="1"/>
  <c r="F90" i="35"/>
  <c r="G90" i="35" s="1"/>
  <c r="I5" i="42"/>
  <c r="F33" i="42"/>
  <c r="G33" i="42" s="1"/>
  <c r="C6" i="12"/>
  <c r="C5" i="12" s="1"/>
  <c r="I161" i="27"/>
  <c r="F40" i="33"/>
  <c r="I27" i="42"/>
  <c r="F102" i="42"/>
  <c r="G102" i="42" s="1"/>
  <c r="F24" i="42"/>
  <c r="G24" i="42" s="1"/>
  <c r="I8" i="42"/>
  <c r="I28" i="42"/>
  <c r="I77" i="42"/>
  <c r="I106" i="42"/>
  <c r="I9" i="42"/>
  <c r="I38" i="42"/>
  <c r="I16" i="42"/>
  <c r="F18" i="42"/>
  <c r="G18" i="42" s="1"/>
  <c r="F61" i="42"/>
  <c r="G61" i="42" s="1"/>
  <c r="F41" i="42"/>
  <c r="G41" i="42" s="1"/>
  <c r="F86" i="42"/>
  <c r="G86" i="42" s="1"/>
  <c r="C7" i="14"/>
  <c r="F163" i="18"/>
  <c r="G161" i="18"/>
  <c r="E160" i="27"/>
  <c r="F160" i="27" s="1"/>
  <c r="G160" i="27" s="1"/>
  <c r="E156" i="27"/>
  <c r="F156" i="27" s="1"/>
  <c r="G156" i="27" s="1"/>
  <c r="E152" i="27"/>
  <c r="F152" i="27" s="1"/>
  <c r="G152" i="27" s="1"/>
  <c r="E148" i="27"/>
  <c r="F148" i="27" s="1"/>
  <c r="G148" i="27" s="1"/>
  <c r="E144" i="27"/>
  <c r="F144" i="27" s="1"/>
  <c r="G144" i="27" s="1"/>
  <c r="E140" i="27"/>
  <c r="F140" i="27" s="1"/>
  <c r="G140" i="27" s="1"/>
  <c r="E136" i="27"/>
  <c r="F136" i="27" s="1"/>
  <c r="G136" i="27" s="1"/>
  <c r="E132" i="27"/>
  <c r="F132" i="27" s="1"/>
  <c r="G132" i="27" s="1"/>
  <c r="E128" i="27"/>
  <c r="F128" i="27" s="1"/>
  <c r="G128" i="27" s="1"/>
  <c r="E124" i="27"/>
  <c r="F124" i="27" s="1"/>
  <c r="G124" i="27" s="1"/>
  <c r="E120" i="27"/>
  <c r="F120" i="27" s="1"/>
  <c r="G120" i="27" s="1"/>
  <c r="E116" i="27"/>
  <c r="F116" i="27" s="1"/>
  <c r="G116" i="27" s="1"/>
  <c r="E112" i="27"/>
  <c r="F112" i="27" s="1"/>
  <c r="G112" i="27" s="1"/>
  <c r="E108" i="27"/>
  <c r="F108" i="27" s="1"/>
  <c r="G108" i="27" s="1"/>
  <c r="E104" i="27"/>
  <c r="F104" i="27" s="1"/>
  <c r="G104" i="27" s="1"/>
  <c r="E100" i="27"/>
  <c r="F100" i="27" s="1"/>
  <c r="G100" i="27" s="1"/>
  <c r="E96" i="27"/>
  <c r="F96" i="27" s="1"/>
  <c r="G96" i="27" s="1"/>
  <c r="E92" i="27"/>
  <c r="F92" i="27" s="1"/>
  <c r="G92" i="27" s="1"/>
  <c r="E88" i="27"/>
  <c r="F88" i="27" s="1"/>
  <c r="G88" i="27" s="1"/>
  <c r="E84" i="27"/>
  <c r="F84" i="27" s="1"/>
  <c r="G84" i="27" s="1"/>
  <c r="E79" i="27"/>
  <c r="F79" i="27" s="1"/>
  <c r="G79" i="27" s="1"/>
  <c r="E75" i="27"/>
  <c r="F75" i="27" s="1"/>
  <c r="G75" i="27" s="1"/>
  <c r="E71" i="27"/>
  <c r="F71" i="27" s="1"/>
  <c r="G71" i="27" s="1"/>
  <c r="E67" i="27"/>
  <c r="F67" i="27" s="1"/>
  <c r="G67" i="27" s="1"/>
  <c r="E63" i="27"/>
  <c r="F63" i="27" s="1"/>
  <c r="G63" i="27" s="1"/>
  <c r="E59" i="27"/>
  <c r="F59" i="27" s="1"/>
  <c r="G59" i="27" s="1"/>
  <c r="E55" i="27"/>
  <c r="F55" i="27" s="1"/>
  <c r="G55" i="27" s="1"/>
  <c r="E51" i="27"/>
  <c r="F51" i="27" s="1"/>
  <c r="G51" i="27" s="1"/>
  <c r="E47" i="27"/>
  <c r="F47" i="27" s="1"/>
  <c r="G47" i="27" s="1"/>
  <c r="E43" i="27"/>
  <c r="F43" i="27" s="1"/>
  <c r="G43" i="27" s="1"/>
  <c r="E39" i="27"/>
  <c r="F39" i="27" s="1"/>
  <c r="G39" i="27" s="1"/>
  <c r="E35" i="27"/>
  <c r="F35" i="27" s="1"/>
  <c r="G35" i="27" s="1"/>
  <c r="E31" i="27"/>
  <c r="F31" i="27" s="1"/>
  <c r="G31" i="27" s="1"/>
  <c r="E27" i="27"/>
  <c r="F27" i="27" s="1"/>
  <c r="G27" i="27" s="1"/>
  <c r="E23" i="27"/>
  <c r="F23" i="27" s="1"/>
  <c r="G23" i="27" s="1"/>
  <c r="E19" i="27"/>
  <c r="F19" i="27" s="1"/>
  <c r="G19" i="27" s="1"/>
  <c r="E157" i="27"/>
  <c r="F157" i="27" s="1"/>
  <c r="G157" i="27" s="1"/>
  <c r="E153" i="27"/>
  <c r="F153" i="27" s="1"/>
  <c r="G153" i="27" s="1"/>
  <c r="E149" i="27"/>
  <c r="F149" i="27" s="1"/>
  <c r="G149" i="27" s="1"/>
  <c r="E145" i="27"/>
  <c r="F145" i="27" s="1"/>
  <c r="G145" i="27" s="1"/>
  <c r="E141" i="27"/>
  <c r="F141" i="27" s="1"/>
  <c r="G141" i="27" s="1"/>
  <c r="E137" i="27"/>
  <c r="F137" i="27" s="1"/>
  <c r="G137" i="27" s="1"/>
  <c r="E133" i="27"/>
  <c r="F133" i="27" s="1"/>
  <c r="G133" i="27" s="1"/>
  <c r="E129" i="27"/>
  <c r="F129" i="27" s="1"/>
  <c r="G129" i="27" s="1"/>
  <c r="E125" i="27"/>
  <c r="F125" i="27" s="1"/>
  <c r="G125" i="27" s="1"/>
  <c r="E121" i="27"/>
  <c r="F121" i="27" s="1"/>
  <c r="G121" i="27" s="1"/>
  <c r="E117" i="27"/>
  <c r="F117" i="27" s="1"/>
  <c r="G117" i="27" s="1"/>
  <c r="E113" i="27"/>
  <c r="F113" i="27" s="1"/>
  <c r="G113" i="27" s="1"/>
  <c r="E109" i="27"/>
  <c r="F109" i="27" s="1"/>
  <c r="G109" i="27" s="1"/>
  <c r="E105" i="27"/>
  <c r="F105" i="27" s="1"/>
  <c r="G105" i="27" s="1"/>
  <c r="E101" i="27"/>
  <c r="F101" i="27" s="1"/>
  <c r="G101" i="27" s="1"/>
  <c r="E97" i="27"/>
  <c r="F97" i="27" s="1"/>
  <c r="G97" i="27" s="1"/>
  <c r="E93" i="27"/>
  <c r="F93" i="27" s="1"/>
  <c r="G93" i="27" s="1"/>
  <c r="E89" i="27"/>
  <c r="F89" i="27" s="1"/>
  <c r="G89" i="27" s="1"/>
  <c r="E85" i="27"/>
  <c r="F85" i="27" s="1"/>
  <c r="G85" i="27" s="1"/>
  <c r="E81" i="27"/>
  <c r="F81" i="27" s="1"/>
  <c r="G81" i="27" s="1"/>
  <c r="E76" i="27"/>
  <c r="F76" i="27" s="1"/>
  <c r="G76" i="27" s="1"/>
  <c r="E72" i="27"/>
  <c r="F72" i="27" s="1"/>
  <c r="G72" i="27" s="1"/>
  <c r="E158" i="27"/>
  <c r="F158" i="27" s="1"/>
  <c r="G158" i="27" s="1"/>
  <c r="E154" i="27"/>
  <c r="F154" i="27" s="1"/>
  <c r="G154" i="27" s="1"/>
  <c r="E150" i="27"/>
  <c r="F150" i="27" s="1"/>
  <c r="G150" i="27" s="1"/>
  <c r="E146" i="27"/>
  <c r="F146" i="27" s="1"/>
  <c r="G146" i="27" s="1"/>
  <c r="E142" i="27"/>
  <c r="F142" i="27" s="1"/>
  <c r="G142" i="27" s="1"/>
  <c r="E138" i="27"/>
  <c r="F138" i="27" s="1"/>
  <c r="G138" i="27" s="1"/>
  <c r="E134" i="27"/>
  <c r="F134" i="27" s="1"/>
  <c r="G134" i="27" s="1"/>
  <c r="E130" i="27"/>
  <c r="F130" i="27" s="1"/>
  <c r="G130" i="27" s="1"/>
  <c r="E126" i="27"/>
  <c r="F126" i="27" s="1"/>
  <c r="G126" i="27" s="1"/>
  <c r="E122" i="27"/>
  <c r="F122" i="27" s="1"/>
  <c r="G122" i="27" s="1"/>
  <c r="E118" i="27"/>
  <c r="F118" i="27" s="1"/>
  <c r="G118" i="27" s="1"/>
  <c r="E114" i="27"/>
  <c r="F114" i="27" s="1"/>
  <c r="G114" i="27" s="1"/>
  <c r="E110" i="27"/>
  <c r="F110" i="27" s="1"/>
  <c r="G110" i="27" s="1"/>
  <c r="E106" i="27"/>
  <c r="F106" i="27" s="1"/>
  <c r="G106" i="27" s="1"/>
  <c r="E102" i="27"/>
  <c r="F102" i="27" s="1"/>
  <c r="G102" i="27" s="1"/>
  <c r="E98" i="27"/>
  <c r="F98" i="27" s="1"/>
  <c r="G98" i="27" s="1"/>
  <c r="E94" i="27"/>
  <c r="F94" i="27" s="1"/>
  <c r="G94" i="27" s="1"/>
  <c r="E90" i="27"/>
  <c r="F90" i="27" s="1"/>
  <c r="G90" i="27" s="1"/>
  <c r="E86" i="27"/>
  <c r="F86" i="27" s="1"/>
  <c r="G86" i="27" s="1"/>
  <c r="E82" i="27"/>
  <c r="F82" i="27" s="1"/>
  <c r="G82" i="27" s="1"/>
  <c r="E77" i="27"/>
  <c r="F77" i="27" s="1"/>
  <c r="G77" i="27" s="1"/>
  <c r="E73" i="27"/>
  <c r="F73" i="27" s="1"/>
  <c r="G73" i="27" s="1"/>
  <c r="E69" i="27"/>
  <c r="E65" i="27"/>
  <c r="E61" i="27"/>
  <c r="E57" i="27"/>
  <c r="E53" i="27"/>
  <c r="E49" i="27"/>
  <c r="E45" i="27"/>
  <c r="E41" i="27"/>
  <c r="E37" i="27"/>
  <c r="E33" i="27"/>
  <c r="E29" i="27"/>
  <c r="E25" i="27"/>
  <c r="E21" i="27"/>
  <c r="E159" i="27"/>
  <c r="E143" i="27"/>
  <c r="E127" i="27"/>
  <c r="E111" i="27"/>
  <c r="E95" i="27"/>
  <c r="E70" i="27"/>
  <c r="F70" i="27" s="1"/>
  <c r="G70" i="27" s="1"/>
  <c r="E62" i="27"/>
  <c r="F62" i="27" s="1"/>
  <c r="G62" i="27" s="1"/>
  <c r="E54" i="27"/>
  <c r="F54" i="27" s="1"/>
  <c r="G54" i="27" s="1"/>
  <c r="E46" i="27"/>
  <c r="F46" i="27" s="1"/>
  <c r="G46" i="27" s="1"/>
  <c r="E38" i="27"/>
  <c r="F38" i="27" s="1"/>
  <c r="G38" i="27" s="1"/>
  <c r="E30" i="27"/>
  <c r="F30" i="27" s="1"/>
  <c r="G30" i="27" s="1"/>
  <c r="E22" i="27"/>
  <c r="F22" i="27" s="1"/>
  <c r="G22" i="27" s="1"/>
  <c r="E16" i="27"/>
  <c r="F16" i="27" s="1"/>
  <c r="G16" i="27" s="1"/>
  <c r="E12" i="27"/>
  <c r="F12" i="27" s="1"/>
  <c r="G12" i="27" s="1"/>
  <c r="E8" i="27"/>
  <c r="F8" i="27" s="1"/>
  <c r="G8" i="27" s="1"/>
  <c r="E4" i="27"/>
  <c r="F4" i="27" s="1"/>
  <c r="G4" i="27" s="1"/>
  <c r="E155" i="27"/>
  <c r="E123" i="27"/>
  <c r="E91" i="27"/>
  <c r="E60" i="27"/>
  <c r="F60" i="27" s="1"/>
  <c r="G60" i="27" s="1"/>
  <c r="E44" i="27"/>
  <c r="F44" i="27" s="1"/>
  <c r="G44" i="27" s="1"/>
  <c r="E28" i="27"/>
  <c r="F28" i="27" s="1"/>
  <c r="G28" i="27" s="1"/>
  <c r="E11" i="27"/>
  <c r="F11" i="27" s="1"/>
  <c r="G11" i="27" s="1"/>
  <c r="E3" i="27"/>
  <c r="F3" i="27" s="1"/>
  <c r="G3" i="27" s="1"/>
  <c r="E147" i="27"/>
  <c r="E131" i="27"/>
  <c r="E115" i="27"/>
  <c r="E99" i="27"/>
  <c r="E83" i="27"/>
  <c r="E74" i="27"/>
  <c r="F74" i="27" s="1"/>
  <c r="G74" i="27" s="1"/>
  <c r="E64" i="27"/>
  <c r="F64" i="27" s="1"/>
  <c r="G64" i="27" s="1"/>
  <c r="E56" i="27"/>
  <c r="F56" i="27" s="1"/>
  <c r="G56" i="27" s="1"/>
  <c r="E48" i="27"/>
  <c r="F48" i="27" s="1"/>
  <c r="G48" i="27" s="1"/>
  <c r="E40" i="27"/>
  <c r="F40" i="27" s="1"/>
  <c r="G40" i="27" s="1"/>
  <c r="E32" i="27"/>
  <c r="F32" i="27" s="1"/>
  <c r="G32" i="27" s="1"/>
  <c r="E24" i="27"/>
  <c r="F24" i="27" s="1"/>
  <c r="G24" i="27" s="1"/>
  <c r="E17" i="27"/>
  <c r="E13" i="27"/>
  <c r="E9" i="27"/>
  <c r="E5" i="27"/>
  <c r="E151" i="27"/>
  <c r="E135" i="27"/>
  <c r="E119" i="27"/>
  <c r="E103" i="27"/>
  <c r="E87" i="27"/>
  <c r="E78" i="27"/>
  <c r="F78" i="27" s="1"/>
  <c r="G78" i="27" s="1"/>
  <c r="E66" i="27"/>
  <c r="F66" i="27" s="1"/>
  <c r="G66" i="27" s="1"/>
  <c r="E58" i="27"/>
  <c r="F58" i="27" s="1"/>
  <c r="G58" i="27" s="1"/>
  <c r="E50" i="27"/>
  <c r="F50" i="27" s="1"/>
  <c r="G50" i="27" s="1"/>
  <c r="E42" i="27"/>
  <c r="F42" i="27" s="1"/>
  <c r="G42" i="27" s="1"/>
  <c r="E34" i="27"/>
  <c r="F34" i="27" s="1"/>
  <c r="G34" i="27" s="1"/>
  <c r="E26" i="27"/>
  <c r="F26" i="27" s="1"/>
  <c r="G26" i="27" s="1"/>
  <c r="E18" i="27"/>
  <c r="F18" i="27" s="1"/>
  <c r="G18" i="27" s="1"/>
  <c r="E14" i="27"/>
  <c r="F14" i="27" s="1"/>
  <c r="G14" i="27" s="1"/>
  <c r="E10" i="27"/>
  <c r="F10" i="27" s="1"/>
  <c r="G10" i="27" s="1"/>
  <c r="E6" i="27"/>
  <c r="F6" i="27" s="1"/>
  <c r="G6" i="27" s="1"/>
  <c r="E139" i="27"/>
  <c r="E107" i="27"/>
  <c r="E68" i="27"/>
  <c r="F68" i="27" s="1"/>
  <c r="G68" i="27" s="1"/>
  <c r="E52" i="27"/>
  <c r="F52" i="27" s="1"/>
  <c r="G52" i="27" s="1"/>
  <c r="E36" i="27"/>
  <c r="F36" i="27" s="1"/>
  <c r="G36" i="27" s="1"/>
  <c r="E20" i="27"/>
  <c r="F20" i="27" s="1"/>
  <c r="G20" i="27" s="1"/>
  <c r="E15" i="27"/>
  <c r="F15" i="27" s="1"/>
  <c r="G15" i="27" s="1"/>
  <c r="E7" i="27"/>
  <c r="F7" i="27" s="1"/>
  <c r="G7" i="27" s="1"/>
  <c r="E80" i="27"/>
  <c r="F80" i="27" s="1"/>
  <c r="G80" i="27" s="1"/>
  <c r="I17" i="42"/>
  <c r="I17" i="43"/>
  <c r="C16" i="12"/>
  <c r="D21" i="13"/>
  <c r="I30" i="42"/>
  <c r="I122" i="42"/>
  <c r="I73" i="27"/>
  <c r="I82" i="27"/>
  <c r="I90" i="27"/>
  <c r="I106" i="27"/>
  <c r="I114" i="27"/>
  <c r="I122" i="27"/>
  <c r="I138" i="27"/>
  <c r="I154" i="27"/>
  <c r="I4" i="27"/>
  <c r="I8" i="27"/>
  <c r="I32" i="27"/>
  <c r="I40" i="27"/>
  <c r="I64" i="27"/>
  <c r="I68" i="27"/>
  <c r="I84" i="27"/>
  <c r="I96" i="27"/>
  <c r="I100" i="27"/>
  <c r="I116" i="27"/>
  <c r="I132" i="27"/>
  <c r="I148" i="27"/>
  <c r="I160" i="27"/>
  <c r="I10" i="27"/>
  <c r="I22" i="27"/>
  <c r="I30" i="27"/>
  <c r="I34" i="27"/>
  <c r="I62" i="27"/>
  <c r="I66" i="27"/>
  <c r="I81" i="27"/>
  <c r="I85" i="27"/>
  <c r="I97" i="27"/>
  <c r="I101" i="27"/>
  <c r="I113" i="27"/>
  <c r="I117" i="27"/>
  <c r="I121" i="27"/>
  <c r="I129" i="27"/>
  <c r="I133" i="27"/>
  <c r="I145" i="27"/>
  <c r="I149" i="27"/>
  <c r="I3" i="27"/>
  <c r="I11" i="27"/>
  <c r="I15" i="27"/>
  <c r="I19" i="27"/>
  <c r="I23" i="27"/>
  <c r="I27" i="27"/>
  <c r="I35" i="27"/>
  <c r="I39" i="27"/>
  <c r="I51" i="27"/>
  <c r="I55" i="27"/>
  <c r="I67" i="27"/>
  <c r="I71" i="27"/>
  <c r="I56" i="43"/>
  <c r="I86" i="43"/>
  <c r="F143" i="43"/>
  <c r="G143" i="43" s="1"/>
  <c r="F121" i="43"/>
  <c r="G121" i="43" s="1"/>
  <c r="F146" i="43"/>
  <c r="G146" i="43" s="1"/>
  <c r="F82" i="43"/>
  <c r="G82" i="43" s="1"/>
  <c r="F31" i="31"/>
  <c r="I161" i="7" s="1"/>
  <c r="F32" i="39"/>
  <c r="E154" i="22"/>
  <c r="E153" i="22"/>
  <c r="E152" i="22"/>
  <c r="E148" i="22"/>
  <c r="E147" i="22"/>
  <c r="E142" i="22"/>
  <c r="E136" i="22"/>
  <c r="E135" i="22"/>
  <c r="E134" i="22"/>
  <c r="E130" i="22"/>
  <c r="E129" i="22"/>
  <c r="E122" i="22"/>
  <c r="E115" i="22"/>
  <c r="E109" i="22"/>
  <c r="E105" i="22"/>
  <c r="E99" i="22"/>
  <c r="E95" i="22"/>
  <c r="E89" i="22"/>
  <c r="E151" i="22"/>
  <c r="E146" i="22"/>
  <c r="E141" i="22"/>
  <c r="E140" i="22"/>
  <c r="E133" i="22"/>
  <c r="E128" i="22"/>
  <c r="E121" i="22"/>
  <c r="E120" i="22"/>
  <c r="E119" i="22"/>
  <c r="E118" i="22"/>
  <c r="E114" i="22"/>
  <c r="E108" i="22"/>
  <c r="E104" i="22"/>
  <c r="E103" i="22"/>
  <c r="E98" i="22"/>
  <c r="E94" i="22"/>
  <c r="E93" i="22"/>
  <c r="E88" i="22"/>
  <c r="E84" i="22"/>
  <c r="E80" i="22"/>
  <c r="E79" i="22"/>
  <c r="E149" i="22"/>
  <c r="E144" i="22"/>
  <c r="E143" i="22"/>
  <c r="E137" i="22"/>
  <c r="E131" i="22"/>
  <c r="E125" i="22"/>
  <c r="E124" i="22"/>
  <c r="E123" i="22"/>
  <c r="E116" i="22"/>
  <c r="E110" i="22"/>
  <c r="E106" i="22"/>
  <c r="E100" i="22"/>
  <c r="E96" i="22"/>
  <c r="E91" i="22"/>
  <c r="E90" i="22"/>
  <c r="E86" i="22"/>
  <c r="E82" i="22"/>
  <c r="E76" i="22"/>
  <c r="E139" i="22"/>
  <c r="E127" i="22"/>
  <c r="E111" i="22"/>
  <c r="E107" i="22"/>
  <c r="E85" i="22"/>
  <c r="E81" i="22"/>
  <c r="E78" i="22"/>
  <c r="E70" i="22"/>
  <c r="E66" i="22"/>
  <c r="E62" i="22"/>
  <c r="E61" i="22"/>
  <c r="E56" i="22"/>
  <c r="E51" i="22"/>
  <c r="E50" i="22"/>
  <c r="E46" i="22"/>
  <c r="E42" i="22"/>
  <c r="E38" i="22"/>
  <c r="E34" i="22"/>
  <c r="E30" i="22"/>
  <c r="E26" i="22"/>
  <c r="E22" i="22"/>
  <c r="E18" i="22"/>
  <c r="E150" i="22"/>
  <c r="E138" i="22"/>
  <c r="E126" i="22"/>
  <c r="E102" i="22"/>
  <c r="E73" i="22"/>
  <c r="E69" i="22"/>
  <c r="E65" i="22"/>
  <c r="E60" i="22"/>
  <c r="E55" i="22"/>
  <c r="E49" i="22"/>
  <c r="E45" i="22"/>
  <c r="E41" i="22"/>
  <c r="E37" i="22"/>
  <c r="E33" i="22"/>
  <c r="E29" i="22"/>
  <c r="E25" i="22"/>
  <c r="E21" i="22"/>
  <c r="E17" i="22"/>
  <c r="E145" i="22"/>
  <c r="E117" i="22"/>
  <c r="E113" i="22"/>
  <c r="E101" i="22"/>
  <c r="E97" i="22"/>
  <c r="E87" i="22"/>
  <c r="E83" i="22"/>
  <c r="E74" i="22"/>
  <c r="E72" i="22"/>
  <c r="E68" i="22"/>
  <c r="E64" i="22"/>
  <c r="E59" i="22"/>
  <c r="E58" i="22"/>
  <c r="E54" i="22"/>
  <c r="E48" i="22"/>
  <c r="E44" i="22"/>
  <c r="E40" i="22"/>
  <c r="E112" i="22"/>
  <c r="E57" i="22"/>
  <c r="E53" i="22"/>
  <c r="E36" i="22"/>
  <c r="E32" i="22"/>
  <c r="E28" i="22"/>
  <c r="E24" i="22"/>
  <c r="E20" i="22"/>
  <c r="E16" i="22"/>
  <c r="E12" i="22"/>
  <c r="E8" i="22"/>
  <c r="E4" i="22"/>
  <c r="E132" i="22"/>
  <c r="E39" i="22"/>
  <c r="E27" i="22"/>
  <c r="E13" i="22"/>
  <c r="E77" i="22"/>
  <c r="E75" i="22"/>
  <c r="E52" i="22"/>
  <c r="E15" i="22"/>
  <c r="E11" i="22"/>
  <c r="E7" i="22"/>
  <c r="E3" i="22"/>
  <c r="E31" i="22"/>
  <c r="E19" i="22"/>
  <c r="E92" i="22"/>
  <c r="E71" i="22"/>
  <c r="E67" i="22"/>
  <c r="E63" i="22"/>
  <c r="E47" i="22"/>
  <c r="E43" i="22"/>
  <c r="E14" i="22"/>
  <c r="E10" i="22"/>
  <c r="E6" i="22"/>
  <c r="E35" i="22"/>
  <c r="E23" i="22"/>
  <c r="E9" i="22"/>
  <c r="E5" i="22"/>
  <c r="G161" i="22"/>
  <c r="F163" i="22"/>
  <c r="G9" i="48"/>
  <c r="H9" i="48" s="1"/>
  <c r="G21" i="48"/>
  <c r="H21" i="48" s="1"/>
  <c r="G40" i="48"/>
  <c r="H40" i="48" s="1"/>
  <c r="G60" i="48"/>
  <c r="H60" i="48" s="1"/>
  <c r="J89" i="48"/>
  <c r="G89" i="48"/>
  <c r="H89" i="48" s="1"/>
  <c r="G149" i="48"/>
  <c r="H149" i="48" s="1"/>
  <c r="J78" i="48"/>
  <c r="G78" i="48"/>
  <c r="H78" i="48" s="1"/>
  <c r="G6" i="48"/>
  <c r="H6" i="48" s="1"/>
  <c r="G10" i="48"/>
  <c r="H10" i="48" s="1"/>
  <c r="G14" i="48"/>
  <c r="H14" i="48" s="1"/>
  <c r="G18" i="48"/>
  <c r="H18" i="48" s="1"/>
  <c r="G76" i="48"/>
  <c r="H76" i="48" s="1"/>
  <c r="J25" i="48"/>
  <c r="G25" i="48"/>
  <c r="H25" i="48" s="1"/>
  <c r="G29" i="48"/>
  <c r="H29" i="48" s="1"/>
  <c r="J33" i="48"/>
  <c r="G33" i="48"/>
  <c r="H33" i="48" s="1"/>
  <c r="G37" i="48"/>
  <c r="H37" i="48" s="1"/>
  <c r="J41" i="48"/>
  <c r="G41" i="48"/>
  <c r="H41" i="48" s="1"/>
  <c r="G45" i="48"/>
  <c r="H45" i="48" s="1"/>
  <c r="J49" i="48"/>
  <c r="G49" i="48"/>
  <c r="H49" i="48" s="1"/>
  <c r="G53" i="48"/>
  <c r="H53" i="48" s="1"/>
  <c r="J57" i="48"/>
  <c r="G57" i="48"/>
  <c r="H57" i="48" s="1"/>
  <c r="G61" i="48"/>
  <c r="H61" i="48" s="1"/>
  <c r="J65" i="48"/>
  <c r="G65" i="48"/>
  <c r="H65" i="48" s="1"/>
  <c r="G69" i="48"/>
  <c r="H69" i="48" s="1"/>
  <c r="J73" i="48"/>
  <c r="G73" i="48"/>
  <c r="H73" i="48" s="1"/>
  <c r="G82" i="48"/>
  <c r="H82" i="48" s="1"/>
  <c r="J86" i="48"/>
  <c r="G86" i="48"/>
  <c r="H86" i="48" s="1"/>
  <c r="G90" i="48"/>
  <c r="H90" i="48" s="1"/>
  <c r="J94" i="48"/>
  <c r="G94" i="48"/>
  <c r="H94" i="48" s="1"/>
  <c r="G98" i="48"/>
  <c r="H98" i="48" s="1"/>
  <c r="J102" i="48"/>
  <c r="G102" i="48"/>
  <c r="H102" i="48" s="1"/>
  <c r="G106" i="48"/>
  <c r="H106" i="48" s="1"/>
  <c r="J110" i="48"/>
  <c r="G110" i="48"/>
  <c r="H110" i="48" s="1"/>
  <c r="G114" i="48"/>
  <c r="H114" i="48" s="1"/>
  <c r="J118" i="48"/>
  <c r="G118" i="48"/>
  <c r="H118" i="48" s="1"/>
  <c r="G122" i="48"/>
  <c r="H122" i="48" s="1"/>
  <c r="J126" i="48"/>
  <c r="G126" i="48"/>
  <c r="H126" i="48" s="1"/>
  <c r="G130" i="48"/>
  <c r="H130" i="48" s="1"/>
  <c r="J134" i="48"/>
  <c r="G134" i="48"/>
  <c r="H134" i="48" s="1"/>
  <c r="G138" i="48"/>
  <c r="H138" i="48" s="1"/>
  <c r="J142" i="48"/>
  <c r="G142" i="48"/>
  <c r="H142" i="48" s="1"/>
  <c r="G146" i="48"/>
  <c r="H146" i="48" s="1"/>
  <c r="J150" i="48"/>
  <c r="G150" i="48"/>
  <c r="H150" i="48" s="1"/>
  <c r="G154" i="48"/>
  <c r="H154" i="48" s="1"/>
  <c r="J22" i="48"/>
  <c r="G22" i="48"/>
  <c r="H22" i="48" s="1"/>
  <c r="G13" i="48"/>
  <c r="H13" i="48" s="1"/>
  <c r="G24" i="48"/>
  <c r="H24" i="48" s="1"/>
  <c r="G32" i="48"/>
  <c r="H32" i="48" s="1"/>
  <c r="G44" i="48"/>
  <c r="H44" i="48" s="1"/>
  <c r="G56" i="48"/>
  <c r="H56" i="48" s="1"/>
  <c r="G68" i="48"/>
  <c r="H68" i="48" s="1"/>
  <c r="G79" i="48"/>
  <c r="H79" i="48" s="1"/>
  <c r="J93" i="48"/>
  <c r="G93" i="48"/>
  <c r="H93" i="48" s="1"/>
  <c r="G101" i="48"/>
  <c r="H101" i="48" s="1"/>
  <c r="J105" i="48"/>
  <c r="G105" i="48"/>
  <c r="H105" i="48" s="1"/>
  <c r="G113" i="48"/>
  <c r="H113" i="48" s="1"/>
  <c r="J121" i="48"/>
  <c r="G121" i="48"/>
  <c r="H121" i="48" s="1"/>
  <c r="G129" i="48"/>
  <c r="H129" i="48" s="1"/>
  <c r="J141" i="48"/>
  <c r="G141" i="48"/>
  <c r="H141" i="48" s="1"/>
  <c r="G23" i="48"/>
  <c r="H23" i="48" s="1"/>
  <c r="G3" i="48"/>
  <c r="H3" i="48" s="1"/>
  <c r="G7" i="48"/>
  <c r="H7" i="48" s="1"/>
  <c r="G11" i="48"/>
  <c r="H11" i="48" s="1"/>
  <c r="G15" i="48"/>
  <c r="H15" i="48" s="1"/>
  <c r="G19" i="48"/>
  <c r="H19" i="48" s="1"/>
  <c r="G77" i="48"/>
  <c r="H77" i="48" s="1"/>
  <c r="G26" i="48"/>
  <c r="H26" i="48" s="1"/>
  <c r="G30" i="48"/>
  <c r="H30" i="48" s="1"/>
  <c r="G34" i="48"/>
  <c r="H34" i="48" s="1"/>
  <c r="G38" i="48"/>
  <c r="H38" i="48" s="1"/>
  <c r="G42" i="48"/>
  <c r="H42" i="48" s="1"/>
  <c r="G46" i="48"/>
  <c r="H46" i="48" s="1"/>
  <c r="G50" i="48"/>
  <c r="H50" i="48" s="1"/>
  <c r="G54" i="48"/>
  <c r="H54" i="48" s="1"/>
  <c r="G58" i="48"/>
  <c r="H58" i="48" s="1"/>
  <c r="G62" i="48"/>
  <c r="H62" i="48" s="1"/>
  <c r="G66" i="48"/>
  <c r="H66" i="48" s="1"/>
  <c r="G70" i="48"/>
  <c r="H70" i="48" s="1"/>
  <c r="G74" i="48"/>
  <c r="H74" i="48" s="1"/>
  <c r="G83" i="48"/>
  <c r="H83" i="48" s="1"/>
  <c r="J87" i="48"/>
  <c r="G87" i="48"/>
  <c r="H87" i="48" s="1"/>
  <c r="G91" i="48"/>
  <c r="H91" i="48" s="1"/>
  <c r="J95" i="48"/>
  <c r="G95" i="48"/>
  <c r="H95" i="48" s="1"/>
  <c r="G99" i="48"/>
  <c r="H99" i="48" s="1"/>
  <c r="J103" i="48"/>
  <c r="G103" i="48"/>
  <c r="H103" i="48" s="1"/>
  <c r="G107" i="48"/>
  <c r="H107" i="48" s="1"/>
  <c r="J111" i="48"/>
  <c r="G111" i="48"/>
  <c r="H111" i="48" s="1"/>
  <c r="G115" i="48"/>
  <c r="H115" i="48" s="1"/>
  <c r="J119" i="48"/>
  <c r="G119" i="48"/>
  <c r="H119" i="48" s="1"/>
  <c r="G123" i="48"/>
  <c r="H123" i="48" s="1"/>
  <c r="J127" i="48"/>
  <c r="G127" i="48"/>
  <c r="H127" i="48" s="1"/>
  <c r="G131" i="48"/>
  <c r="H131" i="48" s="1"/>
  <c r="J135" i="48"/>
  <c r="G135" i="48"/>
  <c r="H135" i="48" s="1"/>
  <c r="G139" i="48"/>
  <c r="H139" i="48" s="1"/>
  <c r="J143" i="48"/>
  <c r="G143" i="48"/>
  <c r="H143" i="48" s="1"/>
  <c r="G147" i="48"/>
  <c r="H147" i="48" s="1"/>
  <c r="J151" i="48"/>
  <c r="G151" i="48"/>
  <c r="H151" i="48" s="1"/>
  <c r="G5" i="48"/>
  <c r="H5" i="48" s="1"/>
  <c r="G17" i="48"/>
  <c r="H17" i="48" s="1"/>
  <c r="G28" i="48"/>
  <c r="H28" i="48" s="1"/>
  <c r="G36" i="48"/>
  <c r="H36" i="48" s="1"/>
  <c r="G48" i="48"/>
  <c r="H48" i="48" s="1"/>
  <c r="G52" i="48"/>
  <c r="H52" i="48" s="1"/>
  <c r="G64" i="48"/>
  <c r="H64" i="48" s="1"/>
  <c r="G72" i="48"/>
  <c r="H72" i="48" s="1"/>
  <c r="G85" i="48"/>
  <c r="H85" i="48" s="1"/>
  <c r="J97" i="48"/>
  <c r="G97" i="48"/>
  <c r="H97" i="48" s="1"/>
  <c r="G109" i="48"/>
  <c r="H109" i="48" s="1"/>
  <c r="J117" i="48"/>
  <c r="G117" i="48"/>
  <c r="H117" i="48" s="1"/>
  <c r="G125" i="48"/>
  <c r="H125" i="48" s="1"/>
  <c r="J133" i="48"/>
  <c r="G133" i="48"/>
  <c r="H133" i="48" s="1"/>
  <c r="G137" i="48"/>
  <c r="H137" i="48" s="1"/>
  <c r="J145" i="48"/>
  <c r="G145" i="48"/>
  <c r="H145" i="48" s="1"/>
  <c r="G153" i="48"/>
  <c r="H153" i="48" s="1"/>
  <c r="J80" i="48"/>
  <c r="G80" i="48"/>
  <c r="H80" i="48" s="1"/>
  <c r="G4" i="48"/>
  <c r="H4" i="48" s="1"/>
  <c r="G8" i="48"/>
  <c r="H8" i="48" s="1"/>
  <c r="G12" i="48"/>
  <c r="H12" i="48" s="1"/>
  <c r="G16" i="48"/>
  <c r="H16" i="48" s="1"/>
  <c r="G20" i="48"/>
  <c r="H20" i="48" s="1"/>
  <c r="J81" i="48"/>
  <c r="G81" i="48"/>
  <c r="H81" i="48" s="1"/>
  <c r="G27" i="48"/>
  <c r="H27" i="48" s="1"/>
  <c r="J31" i="48"/>
  <c r="G31" i="48"/>
  <c r="H31" i="48" s="1"/>
  <c r="G35" i="48"/>
  <c r="H35" i="48" s="1"/>
  <c r="J39" i="48"/>
  <c r="G39" i="48"/>
  <c r="H39" i="48" s="1"/>
  <c r="G43" i="48"/>
  <c r="H43" i="48" s="1"/>
  <c r="J47" i="48"/>
  <c r="G47" i="48"/>
  <c r="H47" i="48" s="1"/>
  <c r="G51" i="48"/>
  <c r="H51" i="48" s="1"/>
  <c r="J55" i="48"/>
  <c r="G55" i="48"/>
  <c r="H55" i="48" s="1"/>
  <c r="G59" i="48"/>
  <c r="H59" i="48" s="1"/>
  <c r="J63" i="48"/>
  <c r="G63" i="48"/>
  <c r="H63" i="48" s="1"/>
  <c r="G67" i="48"/>
  <c r="H67" i="48" s="1"/>
  <c r="J71" i="48"/>
  <c r="G71" i="48"/>
  <c r="H71" i="48" s="1"/>
  <c r="G75" i="48"/>
  <c r="H75" i="48" s="1"/>
  <c r="J84" i="48"/>
  <c r="G84" i="48"/>
  <c r="H84" i="48" s="1"/>
  <c r="G88" i="48"/>
  <c r="H88" i="48" s="1"/>
  <c r="J92" i="48"/>
  <c r="G92" i="48"/>
  <c r="H92" i="48" s="1"/>
  <c r="G96" i="48"/>
  <c r="H96" i="48" s="1"/>
  <c r="J100" i="48"/>
  <c r="G100" i="48"/>
  <c r="H100" i="48" s="1"/>
  <c r="G104" i="48"/>
  <c r="H104" i="48" s="1"/>
  <c r="J108" i="48"/>
  <c r="G108" i="48"/>
  <c r="H108" i="48" s="1"/>
  <c r="G112" i="48"/>
  <c r="H112" i="48" s="1"/>
  <c r="J116" i="48"/>
  <c r="G116" i="48"/>
  <c r="H116" i="48" s="1"/>
  <c r="G120" i="48"/>
  <c r="H120" i="48" s="1"/>
  <c r="J124" i="48"/>
  <c r="G124" i="48"/>
  <c r="H124" i="48" s="1"/>
  <c r="G128" i="48"/>
  <c r="H128" i="48" s="1"/>
  <c r="J132" i="48"/>
  <c r="G132" i="48"/>
  <c r="H132" i="48" s="1"/>
  <c r="G136" i="48"/>
  <c r="H136" i="48" s="1"/>
  <c r="J140" i="48"/>
  <c r="G140" i="48"/>
  <c r="H140" i="48" s="1"/>
  <c r="G144" i="48"/>
  <c r="H144" i="48" s="1"/>
  <c r="J148" i="48"/>
  <c r="G148" i="48"/>
  <c r="H148" i="48" s="1"/>
  <c r="G152" i="48"/>
  <c r="H152" i="48" s="1"/>
  <c r="I161" i="40"/>
  <c r="F25" i="41"/>
  <c r="F163" i="40"/>
  <c r="G161" i="40"/>
  <c r="C16" i="14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4" i="40"/>
  <c r="E133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6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E83" i="40"/>
  <c r="E82" i="40"/>
  <c r="E81" i="40"/>
  <c r="E80" i="40"/>
  <c r="E26" i="40"/>
  <c r="E22" i="40"/>
  <c r="E78" i="40"/>
  <c r="E77" i="40"/>
  <c r="E76" i="40"/>
  <c r="E75" i="40"/>
  <c r="E74" i="40"/>
  <c r="E73" i="40"/>
  <c r="E72" i="40"/>
  <c r="E71" i="40"/>
  <c r="E70" i="40"/>
  <c r="E69" i="40"/>
  <c r="E68" i="40"/>
  <c r="E67" i="40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79" i="40"/>
  <c r="E29" i="40"/>
  <c r="E21" i="40"/>
  <c r="E18" i="40"/>
  <c r="E14" i="40"/>
  <c r="E10" i="40"/>
  <c r="E6" i="40"/>
  <c r="E25" i="40"/>
  <c r="E24" i="40"/>
  <c r="E19" i="40"/>
  <c r="E15" i="40"/>
  <c r="E11" i="40"/>
  <c r="E7" i="40"/>
  <c r="E3" i="40"/>
  <c r="E27" i="40"/>
  <c r="E16" i="40"/>
  <c r="E28" i="40"/>
  <c r="E23" i="40"/>
  <c r="E20" i="40"/>
  <c r="E17" i="40"/>
  <c r="E13" i="40"/>
  <c r="E9" i="40"/>
  <c r="E5" i="40"/>
  <c r="E12" i="40"/>
  <c r="E8" i="40"/>
  <c r="E4" i="40"/>
  <c r="I158" i="43"/>
  <c r="I108" i="43"/>
  <c r="I133" i="43"/>
  <c r="I6" i="43"/>
  <c r="I29" i="43"/>
  <c r="I46" i="43"/>
  <c r="I74" i="43"/>
  <c r="I96" i="43"/>
  <c r="I117" i="43"/>
  <c r="I144" i="43"/>
  <c r="I10" i="43"/>
  <c r="I33" i="43"/>
  <c r="I51" i="43"/>
  <c r="I80" i="43"/>
  <c r="I103" i="43"/>
  <c r="I125" i="43"/>
  <c r="I153" i="43"/>
  <c r="I24" i="43"/>
  <c r="I42" i="43"/>
  <c r="I67" i="43"/>
  <c r="I91" i="43"/>
  <c r="I112" i="43"/>
  <c r="I137" i="43"/>
  <c r="I14" i="43"/>
  <c r="I27" i="43"/>
  <c r="I35" i="43"/>
  <c r="I44" i="43"/>
  <c r="I53" i="43"/>
  <c r="I69" i="43"/>
  <c r="I83" i="43"/>
  <c r="I94" i="43"/>
  <c r="I106" i="43"/>
  <c r="I115" i="43"/>
  <c r="I129" i="43"/>
  <c r="I140" i="43"/>
  <c r="I157" i="43"/>
  <c r="I8" i="43"/>
  <c r="I19" i="43"/>
  <c r="I31" i="43"/>
  <c r="I39" i="43"/>
  <c r="I49" i="43"/>
  <c r="I64" i="43"/>
  <c r="I77" i="43"/>
  <c r="I89" i="43"/>
  <c r="I100" i="43"/>
  <c r="I110" i="43"/>
  <c r="I120" i="43"/>
  <c r="I135" i="43"/>
  <c r="I149" i="43"/>
  <c r="I147" i="43"/>
  <c r="I151" i="43"/>
  <c r="I155" i="43"/>
  <c r="I159" i="43"/>
  <c r="I3" i="43"/>
  <c r="I9" i="43"/>
  <c r="I16" i="43"/>
  <c r="I20" i="43"/>
  <c r="I28" i="43"/>
  <c r="I32" i="43"/>
  <c r="I36" i="43"/>
  <c r="I41" i="43"/>
  <c r="I45" i="43"/>
  <c r="I50" i="43"/>
  <c r="I55" i="43"/>
  <c r="I66" i="43"/>
  <c r="I72" i="43"/>
  <c r="I78" i="43"/>
  <c r="I84" i="43"/>
  <c r="I90" i="43"/>
  <c r="I95" i="43"/>
  <c r="I101" i="43"/>
  <c r="I107" i="43"/>
  <c r="I111" i="43"/>
  <c r="I116" i="43"/>
  <c r="I123" i="43"/>
  <c r="I131" i="43"/>
  <c r="I136" i="43"/>
  <c r="I142" i="43"/>
  <c r="I148" i="43"/>
  <c r="I152" i="43"/>
  <c r="I156" i="43"/>
  <c r="I160" i="43"/>
  <c r="I7" i="43"/>
  <c r="I11" i="43"/>
  <c r="I18" i="43"/>
  <c r="I26" i="43"/>
  <c r="I30" i="43"/>
  <c r="I34" i="43"/>
  <c r="I38" i="43"/>
  <c r="I43" i="43"/>
  <c r="I47" i="43"/>
  <c r="I52" i="43"/>
  <c r="I61" i="43"/>
  <c r="I68" i="43"/>
  <c r="I75" i="43"/>
  <c r="I81" i="43"/>
  <c r="I87" i="43"/>
  <c r="I93" i="43"/>
  <c r="I98" i="43"/>
  <c r="I104" i="43"/>
  <c r="I109" i="43"/>
  <c r="I114" i="43"/>
  <c r="I118" i="43"/>
  <c r="I126" i="43"/>
  <c r="I134" i="43"/>
  <c r="I139" i="43"/>
  <c r="I145" i="43"/>
  <c r="I150" i="43"/>
  <c r="I154" i="43"/>
  <c r="I127" i="43"/>
  <c r="I62" i="43"/>
  <c r="I105" i="43"/>
  <c r="I130" i="43"/>
  <c r="I65" i="43"/>
  <c r="I21" i="43"/>
  <c r="I119" i="43"/>
  <c r="I97" i="43"/>
  <c r="I57" i="43"/>
  <c r="I5" i="43"/>
  <c r="I60" i="43"/>
  <c r="I76" i="43"/>
  <c r="I85" i="43"/>
  <c r="I113" i="43"/>
  <c r="I128" i="43"/>
  <c r="F70" i="43"/>
  <c r="G70" i="43" s="1"/>
  <c r="I15" i="43"/>
  <c r="I73" i="43"/>
  <c r="I124" i="43"/>
  <c r="F48" i="43"/>
  <c r="G48" i="43" s="1"/>
  <c r="F4" i="43"/>
  <c r="G4" i="43" s="1"/>
  <c r="F88" i="43"/>
  <c r="G88" i="43" s="1"/>
  <c r="I12" i="43"/>
  <c r="I23" i="43"/>
  <c r="I40" i="43"/>
  <c r="I58" i="43"/>
  <c r="I92" i="43"/>
  <c r="I132" i="43"/>
  <c r="I22" i="43"/>
  <c r="I54" i="43"/>
  <c r="I102" i="43"/>
  <c r="I122" i="43"/>
  <c r="F119" i="43"/>
  <c r="G119" i="43" s="1"/>
  <c r="F97" i="43"/>
  <c r="G97" i="43" s="1"/>
  <c r="F57" i="43"/>
  <c r="G57" i="43" s="1"/>
  <c r="F99" i="43"/>
  <c r="G99" i="43" s="1"/>
  <c r="F141" i="43"/>
  <c r="G141" i="43" s="1"/>
  <c r="I59" i="43"/>
  <c r="I63" i="43"/>
  <c r="I71" i="43"/>
  <c r="I79" i="43"/>
  <c r="F21" i="43"/>
  <c r="G21" i="43" s="1"/>
  <c r="F25" i="43"/>
  <c r="G25" i="43" s="1"/>
  <c r="I13" i="43"/>
  <c r="F28" i="38"/>
  <c r="I161" i="35"/>
  <c r="F86" i="35"/>
  <c r="G86" i="35" s="1"/>
  <c r="F87" i="35"/>
  <c r="G87" i="35" s="1"/>
  <c r="F158" i="35"/>
  <c r="G158" i="35" s="1"/>
  <c r="F150" i="35"/>
  <c r="G150" i="35" s="1"/>
  <c r="F142" i="35"/>
  <c r="G142" i="35" s="1"/>
  <c r="F134" i="35"/>
  <c r="G134" i="35" s="1"/>
  <c r="F126" i="35"/>
  <c r="G126" i="35" s="1"/>
  <c r="F118" i="35"/>
  <c r="G118" i="35" s="1"/>
  <c r="F110" i="35"/>
  <c r="G110" i="35" s="1"/>
  <c r="F102" i="35"/>
  <c r="G102" i="35" s="1"/>
  <c r="F94" i="35"/>
  <c r="G94" i="35" s="1"/>
  <c r="F149" i="35"/>
  <c r="G149" i="35" s="1"/>
  <c r="F133" i="35"/>
  <c r="G133" i="35" s="1"/>
  <c r="F109" i="35"/>
  <c r="G109" i="35" s="1"/>
  <c r="F89" i="35"/>
  <c r="G89" i="35" s="1"/>
  <c r="F156" i="35"/>
  <c r="G156" i="35" s="1"/>
  <c r="F148" i="35"/>
  <c r="G148" i="35" s="1"/>
  <c r="F140" i="35"/>
  <c r="G140" i="35" s="1"/>
  <c r="F132" i="35"/>
  <c r="G132" i="35" s="1"/>
  <c r="F124" i="35"/>
  <c r="G124" i="35" s="1"/>
  <c r="F116" i="35"/>
  <c r="G116" i="35" s="1"/>
  <c r="F108" i="35"/>
  <c r="G108" i="35" s="1"/>
  <c r="F100" i="35"/>
  <c r="G100" i="35" s="1"/>
  <c r="F92" i="35"/>
  <c r="G92" i="35" s="1"/>
  <c r="F84" i="35"/>
  <c r="G84" i="35" s="1"/>
  <c r="F157" i="35"/>
  <c r="G157" i="35" s="1"/>
  <c r="F125" i="35"/>
  <c r="G125" i="35" s="1"/>
  <c r="F97" i="35"/>
  <c r="G97" i="35" s="1"/>
  <c r="F159" i="35"/>
  <c r="G159" i="35" s="1"/>
  <c r="F151" i="35"/>
  <c r="G151" i="35" s="1"/>
  <c r="F143" i="35"/>
  <c r="G143" i="35" s="1"/>
  <c r="F135" i="35"/>
  <c r="G135" i="35" s="1"/>
  <c r="F127" i="35"/>
  <c r="G127" i="35" s="1"/>
  <c r="F119" i="35"/>
  <c r="G119" i="35" s="1"/>
  <c r="F111" i="35"/>
  <c r="G111" i="35" s="1"/>
  <c r="F103" i="35"/>
  <c r="G103" i="35" s="1"/>
  <c r="F95" i="35"/>
  <c r="G95" i="35" s="1"/>
  <c r="F153" i="35"/>
  <c r="G153" i="35" s="1"/>
  <c r="F129" i="35"/>
  <c r="G129" i="35" s="1"/>
  <c r="F105" i="35"/>
  <c r="G105" i="35" s="1"/>
  <c r="F7" i="35"/>
  <c r="G7" i="35" s="1"/>
  <c r="F5" i="35"/>
  <c r="G5" i="35" s="1"/>
  <c r="F3" i="35"/>
  <c r="G3" i="35" s="1"/>
  <c r="F6" i="35"/>
  <c r="G6" i="35" s="1"/>
  <c r="F9" i="35"/>
  <c r="G9" i="35" s="1"/>
  <c r="F4" i="35"/>
  <c r="G4" i="35" s="1"/>
  <c r="F17" i="35"/>
  <c r="G17" i="35" s="1"/>
  <c r="F11" i="35"/>
  <c r="G11" i="35" s="1"/>
  <c r="F19" i="35"/>
  <c r="G19" i="35" s="1"/>
  <c r="F14" i="35"/>
  <c r="G14" i="35" s="1"/>
  <c r="F25" i="35"/>
  <c r="G25" i="35" s="1"/>
  <c r="F35" i="35"/>
  <c r="G35" i="35" s="1"/>
  <c r="F43" i="35"/>
  <c r="G43" i="35" s="1"/>
  <c r="F51" i="35"/>
  <c r="G51" i="35" s="1"/>
  <c r="F59" i="35"/>
  <c r="G59" i="35" s="1"/>
  <c r="F67" i="35"/>
  <c r="G67" i="35" s="1"/>
  <c r="F75" i="35"/>
  <c r="G75" i="35" s="1"/>
  <c r="F16" i="35"/>
  <c r="G16" i="35" s="1"/>
  <c r="F24" i="35"/>
  <c r="G24" i="35" s="1"/>
  <c r="F34" i="35"/>
  <c r="G34" i="35" s="1"/>
  <c r="F42" i="35"/>
  <c r="G42" i="35" s="1"/>
  <c r="F50" i="35"/>
  <c r="G50" i="35" s="1"/>
  <c r="F58" i="35"/>
  <c r="G58" i="35" s="1"/>
  <c r="F66" i="35"/>
  <c r="G66" i="35" s="1"/>
  <c r="F74" i="35"/>
  <c r="G74" i="35" s="1"/>
  <c r="F78" i="35"/>
  <c r="G78" i="35" s="1"/>
  <c r="F29" i="35"/>
  <c r="G29" i="35" s="1"/>
  <c r="F47" i="35"/>
  <c r="G47" i="35" s="1"/>
  <c r="F71" i="35"/>
  <c r="G71" i="35" s="1"/>
  <c r="F28" i="35"/>
  <c r="G28" i="35" s="1"/>
  <c r="F62" i="35"/>
  <c r="G62" i="35" s="1"/>
  <c r="F77" i="35"/>
  <c r="G77" i="35" s="1"/>
  <c r="F18" i="35"/>
  <c r="G18" i="35" s="1"/>
  <c r="F27" i="35"/>
  <c r="G27" i="35" s="1"/>
  <c r="F37" i="35"/>
  <c r="G37" i="35" s="1"/>
  <c r="F45" i="35"/>
  <c r="G45" i="35" s="1"/>
  <c r="F53" i="35"/>
  <c r="G53" i="35" s="1"/>
  <c r="F61" i="35"/>
  <c r="G61" i="35" s="1"/>
  <c r="F69" i="35"/>
  <c r="G69" i="35" s="1"/>
  <c r="F26" i="35"/>
  <c r="G26" i="35" s="1"/>
  <c r="F36" i="35"/>
  <c r="G36" i="35" s="1"/>
  <c r="F44" i="35"/>
  <c r="G44" i="35" s="1"/>
  <c r="F52" i="35"/>
  <c r="G52" i="35" s="1"/>
  <c r="F60" i="35"/>
  <c r="G60" i="35" s="1"/>
  <c r="F68" i="35"/>
  <c r="G68" i="35" s="1"/>
  <c r="F76" i="35"/>
  <c r="G76" i="35" s="1"/>
  <c r="F63" i="35"/>
  <c r="G63" i="35" s="1"/>
  <c r="F20" i="35"/>
  <c r="G20" i="35" s="1"/>
  <c r="F46" i="35"/>
  <c r="G46" i="35" s="1"/>
  <c r="F70" i="35"/>
  <c r="G70" i="35" s="1"/>
  <c r="F13" i="35"/>
  <c r="G13" i="35" s="1"/>
  <c r="F10" i="35"/>
  <c r="G10" i="35" s="1"/>
  <c r="F23" i="35"/>
  <c r="G23" i="35" s="1"/>
  <c r="F33" i="35"/>
  <c r="G33" i="35" s="1"/>
  <c r="F41" i="35"/>
  <c r="G41" i="35" s="1"/>
  <c r="F49" i="35"/>
  <c r="G49" i="35" s="1"/>
  <c r="F57" i="35"/>
  <c r="G57" i="35" s="1"/>
  <c r="F65" i="35"/>
  <c r="G65" i="35" s="1"/>
  <c r="F73" i="35"/>
  <c r="G73" i="35" s="1"/>
  <c r="F22" i="35"/>
  <c r="G22" i="35" s="1"/>
  <c r="F30" i="35"/>
  <c r="G30" i="35" s="1"/>
  <c r="F40" i="35"/>
  <c r="G40" i="35" s="1"/>
  <c r="F48" i="35"/>
  <c r="G48" i="35" s="1"/>
  <c r="F56" i="35"/>
  <c r="G56" i="35" s="1"/>
  <c r="F64" i="35"/>
  <c r="G64" i="35" s="1"/>
  <c r="F72" i="35"/>
  <c r="G72" i="35" s="1"/>
  <c r="F79" i="35"/>
  <c r="G79" i="35" s="1"/>
  <c r="F15" i="35"/>
  <c r="G15" i="35" s="1"/>
  <c r="F21" i="35"/>
  <c r="G21" i="35" s="1"/>
  <c r="F39" i="35"/>
  <c r="G39" i="35" s="1"/>
  <c r="F55" i="35"/>
  <c r="G55" i="35" s="1"/>
  <c r="F12" i="35"/>
  <c r="G12" i="35" s="1"/>
  <c r="F38" i="35"/>
  <c r="G38" i="35" s="1"/>
  <c r="F54" i="35"/>
  <c r="G54" i="35" s="1"/>
  <c r="F154" i="35"/>
  <c r="G154" i="35" s="1"/>
  <c r="F146" i="35"/>
  <c r="G146" i="35" s="1"/>
  <c r="F138" i="35"/>
  <c r="G138" i="35" s="1"/>
  <c r="F130" i="35"/>
  <c r="G130" i="35" s="1"/>
  <c r="F122" i="35"/>
  <c r="G122" i="35" s="1"/>
  <c r="F114" i="35"/>
  <c r="G114" i="35" s="1"/>
  <c r="F106" i="35"/>
  <c r="G106" i="35" s="1"/>
  <c r="F98" i="35"/>
  <c r="G98" i="35" s="1"/>
  <c r="F137" i="35"/>
  <c r="G137" i="35" s="1"/>
  <c r="F121" i="35"/>
  <c r="G121" i="35" s="1"/>
  <c r="F101" i="35"/>
  <c r="G101" i="35" s="1"/>
  <c r="F160" i="35"/>
  <c r="G160" i="35" s="1"/>
  <c r="F152" i="35"/>
  <c r="G152" i="35" s="1"/>
  <c r="F144" i="35"/>
  <c r="G144" i="35" s="1"/>
  <c r="F136" i="35"/>
  <c r="G136" i="35" s="1"/>
  <c r="F128" i="35"/>
  <c r="G128" i="35" s="1"/>
  <c r="F120" i="35"/>
  <c r="G120" i="35" s="1"/>
  <c r="F112" i="35"/>
  <c r="G112" i="35" s="1"/>
  <c r="F104" i="35"/>
  <c r="G104" i="35" s="1"/>
  <c r="F96" i="35"/>
  <c r="G96" i="35" s="1"/>
  <c r="F88" i="35"/>
  <c r="G88" i="35" s="1"/>
  <c r="F80" i="35"/>
  <c r="G80" i="35" s="1"/>
  <c r="F145" i="35"/>
  <c r="G145" i="35" s="1"/>
  <c r="F113" i="35"/>
  <c r="G113" i="35" s="1"/>
  <c r="F81" i="35"/>
  <c r="G81" i="35" s="1"/>
  <c r="F155" i="35"/>
  <c r="G155" i="35" s="1"/>
  <c r="F147" i="35"/>
  <c r="G147" i="35" s="1"/>
  <c r="F139" i="35"/>
  <c r="G139" i="35" s="1"/>
  <c r="F131" i="35"/>
  <c r="G131" i="35" s="1"/>
  <c r="F123" i="35"/>
  <c r="G123" i="35" s="1"/>
  <c r="F115" i="35"/>
  <c r="G115" i="35" s="1"/>
  <c r="F107" i="35"/>
  <c r="G107" i="35" s="1"/>
  <c r="F99" i="35"/>
  <c r="G99" i="35" s="1"/>
  <c r="F91" i="35"/>
  <c r="G91" i="35" s="1"/>
  <c r="F141" i="35"/>
  <c r="G141" i="35" s="1"/>
  <c r="F117" i="35"/>
  <c r="G117" i="35" s="1"/>
  <c r="F93" i="35"/>
  <c r="G93" i="35" s="1"/>
  <c r="F41" i="37"/>
  <c r="E158" i="32"/>
  <c r="E154" i="32"/>
  <c r="E150" i="32"/>
  <c r="E146" i="32"/>
  <c r="E142" i="32"/>
  <c r="E138" i="32"/>
  <c r="E134" i="32"/>
  <c r="E130" i="32"/>
  <c r="E126" i="32"/>
  <c r="E122" i="32"/>
  <c r="E118" i="32"/>
  <c r="E114" i="32"/>
  <c r="E110" i="32"/>
  <c r="E106" i="32"/>
  <c r="E102" i="32"/>
  <c r="E98" i="32"/>
  <c r="E94" i="32"/>
  <c r="E90" i="32"/>
  <c r="E86" i="32"/>
  <c r="E82" i="32"/>
  <c r="E77" i="32"/>
  <c r="E73" i="32"/>
  <c r="E69" i="32"/>
  <c r="E65" i="32"/>
  <c r="E61" i="32"/>
  <c r="E57" i="32"/>
  <c r="E53" i="32"/>
  <c r="E160" i="32"/>
  <c r="E156" i="32"/>
  <c r="E152" i="32"/>
  <c r="E148" i="32"/>
  <c r="E144" i="32"/>
  <c r="E140" i="32"/>
  <c r="E136" i="32"/>
  <c r="E132" i="32"/>
  <c r="E128" i="32"/>
  <c r="E124" i="32"/>
  <c r="E120" i="32"/>
  <c r="E116" i="32"/>
  <c r="E112" i="32"/>
  <c r="E108" i="32"/>
  <c r="E104" i="32"/>
  <c r="E100" i="32"/>
  <c r="E96" i="32"/>
  <c r="E92" i="32"/>
  <c r="E88" i="32"/>
  <c r="E84" i="32"/>
  <c r="E80" i="32"/>
  <c r="E79" i="32"/>
  <c r="E75" i="32"/>
  <c r="E71" i="32"/>
  <c r="E157" i="32"/>
  <c r="E153" i="32"/>
  <c r="E149" i="32"/>
  <c r="E145" i="32"/>
  <c r="E141" i="32"/>
  <c r="E137" i="32"/>
  <c r="E133" i="32"/>
  <c r="E129" i="32"/>
  <c r="E125" i="32"/>
  <c r="E121" i="32"/>
  <c r="E117" i="32"/>
  <c r="E113" i="32"/>
  <c r="E109" i="32"/>
  <c r="E105" i="32"/>
  <c r="E101" i="32"/>
  <c r="E97" i="32"/>
  <c r="E93" i="32"/>
  <c r="E89" i="32"/>
  <c r="E85" i="32"/>
  <c r="E81" i="32"/>
  <c r="E76" i="32"/>
  <c r="E72" i="32"/>
  <c r="E68" i="32"/>
  <c r="E64" i="32"/>
  <c r="E60" i="32"/>
  <c r="E56" i="32"/>
  <c r="E52" i="32"/>
  <c r="E151" i="32"/>
  <c r="E135" i="32"/>
  <c r="E119" i="32"/>
  <c r="E103" i="32"/>
  <c r="E87" i="32"/>
  <c r="E78" i="32"/>
  <c r="E63" i="32"/>
  <c r="E55" i="32"/>
  <c r="E48" i="32"/>
  <c r="E44" i="32"/>
  <c r="E40" i="32"/>
  <c r="E36" i="32"/>
  <c r="E32" i="32"/>
  <c r="E28" i="32"/>
  <c r="E24" i="32"/>
  <c r="E20" i="32"/>
  <c r="E16" i="32"/>
  <c r="E12" i="32"/>
  <c r="E8" i="32"/>
  <c r="E4" i="32"/>
  <c r="E49" i="32"/>
  <c r="E45" i="32"/>
  <c r="E37" i="32"/>
  <c r="E159" i="32"/>
  <c r="E143" i="32"/>
  <c r="E127" i="32"/>
  <c r="E111" i="32"/>
  <c r="E95" i="32"/>
  <c r="E70" i="32"/>
  <c r="E67" i="32"/>
  <c r="E59" i="32"/>
  <c r="E51" i="32"/>
  <c r="E46" i="32"/>
  <c r="E42" i="32"/>
  <c r="E38" i="32"/>
  <c r="E34" i="32"/>
  <c r="E30" i="32"/>
  <c r="E26" i="32"/>
  <c r="E22" i="32"/>
  <c r="E18" i="32"/>
  <c r="E14" i="32"/>
  <c r="E10" i="32"/>
  <c r="E6" i="32"/>
  <c r="E155" i="32"/>
  <c r="E139" i="32"/>
  <c r="E123" i="32"/>
  <c r="E107" i="32"/>
  <c r="E41" i="32"/>
  <c r="E147" i="32"/>
  <c r="E131" i="32"/>
  <c r="E115" i="32"/>
  <c r="E99" i="32"/>
  <c r="E83" i="32"/>
  <c r="E74" i="32"/>
  <c r="E66" i="32"/>
  <c r="E58" i="32"/>
  <c r="E50" i="32"/>
  <c r="E47" i="32"/>
  <c r="E43" i="32"/>
  <c r="E39" i="32"/>
  <c r="E35" i="32"/>
  <c r="E31" i="32"/>
  <c r="E27" i="32"/>
  <c r="E23" i="32"/>
  <c r="E19" i="32"/>
  <c r="E15" i="32"/>
  <c r="E11" i="32"/>
  <c r="E7" i="32"/>
  <c r="E3" i="32"/>
  <c r="E91" i="32"/>
  <c r="E62" i="32"/>
  <c r="E54" i="32"/>
  <c r="E29" i="32"/>
  <c r="E13" i="32"/>
  <c r="E33" i="32"/>
  <c r="E17" i="32"/>
  <c r="E21" i="32"/>
  <c r="E5" i="32"/>
  <c r="E25" i="32"/>
  <c r="E9" i="32"/>
  <c r="G161" i="32"/>
  <c r="F163" i="32"/>
  <c r="E160" i="54"/>
  <c r="E159" i="54"/>
  <c r="E158" i="54"/>
  <c r="E157" i="54"/>
  <c r="E156" i="54"/>
  <c r="E155" i="54"/>
  <c r="E154" i="54"/>
  <c r="E153" i="54"/>
  <c r="E152" i="54"/>
  <c r="E151" i="54"/>
  <c r="E150" i="54"/>
  <c r="E149" i="54"/>
  <c r="E148" i="54"/>
  <c r="E147" i="54"/>
  <c r="E146" i="54"/>
  <c r="E145" i="54"/>
  <c r="E144" i="54"/>
  <c r="E143" i="54"/>
  <c r="E142" i="54"/>
  <c r="E141" i="54"/>
  <c r="E140" i="54"/>
  <c r="E139" i="54"/>
  <c r="E138" i="54"/>
  <c r="E137" i="54"/>
  <c r="E136" i="54"/>
  <c r="E135" i="54"/>
  <c r="E133" i="54"/>
  <c r="E132" i="54"/>
  <c r="E131" i="54"/>
  <c r="E130" i="54"/>
  <c r="E129" i="54"/>
  <c r="E128" i="54"/>
  <c r="E127" i="54"/>
  <c r="E126" i="54"/>
  <c r="E125" i="54"/>
  <c r="E124" i="54"/>
  <c r="E123" i="54"/>
  <c r="E122" i="54"/>
  <c r="E121" i="54"/>
  <c r="E120" i="54"/>
  <c r="E119" i="54"/>
  <c r="E118" i="54"/>
  <c r="E117" i="54"/>
  <c r="E116" i="54"/>
  <c r="E115" i="54"/>
  <c r="E114" i="54"/>
  <c r="E113" i="54"/>
  <c r="E112" i="54"/>
  <c r="E111" i="54"/>
  <c r="E110" i="54"/>
  <c r="E109" i="54"/>
  <c r="E108" i="54"/>
  <c r="E107" i="54"/>
  <c r="E106" i="54"/>
  <c r="E105" i="54"/>
  <c r="E104" i="54"/>
  <c r="E103" i="54"/>
  <c r="E102" i="54"/>
  <c r="E101" i="54"/>
  <c r="E100" i="54"/>
  <c r="E99" i="54"/>
  <c r="E98" i="54"/>
  <c r="E97" i="54"/>
  <c r="E96" i="54"/>
  <c r="E95" i="54"/>
  <c r="E94" i="54"/>
  <c r="E91" i="54"/>
  <c r="E87" i="54"/>
  <c r="E83" i="54"/>
  <c r="E79" i="54"/>
  <c r="E92" i="54"/>
  <c r="E88" i="54"/>
  <c r="E84" i="54"/>
  <c r="E80" i="54"/>
  <c r="E93" i="54"/>
  <c r="E89" i="54"/>
  <c r="E85" i="54"/>
  <c r="E81" i="54"/>
  <c r="E76" i="54"/>
  <c r="E75" i="54"/>
  <c r="E74" i="54"/>
  <c r="E73" i="54"/>
  <c r="E72" i="54"/>
  <c r="E71" i="54"/>
  <c r="E70" i="54"/>
  <c r="E69" i="54"/>
  <c r="E68" i="54"/>
  <c r="E67" i="54"/>
  <c r="E66" i="54"/>
  <c r="E65" i="54"/>
  <c r="E64" i="54"/>
  <c r="E63" i="54"/>
  <c r="E62" i="54"/>
  <c r="E61" i="54"/>
  <c r="E60" i="54"/>
  <c r="E59" i="54"/>
  <c r="E58" i="54"/>
  <c r="E57" i="54"/>
  <c r="E56" i="54"/>
  <c r="E54" i="54"/>
  <c r="E53" i="54"/>
  <c r="E52" i="54"/>
  <c r="E51" i="54"/>
  <c r="E50" i="54"/>
  <c r="E49" i="54"/>
  <c r="E48" i="54"/>
  <c r="E47" i="54"/>
  <c r="E46" i="54"/>
  <c r="E45" i="54"/>
  <c r="E44" i="54"/>
  <c r="E43" i="54"/>
  <c r="E38" i="54"/>
  <c r="E37" i="54"/>
  <c r="E36" i="54"/>
  <c r="E35" i="54"/>
  <c r="E30" i="54"/>
  <c r="E90" i="54"/>
  <c r="E86" i="54"/>
  <c r="E82" i="54"/>
  <c r="E77" i="54"/>
  <c r="E27" i="54"/>
  <c r="E26" i="54"/>
  <c r="E24" i="54"/>
  <c r="E23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9" i="54"/>
  <c r="E8" i="54"/>
  <c r="E7" i="54"/>
  <c r="E6" i="54"/>
  <c r="E5" i="54"/>
  <c r="E4" i="54"/>
  <c r="E3" i="54"/>
  <c r="E29" i="54"/>
  <c r="E28" i="54"/>
  <c r="E25" i="54"/>
  <c r="F163" i="54"/>
  <c r="H161" i="54"/>
  <c r="G161" i="54"/>
  <c r="I161" i="54"/>
  <c r="F21" i="55"/>
  <c r="G161" i="7"/>
  <c r="F163" i="7"/>
  <c r="C5" i="14"/>
  <c r="E160" i="7"/>
  <c r="E159" i="7"/>
  <c r="E158" i="7"/>
  <c r="F158" i="7" s="1"/>
  <c r="E137" i="7"/>
  <c r="E136" i="7"/>
  <c r="E135" i="7"/>
  <c r="E134" i="7"/>
  <c r="F134" i="7" s="1"/>
  <c r="E133" i="7"/>
  <c r="E132" i="7"/>
  <c r="E131" i="7"/>
  <c r="E130" i="7"/>
  <c r="F130" i="7" s="1"/>
  <c r="E129" i="7"/>
  <c r="F129" i="7" s="1"/>
  <c r="E128" i="7"/>
  <c r="E127" i="7"/>
  <c r="E126" i="7"/>
  <c r="F126" i="7" s="1"/>
  <c r="E125" i="7"/>
  <c r="F125" i="7" s="1"/>
  <c r="E111" i="7"/>
  <c r="E110" i="7"/>
  <c r="E109" i="7"/>
  <c r="F109" i="7" s="1"/>
  <c r="E96" i="7"/>
  <c r="F96" i="7" s="1"/>
  <c r="E91" i="7"/>
  <c r="E90" i="7"/>
  <c r="E89" i="7"/>
  <c r="F89" i="7" s="1"/>
  <c r="E88" i="7"/>
  <c r="F88" i="7" s="1"/>
  <c r="E87" i="7"/>
  <c r="E86" i="7"/>
  <c r="E85" i="7"/>
  <c r="F85" i="7" s="1"/>
  <c r="E73" i="7"/>
  <c r="F73" i="7" s="1"/>
  <c r="E66" i="7"/>
  <c r="E60" i="7"/>
  <c r="E55" i="7"/>
  <c r="F55" i="7" s="1"/>
  <c r="E152" i="7"/>
  <c r="F152" i="7" s="1"/>
  <c r="E149" i="7"/>
  <c r="E145" i="7"/>
  <c r="E141" i="7"/>
  <c r="F141" i="7" s="1"/>
  <c r="E121" i="7"/>
  <c r="F121" i="7" s="1"/>
  <c r="E117" i="7"/>
  <c r="E114" i="7"/>
  <c r="E93" i="7"/>
  <c r="F93" i="7" s="1"/>
  <c r="E80" i="7"/>
  <c r="F80" i="7" s="1"/>
  <c r="E77" i="7"/>
  <c r="E71" i="7"/>
  <c r="E65" i="7"/>
  <c r="F65" i="7" s="1"/>
  <c r="E64" i="7"/>
  <c r="F64" i="7" s="1"/>
  <c r="E62" i="7"/>
  <c r="E59" i="7"/>
  <c r="E58" i="7"/>
  <c r="F58" i="7" s="1"/>
  <c r="E56" i="7"/>
  <c r="F56" i="7" s="1"/>
  <c r="E49" i="7"/>
  <c r="E44" i="7"/>
  <c r="E40" i="7"/>
  <c r="F40" i="7" s="1"/>
  <c r="E36" i="7"/>
  <c r="F36" i="7" s="1"/>
  <c r="E31" i="7"/>
  <c r="E27" i="7"/>
  <c r="E22" i="7"/>
  <c r="F22" i="7" s="1"/>
  <c r="E17" i="7"/>
  <c r="F17" i="7" s="1"/>
  <c r="E13" i="7"/>
  <c r="F13" i="7" s="1"/>
  <c r="E9" i="7"/>
  <c r="E4" i="7"/>
  <c r="F4" i="7" s="1"/>
  <c r="E153" i="7"/>
  <c r="F153" i="7" s="1"/>
  <c r="E150" i="7"/>
  <c r="F150" i="7" s="1"/>
  <c r="E146" i="7"/>
  <c r="E142" i="7"/>
  <c r="F142" i="7" s="1"/>
  <c r="E138" i="7"/>
  <c r="F138" i="7" s="1"/>
  <c r="E118" i="7"/>
  <c r="F118" i="7" s="1"/>
  <c r="E108" i="7"/>
  <c r="E107" i="7"/>
  <c r="F107" i="7" s="1"/>
  <c r="E106" i="7"/>
  <c r="F106" i="7" s="1"/>
  <c r="E105" i="7"/>
  <c r="F105" i="7" s="1"/>
  <c r="E104" i="7"/>
  <c r="E103" i="7"/>
  <c r="F103" i="7" s="1"/>
  <c r="E102" i="7"/>
  <c r="F102" i="7" s="1"/>
  <c r="E101" i="7"/>
  <c r="F101" i="7" s="1"/>
  <c r="E100" i="7"/>
  <c r="E99" i="7"/>
  <c r="F99" i="7" s="1"/>
  <c r="E97" i="7"/>
  <c r="F97" i="7" s="1"/>
  <c r="E84" i="7"/>
  <c r="F84" i="7" s="1"/>
  <c r="E81" i="7"/>
  <c r="E78" i="7"/>
  <c r="F78" i="7" s="1"/>
  <c r="E74" i="7"/>
  <c r="F74" i="7" s="1"/>
  <c r="E68" i="7"/>
  <c r="F68" i="7" s="1"/>
  <c r="E54" i="7"/>
  <c r="E53" i="7"/>
  <c r="F53" i="7" s="1"/>
  <c r="E52" i="7"/>
  <c r="F52" i="7" s="1"/>
  <c r="E46" i="7"/>
  <c r="F46" i="7" s="1"/>
  <c r="E45" i="7"/>
  <c r="E41" i="7"/>
  <c r="F41" i="7" s="1"/>
  <c r="E37" i="7"/>
  <c r="F37" i="7" s="1"/>
  <c r="E33" i="7"/>
  <c r="F33" i="7" s="1"/>
  <c r="E32" i="7"/>
  <c r="E28" i="7"/>
  <c r="F28" i="7" s="1"/>
  <c r="E24" i="7"/>
  <c r="F24" i="7" s="1"/>
  <c r="E23" i="7"/>
  <c r="F23" i="7" s="1"/>
  <c r="E157" i="7"/>
  <c r="E151" i="7"/>
  <c r="F151" i="7" s="1"/>
  <c r="E147" i="7"/>
  <c r="F147" i="7" s="1"/>
  <c r="E143" i="7"/>
  <c r="F143" i="7" s="1"/>
  <c r="E139" i="7"/>
  <c r="E124" i="7"/>
  <c r="F124" i="7" s="1"/>
  <c r="E122" i="7"/>
  <c r="F122" i="7" s="1"/>
  <c r="E120" i="7"/>
  <c r="F120" i="7" s="1"/>
  <c r="E116" i="7"/>
  <c r="E112" i="7"/>
  <c r="F112" i="7" s="1"/>
  <c r="E94" i="7"/>
  <c r="F94" i="7" s="1"/>
  <c r="E76" i="7"/>
  <c r="F76" i="7" s="1"/>
  <c r="E69" i="7"/>
  <c r="E51" i="7"/>
  <c r="F51" i="7" s="1"/>
  <c r="E39" i="7"/>
  <c r="F39" i="7" s="1"/>
  <c r="E26" i="7"/>
  <c r="F26" i="7" s="1"/>
  <c r="E18" i="7"/>
  <c r="E11" i="7"/>
  <c r="F11" i="7" s="1"/>
  <c r="E6" i="7"/>
  <c r="F6" i="7" s="1"/>
  <c r="E154" i="7"/>
  <c r="F154" i="7" s="1"/>
  <c r="E63" i="7"/>
  <c r="E48" i="7"/>
  <c r="F48" i="7" s="1"/>
  <c r="E38" i="7"/>
  <c r="F38" i="7" s="1"/>
  <c r="E25" i="7"/>
  <c r="F25" i="7" s="1"/>
  <c r="E19" i="7"/>
  <c r="E16" i="7"/>
  <c r="F16" i="7" s="1"/>
  <c r="E14" i="7"/>
  <c r="F14" i="7" s="1"/>
  <c r="E7" i="7"/>
  <c r="F7" i="7" s="1"/>
  <c r="E155" i="7"/>
  <c r="E148" i="7"/>
  <c r="F148" i="7" s="1"/>
  <c r="E144" i="7"/>
  <c r="F144" i="7" s="1"/>
  <c r="E140" i="7"/>
  <c r="F140" i="7" s="1"/>
  <c r="E123" i="7"/>
  <c r="E119" i="7"/>
  <c r="F119" i="7" s="1"/>
  <c r="E115" i="7"/>
  <c r="F115" i="7" s="1"/>
  <c r="E113" i="7"/>
  <c r="F113" i="7" s="1"/>
  <c r="E95" i="7"/>
  <c r="E92" i="7"/>
  <c r="F92" i="7" s="1"/>
  <c r="E75" i="7"/>
  <c r="F75" i="7" s="1"/>
  <c r="E72" i="7"/>
  <c r="F72" i="7" s="1"/>
  <c r="E70" i="7"/>
  <c r="E50" i="7"/>
  <c r="F50" i="7" s="1"/>
  <c r="E43" i="7"/>
  <c r="F43" i="7" s="1"/>
  <c r="E35" i="7"/>
  <c r="F35" i="7" s="1"/>
  <c r="E30" i="7"/>
  <c r="E12" i="7"/>
  <c r="F12" i="7" s="1"/>
  <c r="E10" i="7"/>
  <c r="F10" i="7" s="1"/>
  <c r="E5" i="7"/>
  <c r="F5" i="7" s="1"/>
  <c r="E156" i="7"/>
  <c r="E98" i="7"/>
  <c r="F98" i="7" s="1"/>
  <c r="E82" i="7"/>
  <c r="F82" i="7" s="1"/>
  <c r="E61" i="7"/>
  <c r="F61" i="7" s="1"/>
  <c r="E21" i="7"/>
  <c r="E67" i="7"/>
  <c r="F67" i="7" s="1"/>
  <c r="E47" i="7"/>
  <c r="F47" i="7" s="1"/>
  <c r="E83" i="7"/>
  <c r="F83" i="7" s="1"/>
  <c r="E29" i="7"/>
  <c r="E20" i="7"/>
  <c r="F20" i="7" s="1"/>
  <c r="E15" i="7"/>
  <c r="F15" i="7" s="1"/>
  <c r="E8" i="7"/>
  <c r="F8" i="7" s="1"/>
  <c r="E3" i="7"/>
  <c r="E79" i="7"/>
  <c r="F79" i="7" s="1"/>
  <c r="E57" i="7"/>
  <c r="F57" i="7" s="1"/>
  <c r="E34" i="7"/>
  <c r="F34" i="7" s="1"/>
  <c r="E42" i="7"/>
  <c r="J152" i="48" l="1"/>
  <c r="J144" i="48"/>
  <c r="J136" i="48"/>
  <c r="J128" i="48"/>
  <c r="J120" i="48"/>
  <c r="J112" i="48"/>
  <c r="J104" i="48"/>
  <c r="J96" i="48"/>
  <c r="J88" i="48"/>
  <c r="J75" i="48"/>
  <c r="J67" i="48"/>
  <c r="J59" i="48"/>
  <c r="J51" i="48"/>
  <c r="J43" i="48"/>
  <c r="J35" i="48"/>
  <c r="J27" i="48"/>
  <c r="J153" i="48"/>
  <c r="J137" i="48"/>
  <c r="J125" i="48"/>
  <c r="J109" i="48"/>
  <c r="J85" i="48"/>
  <c r="J147" i="48"/>
  <c r="J139" i="48"/>
  <c r="J131" i="48"/>
  <c r="J123" i="48"/>
  <c r="J115" i="48"/>
  <c r="J107" i="48"/>
  <c r="J99" i="48"/>
  <c r="J91" i="48"/>
  <c r="J83" i="48"/>
  <c r="J77" i="48"/>
  <c r="J23" i="48"/>
  <c r="J129" i="48"/>
  <c r="J113" i="48"/>
  <c r="J101" i="48"/>
  <c r="J79" i="48"/>
  <c r="J154" i="48"/>
  <c r="J146" i="48"/>
  <c r="J138" i="48"/>
  <c r="J130" i="48"/>
  <c r="J122" i="48"/>
  <c r="J114" i="48"/>
  <c r="J106" i="48"/>
  <c r="J98" i="48"/>
  <c r="J90" i="48"/>
  <c r="J82" i="48"/>
  <c r="J69" i="48"/>
  <c r="J61" i="48"/>
  <c r="J53" i="48"/>
  <c r="J45" i="48"/>
  <c r="J37" i="48"/>
  <c r="J29" i="48"/>
  <c r="J76" i="48"/>
  <c r="J149" i="48"/>
  <c r="I59" i="27"/>
  <c r="I153" i="27"/>
  <c r="I89" i="27"/>
  <c r="I80" i="27"/>
  <c r="I46" i="27"/>
  <c r="I18" i="27"/>
  <c r="I48" i="27"/>
  <c r="I98" i="27"/>
  <c r="J20" i="48"/>
  <c r="J12" i="48"/>
  <c r="J4" i="48"/>
  <c r="J64" i="48"/>
  <c r="J48" i="48"/>
  <c r="J28" i="48"/>
  <c r="J5" i="48"/>
  <c r="J70" i="48"/>
  <c r="J62" i="48"/>
  <c r="J54" i="48"/>
  <c r="J46" i="48"/>
  <c r="J38" i="48"/>
  <c r="J30" i="48"/>
  <c r="J15" i="48"/>
  <c r="J7" i="48"/>
  <c r="J56" i="48"/>
  <c r="J32" i="48"/>
  <c r="J13" i="48"/>
  <c r="J14" i="48"/>
  <c r="J6" i="48"/>
  <c r="J60" i="48"/>
  <c r="J21" i="48"/>
  <c r="I43" i="27"/>
  <c r="I137" i="27"/>
  <c r="I92" i="27"/>
  <c r="I50" i="27"/>
  <c r="I156" i="27"/>
  <c r="I124" i="27"/>
  <c r="I36" i="27"/>
  <c r="I130" i="27"/>
  <c r="J16" i="48"/>
  <c r="J8" i="48"/>
  <c r="J72" i="48"/>
  <c r="J52" i="48"/>
  <c r="J36" i="48"/>
  <c r="J17" i="48"/>
  <c r="J74" i="48"/>
  <c r="J66" i="48"/>
  <c r="J58" i="48"/>
  <c r="J50" i="48"/>
  <c r="J42" i="48"/>
  <c r="J34" i="48"/>
  <c r="J26" i="48"/>
  <c r="J19" i="48"/>
  <c r="J11" i="48"/>
  <c r="J3" i="48"/>
  <c r="J68" i="48"/>
  <c r="J44" i="48"/>
  <c r="J24" i="48"/>
  <c r="J18" i="48"/>
  <c r="J10" i="48"/>
  <c r="J40" i="48"/>
  <c r="I75" i="27"/>
  <c r="I105" i="27"/>
  <c r="I140" i="27"/>
  <c r="I108" i="27"/>
  <c r="I72" i="27"/>
  <c r="I44" i="27"/>
  <c r="I16" i="27"/>
  <c r="I146" i="27"/>
  <c r="I118" i="27"/>
  <c r="I63" i="27"/>
  <c r="I47" i="27"/>
  <c r="I31" i="27"/>
  <c r="I157" i="27"/>
  <c r="I141" i="27"/>
  <c r="I125" i="27"/>
  <c r="I109" i="27"/>
  <c r="I93" i="27"/>
  <c r="I58" i="27"/>
  <c r="I112" i="27"/>
  <c r="I24" i="27"/>
  <c r="I134" i="27"/>
  <c r="I54" i="27"/>
  <c r="I128" i="27"/>
  <c r="I76" i="27"/>
  <c r="I60" i="27"/>
  <c r="I150" i="27"/>
  <c r="I86" i="27"/>
  <c r="I7" i="27"/>
  <c r="I26" i="27"/>
  <c r="I6" i="27"/>
  <c r="I144" i="27"/>
  <c r="I56" i="27"/>
  <c r="I102" i="27"/>
  <c r="F107" i="27"/>
  <c r="G107" i="27" s="1"/>
  <c r="I107" i="27"/>
  <c r="F135" i="27"/>
  <c r="G135" i="27" s="1"/>
  <c r="I135" i="27"/>
  <c r="F13" i="27"/>
  <c r="G13" i="27" s="1"/>
  <c r="I13" i="27"/>
  <c r="F131" i="27"/>
  <c r="G131" i="27" s="1"/>
  <c r="I131" i="27"/>
  <c r="F123" i="27"/>
  <c r="G123" i="27" s="1"/>
  <c r="I123" i="27"/>
  <c r="F143" i="27"/>
  <c r="G143" i="27" s="1"/>
  <c r="I143" i="27"/>
  <c r="F29" i="27"/>
  <c r="G29" i="27" s="1"/>
  <c r="I29" i="27"/>
  <c r="F45" i="27"/>
  <c r="G45" i="27" s="1"/>
  <c r="I45" i="27"/>
  <c r="F61" i="27"/>
  <c r="G61" i="27" s="1"/>
  <c r="I61" i="27"/>
  <c r="F133" i="7"/>
  <c r="F137" i="7"/>
  <c r="G137" i="7" s="1"/>
  <c r="I78" i="27"/>
  <c r="I14" i="27"/>
  <c r="I52" i="27"/>
  <c r="I20" i="27"/>
  <c r="F139" i="27"/>
  <c r="G139" i="27" s="1"/>
  <c r="I139" i="27"/>
  <c r="F87" i="27"/>
  <c r="G87" i="27" s="1"/>
  <c r="I87" i="27"/>
  <c r="F151" i="27"/>
  <c r="G151" i="27" s="1"/>
  <c r="I151" i="27"/>
  <c r="F17" i="27"/>
  <c r="G17" i="27" s="1"/>
  <c r="I17" i="27"/>
  <c r="F83" i="27"/>
  <c r="G83" i="27" s="1"/>
  <c r="I83" i="27"/>
  <c r="F147" i="27"/>
  <c r="G147" i="27" s="1"/>
  <c r="I147" i="27"/>
  <c r="F155" i="27"/>
  <c r="G155" i="27" s="1"/>
  <c r="I155" i="27"/>
  <c r="F95" i="27"/>
  <c r="G95" i="27" s="1"/>
  <c r="I95" i="27"/>
  <c r="F159" i="27"/>
  <c r="G159" i="27" s="1"/>
  <c r="I159" i="27"/>
  <c r="F33" i="27"/>
  <c r="G33" i="27" s="1"/>
  <c r="I33" i="27"/>
  <c r="F49" i="27"/>
  <c r="G49" i="27" s="1"/>
  <c r="I49" i="27"/>
  <c r="F65" i="27"/>
  <c r="G65" i="27" s="1"/>
  <c r="I65" i="27"/>
  <c r="I74" i="27"/>
  <c r="I42" i="27"/>
  <c r="I152" i="27"/>
  <c r="I136" i="27"/>
  <c r="I120" i="27"/>
  <c r="I104" i="27"/>
  <c r="I77" i="27"/>
  <c r="I158" i="27"/>
  <c r="I142" i="27"/>
  <c r="I126" i="27"/>
  <c r="I110" i="27"/>
  <c r="I94" i="27"/>
  <c r="F103" i="27"/>
  <c r="G103" i="27" s="1"/>
  <c r="I103" i="27"/>
  <c r="F5" i="27"/>
  <c r="G5" i="27" s="1"/>
  <c r="I5" i="27"/>
  <c r="F99" i="27"/>
  <c r="G99" i="27" s="1"/>
  <c r="I99" i="27"/>
  <c r="F111" i="27"/>
  <c r="G111" i="27" s="1"/>
  <c r="I111" i="27"/>
  <c r="F21" i="27"/>
  <c r="G21" i="27" s="1"/>
  <c r="I21" i="27"/>
  <c r="F37" i="27"/>
  <c r="G37" i="27" s="1"/>
  <c r="I37" i="27"/>
  <c r="F53" i="27"/>
  <c r="G53" i="27" s="1"/>
  <c r="I53" i="27"/>
  <c r="F69" i="27"/>
  <c r="G69" i="27" s="1"/>
  <c r="I69" i="27"/>
  <c r="I88" i="27"/>
  <c r="I70" i="27"/>
  <c r="I38" i="27"/>
  <c r="I28" i="27"/>
  <c r="I12" i="27"/>
  <c r="F119" i="27"/>
  <c r="G119" i="27" s="1"/>
  <c r="I119" i="27"/>
  <c r="F9" i="27"/>
  <c r="G9" i="27" s="1"/>
  <c r="I9" i="27"/>
  <c r="F115" i="27"/>
  <c r="G115" i="27" s="1"/>
  <c r="I115" i="27"/>
  <c r="F91" i="27"/>
  <c r="G91" i="27" s="1"/>
  <c r="I91" i="27"/>
  <c r="F127" i="27"/>
  <c r="G127" i="27" s="1"/>
  <c r="I127" i="27"/>
  <c r="F25" i="27"/>
  <c r="G25" i="27" s="1"/>
  <c r="I25" i="27"/>
  <c r="F41" i="27"/>
  <c r="G41" i="27" s="1"/>
  <c r="I41" i="27"/>
  <c r="F57" i="27"/>
  <c r="G57" i="27" s="1"/>
  <c r="I57" i="27"/>
  <c r="I79" i="27"/>
  <c r="F32" i="31"/>
  <c r="I5" i="22"/>
  <c r="F5" i="22"/>
  <c r="G5" i="22" s="1"/>
  <c r="F6" i="22"/>
  <c r="G6" i="22" s="1"/>
  <c r="I6" i="22"/>
  <c r="I47" i="22"/>
  <c r="F47" i="22"/>
  <c r="G47" i="22" s="1"/>
  <c r="F92" i="22"/>
  <c r="G92" i="22" s="1"/>
  <c r="I92" i="22"/>
  <c r="F7" i="22"/>
  <c r="G7" i="22" s="1"/>
  <c r="I7" i="22"/>
  <c r="F75" i="22"/>
  <c r="G75" i="22" s="1"/>
  <c r="I75" i="22"/>
  <c r="I39" i="22"/>
  <c r="F39" i="22"/>
  <c r="G39" i="22" s="1"/>
  <c r="I12" i="22"/>
  <c r="F12" i="22"/>
  <c r="G12" i="22" s="1"/>
  <c r="F28" i="22"/>
  <c r="G28" i="22" s="1"/>
  <c r="I28" i="22"/>
  <c r="I57" i="22"/>
  <c r="F57" i="22"/>
  <c r="G57" i="22" s="1"/>
  <c r="F48" i="22"/>
  <c r="G48" i="22" s="1"/>
  <c r="I48" i="22"/>
  <c r="F64" i="22"/>
  <c r="G64" i="22" s="1"/>
  <c r="I64" i="22"/>
  <c r="F83" i="22"/>
  <c r="G83" i="22" s="1"/>
  <c r="I83" i="22"/>
  <c r="F113" i="22"/>
  <c r="G113" i="22" s="1"/>
  <c r="I113" i="22"/>
  <c r="F21" i="22"/>
  <c r="G21" i="22" s="1"/>
  <c r="I21" i="22"/>
  <c r="F37" i="22"/>
  <c r="G37" i="22" s="1"/>
  <c r="I37" i="22"/>
  <c r="F55" i="22"/>
  <c r="G55" i="22" s="1"/>
  <c r="I55" i="22"/>
  <c r="F73" i="22"/>
  <c r="G73" i="22" s="1"/>
  <c r="I73" i="22"/>
  <c r="F150" i="22"/>
  <c r="G150" i="22" s="1"/>
  <c r="I150" i="22"/>
  <c r="I30" i="22"/>
  <c r="F30" i="22"/>
  <c r="G30" i="22" s="1"/>
  <c r="I46" i="22"/>
  <c r="F46" i="22"/>
  <c r="G46" i="22" s="1"/>
  <c r="I61" i="22"/>
  <c r="F61" i="22"/>
  <c r="G61" i="22" s="1"/>
  <c r="F78" i="22"/>
  <c r="G78" i="22" s="1"/>
  <c r="I78" i="22"/>
  <c r="F111" i="22"/>
  <c r="G111" i="22" s="1"/>
  <c r="I111" i="22"/>
  <c r="I82" i="22"/>
  <c r="F82" i="22"/>
  <c r="G82" i="22" s="1"/>
  <c r="I96" i="22"/>
  <c r="F96" i="22"/>
  <c r="G96" i="22" s="1"/>
  <c r="I116" i="22"/>
  <c r="F116" i="22"/>
  <c r="G116" i="22" s="1"/>
  <c r="I131" i="22"/>
  <c r="F131" i="22"/>
  <c r="G131" i="22" s="1"/>
  <c r="I149" i="22"/>
  <c r="F149" i="22"/>
  <c r="G149" i="22" s="1"/>
  <c r="I88" i="22"/>
  <c r="F88" i="22"/>
  <c r="G88" i="22" s="1"/>
  <c r="F103" i="22"/>
  <c r="G103" i="22" s="1"/>
  <c r="I103" i="22"/>
  <c r="F118" i="22"/>
  <c r="G118" i="22" s="1"/>
  <c r="I118" i="22"/>
  <c r="F128" i="22"/>
  <c r="G128" i="22" s="1"/>
  <c r="I128" i="22"/>
  <c r="F146" i="22"/>
  <c r="G146" i="22" s="1"/>
  <c r="I146" i="22"/>
  <c r="I99" i="22"/>
  <c r="F99" i="22"/>
  <c r="G99" i="22" s="1"/>
  <c r="I122" i="22"/>
  <c r="F122" i="22"/>
  <c r="G122" i="22" s="1"/>
  <c r="I135" i="22"/>
  <c r="F135" i="22"/>
  <c r="G135" i="22" s="1"/>
  <c r="I148" i="22"/>
  <c r="F148" i="22"/>
  <c r="G148" i="22" s="1"/>
  <c r="I9" i="22"/>
  <c r="F9" i="22"/>
  <c r="G9" i="22" s="1"/>
  <c r="I63" i="22"/>
  <c r="F63" i="22"/>
  <c r="G63" i="22" s="1"/>
  <c r="F11" i="22"/>
  <c r="G11" i="22" s="1"/>
  <c r="I11" i="22"/>
  <c r="F132" i="22"/>
  <c r="G132" i="22" s="1"/>
  <c r="I132" i="22"/>
  <c r="F16" i="22"/>
  <c r="G16" i="22" s="1"/>
  <c r="I16" i="22"/>
  <c r="F112" i="22"/>
  <c r="G112" i="22" s="1"/>
  <c r="I112" i="22"/>
  <c r="F68" i="22"/>
  <c r="G68" i="22" s="1"/>
  <c r="I68" i="22"/>
  <c r="F117" i="22"/>
  <c r="G117" i="22" s="1"/>
  <c r="I117" i="22"/>
  <c r="F25" i="22"/>
  <c r="G25" i="22" s="1"/>
  <c r="I25" i="22"/>
  <c r="F60" i="22"/>
  <c r="G60" i="22" s="1"/>
  <c r="I60" i="22"/>
  <c r="I18" i="22"/>
  <c r="F18" i="22"/>
  <c r="G18" i="22" s="1"/>
  <c r="I34" i="22"/>
  <c r="F34" i="22"/>
  <c r="G34" i="22" s="1"/>
  <c r="I62" i="22"/>
  <c r="F62" i="22"/>
  <c r="G62" i="22" s="1"/>
  <c r="I81" i="22"/>
  <c r="F81" i="22"/>
  <c r="G81" i="22" s="1"/>
  <c r="I86" i="22"/>
  <c r="F86" i="22"/>
  <c r="G86" i="22" s="1"/>
  <c r="I123" i="22"/>
  <c r="F123" i="22"/>
  <c r="G123" i="22" s="1"/>
  <c r="I79" i="22"/>
  <c r="F79" i="22"/>
  <c r="G79" i="22" s="1"/>
  <c r="F93" i="22"/>
  <c r="G93" i="22" s="1"/>
  <c r="I93" i="22"/>
  <c r="F119" i="22"/>
  <c r="G119" i="22" s="1"/>
  <c r="I119" i="22"/>
  <c r="I105" i="22"/>
  <c r="F105" i="22"/>
  <c r="G105" i="22" s="1"/>
  <c r="I136" i="22"/>
  <c r="F136" i="22"/>
  <c r="G136" i="22" s="1"/>
  <c r="F158" i="22"/>
  <c r="G158" i="22" s="1"/>
  <c r="F155" i="22"/>
  <c r="G155" i="22" s="1"/>
  <c r="F159" i="22"/>
  <c r="G159" i="22" s="1"/>
  <c r="F156" i="22"/>
  <c r="G156" i="22" s="1"/>
  <c r="F157" i="22"/>
  <c r="G157" i="22" s="1"/>
  <c r="F160" i="22"/>
  <c r="G160" i="22" s="1"/>
  <c r="I23" i="22"/>
  <c r="F23" i="22"/>
  <c r="G23" i="22" s="1"/>
  <c r="F14" i="22"/>
  <c r="G14" i="22" s="1"/>
  <c r="I14" i="22"/>
  <c r="I67" i="22"/>
  <c r="F67" i="22"/>
  <c r="G67" i="22" s="1"/>
  <c r="I31" i="22"/>
  <c r="F31" i="22"/>
  <c r="G31" i="22" s="1"/>
  <c r="F15" i="22"/>
  <c r="G15" i="22" s="1"/>
  <c r="I15" i="22"/>
  <c r="I13" i="22"/>
  <c r="F13" i="22"/>
  <c r="G13" i="22" s="1"/>
  <c r="F4" i="22"/>
  <c r="G4" i="22" s="1"/>
  <c r="I4" i="22"/>
  <c r="F20" i="22"/>
  <c r="G20" i="22" s="1"/>
  <c r="I20" i="22"/>
  <c r="F36" i="22"/>
  <c r="G36" i="22" s="1"/>
  <c r="I36" i="22"/>
  <c r="F40" i="22"/>
  <c r="G40" i="22" s="1"/>
  <c r="I40" i="22"/>
  <c r="F58" i="22"/>
  <c r="G58" i="22" s="1"/>
  <c r="I58" i="22"/>
  <c r="F72" i="22"/>
  <c r="G72" i="22" s="1"/>
  <c r="I72" i="22"/>
  <c r="F97" i="22"/>
  <c r="G97" i="22" s="1"/>
  <c r="I97" i="22"/>
  <c r="F145" i="22"/>
  <c r="G145" i="22" s="1"/>
  <c r="I145" i="22"/>
  <c r="F29" i="22"/>
  <c r="G29" i="22" s="1"/>
  <c r="I29" i="22"/>
  <c r="F45" i="22"/>
  <c r="G45" i="22" s="1"/>
  <c r="I45" i="22"/>
  <c r="F65" i="22"/>
  <c r="G65" i="22" s="1"/>
  <c r="I65" i="22"/>
  <c r="F126" i="22"/>
  <c r="G126" i="22" s="1"/>
  <c r="I126" i="22"/>
  <c r="I22" i="22"/>
  <c r="F22" i="22"/>
  <c r="G22" i="22" s="1"/>
  <c r="I38" i="22"/>
  <c r="F38" i="22"/>
  <c r="G38" i="22" s="1"/>
  <c r="I51" i="22"/>
  <c r="F51" i="22"/>
  <c r="G51" i="22" s="1"/>
  <c r="I66" i="22"/>
  <c r="F66" i="22"/>
  <c r="G66" i="22" s="1"/>
  <c r="I85" i="22"/>
  <c r="F85" i="22"/>
  <c r="G85" i="22" s="1"/>
  <c r="F139" i="22"/>
  <c r="G139" i="22" s="1"/>
  <c r="I139" i="22"/>
  <c r="I90" i="22"/>
  <c r="F90" i="22"/>
  <c r="G90" i="22" s="1"/>
  <c r="I106" i="22"/>
  <c r="F106" i="22"/>
  <c r="G106" i="22" s="1"/>
  <c r="I124" i="22"/>
  <c r="F124" i="22"/>
  <c r="G124" i="22" s="1"/>
  <c r="I143" i="22"/>
  <c r="F143" i="22"/>
  <c r="G143" i="22" s="1"/>
  <c r="I80" i="22"/>
  <c r="F80" i="22"/>
  <c r="G80" i="22" s="1"/>
  <c r="F94" i="22"/>
  <c r="G94" i="22" s="1"/>
  <c r="I94" i="22"/>
  <c r="F108" i="22"/>
  <c r="G108" i="22" s="1"/>
  <c r="I108" i="22"/>
  <c r="F120" i="22"/>
  <c r="G120" i="22" s="1"/>
  <c r="I120" i="22"/>
  <c r="F140" i="22"/>
  <c r="G140" i="22" s="1"/>
  <c r="I140" i="22"/>
  <c r="I89" i="22"/>
  <c r="F89" i="22"/>
  <c r="G89" i="22" s="1"/>
  <c r="I109" i="22"/>
  <c r="F109" i="22"/>
  <c r="G109" i="22" s="1"/>
  <c r="I130" i="22"/>
  <c r="F130" i="22"/>
  <c r="G130" i="22" s="1"/>
  <c r="I142" i="22"/>
  <c r="F142" i="22"/>
  <c r="G142" i="22" s="1"/>
  <c r="I153" i="22"/>
  <c r="F153" i="22"/>
  <c r="G153" i="22" s="1"/>
  <c r="I10" i="22"/>
  <c r="F10" i="22"/>
  <c r="G10" i="22" s="1"/>
  <c r="I19" i="22"/>
  <c r="F19" i="22"/>
  <c r="G19" i="22" s="1"/>
  <c r="I77" i="22"/>
  <c r="F77" i="22"/>
  <c r="G77" i="22" s="1"/>
  <c r="F32" i="22"/>
  <c r="G32" i="22" s="1"/>
  <c r="I32" i="22"/>
  <c r="F54" i="22"/>
  <c r="G54" i="22" s="1"/>
  <c r="I54" i="22"/>
  <c r="F87" i="22"/>
  <c r="G87" i="22" s="1"/>
  <c r="I87" i="22"/>
  <c r="F41" i="22"/>
  <c r="G41" i="22" s="1"/>
  <c r="I41" i="22"/>
  <c r="F102" i="22"/>
  <c r="G102" i="22" s="1"/>
  <c r="I102" i="22"/>
  <c r="I50" i="22"/>
  <c r="F50" i="22"/>
  <c r="G50" i="22" s="1"/>
  <c r="F127" i="22"/>
  <c r="G127" i="22" s="1"/>
  <c r="I127" i="22"/>
  <c r="I100" i="22"/>
  <c r="F100" i="22"/>
  <c r="G100" i="22" s="1"/>
  <c r="I137" i="22"/>
  <c r="F137" i="22"/>
  <c r="G137" i="22" s="1"/>
  <c r="F104" i="22"/>
  <c r="G104" i="22" s="1"/>
  <c r="I104" i="22"/>
  <c r="F133" i="22"/>
  <c r="G133" i="22" s="1"/>
  <c r="I133" i="22"/>
  <c r="F151" i="22"/>
  <c r="G151" i="22" s="1"/>
  <c r="I151" i="22"/>
  <c r="I129" i="22"/>
  <c r="F129" i="22"/>
  <c r="G129" i="22" s="1"/>
  <c r="I152" i="22"/>
  <c r="F152" i="22"/>
  <c r="G152" i="22" s="1"/>
  <c r="I35" i="22"/>
  <c r="F35" i="22"/>
  <c r="G35" i="22" s="1"/>
  <c r="I43" i="22"/>
  <c r="F43" i="22"/>
  <c r="G43" i="22" s="1"/>
  <c r="I71" i="22"/>
  <c r="F71" i="22"/>
  <c r="G71" i="22" s="1"/>
  <c r="F3" i="22"/>
  <c r="G3" i="22" s="1"/>
  <c r="I3" i="22"/>
  <c r="I52" i="22"/>
  <c r="F52" i="22"/>
  <c r="G52" i="22" s="1"/>
  <c r="I27" i="22"/>
  <c r="F27" i="22"/>
  <c r="G27" i="22" s="1"/>
  <c r="I8" i="22"/>
  <c r="F8" i="22"/>
  <c r="G8" i="22" s="1"/>
  <c r="F24" i="22"/>
  <c r="G24" i="22" s="1"/>
  <c r="I24" i="22"/>
  <c r="I53" i="22"/>
  <c r="F53" i="22"/>
  <c r="G53" i="22" s="1"/>
  <c r="F44" i="22"/>
  <c r="G44" i="22" s="1"/>
  <c r="I44" i="22"/>
  <c r="F59" i="22"/>
  <c r="G59" i="22" s="1"/>
  <c r="I59" i="22"/>
  <c r="F74" i="22"/>
  <c r="G74" i="22" s="1"/>
  <c r="I74" i="22"/>
  <c r="F101" i="22"/>
  <c r="G101" i="22" s="1"/>
  <c r="I101" i="22"/>
  <c r="F17" i="22"/>
  <c r="G17" i="22" s="1"/>
  <c r="I17" i="22"/>
  <c r="F33" i="22"/>
  <c r="G33" i="22" s="1"/>
  <c r="I33" i="22"/>
  <c r="F49" i="22"/>
  <c r="G49" i="22" s="1"/>
  <c r="I49" i="22"/>
  <c r="F69" i="22"/>
  <c r="G69" i="22" s="1"/>
  <c r="I69" i="22"/>
  <c r="F138" i="22"/>
  <c r="G138" i="22" s="1"/>
  <c r="I138" i="22"/>
  <c r="I26" i="22"/>
  <c r="F26" i="22"/>
  <c r="G26" i="22" s="1"/>
  <c r="I42" i="22"/>
  <c r="F42" i="22"/>
  <c r="G42" i="22" s="1"/>
  <c r="I56" i="22"/>
  <c r="F56" i="22"/>
  <c r="G56" i="22" s="1"/>
  <c r="I70" i="22"/>
  <c r="F70" i="22"/>
  <c r="G70" i="22" s="1"/>
  <c r="F107" i="22"/>
  <c r="G107" i="22" s="1"/>
  <c r="I107" i="22"/>
  <c r="I76" i="22"/>
  <c r="F76" i="22"/>
  <c r="G76" i="22" s="1"/>
  <c r="I91" i="22"/>
  <c r="F91" i="22"/>
  <c r="G91" i="22" s="1"/>
  <c r="I110" i="22"/>
  <c r="F110" i="22"/>
  <c r="G110" i="22" s="1"/>
  <c r="I125" i="22"/>
  <c r="F125" i="22"/>
  <c r="G125" i="22" s="1"/>
  <c r="I144" i="22"/>
  <c r="F144" i="22"/>
  <c r="G144" i="22" s="1"/>
  <c r="I84" i="22"/>
  <c r="F84" i="22"/>
  <c r="G84" i="22" s="1"/>
  <c r="F98" i="22"/>
  <c r="G98" i="22" s="1"/>
  <c r="I98" i="22"/>
  <c r="F114" i="22"/>
  <c r="G114" i="22" s="1"/>
  <c r="I114" i="22"/>
  <c r="F121" i="22"/>
  <c r="G121" i="22" s="1"/>
  <c r="I121" i="22"/>
  <c r="F141" i="22"/>
  <c r="G141" i="22" s="1"/>
  <c r="I141" i="22"/>
  <c r="I95" i="22"/>
  <c r="F95" i="22"/>
  <c r="G95" i="22" s="1"/>
  <c r="I115" i="22"/>
  <c r="F115" i="22"/>
  <c r="G115" i="22" s="1"/>
  <c r="I134" i="22"/>
  <c r="F134" i="22"/>
  <c r="G134" i="22" s="1"/>
  <c r="I147" i="22"/>
  <c r="F147" i="22"/>
  <c r="G147" i="22" s="1"/>
  <c r="I154" i="22"/>
  <c r="F154" i="22"/>
  <c r="G154" i="22" s="1"/>
  <c r="F13" i="40"/>
  <c r="G13" i="40" s="1"/>
  <c r="I13" i="40"/>
  <c r="F7" i="40"/>
  <c r="G7" i="40" s="1"/>
  <c r="I7" i="40"/>
  <c r="F33" i="40"/>
  <c r="G33" i="40" s="1"/>
  <c r="I33" i="40"/>
  <c r="F45" i="40"/>
  <c r="G45" i="40" s="1"/>
  <c r="I45" i="40"/>
  <c r="F57" i="40"/>
  <c r="G57" i="40" s="1"/>
  <c r="I57" i="40"/>
  <c r="F69" i="40"/>
  <c r="G69" i="40" s="1"/>
  <c r="I69" i="40"/>
  <c r="F80" i="40"/>
  <c r="G80" i="40" s="1"/>
  <c r="I80" i="40"/>
  <c r="F92" i="40"/>
  <c r="G92" i="40" s="1"/>
  <c r="I92" i="40"/>
  <c r="F104" i="40"/>
  <c r="G104" i="40" s="1"/>
  <c r="I104" i="40"/>
  <c r="F116" i="40"/>
  <c r="G116" i="40" s="1"/>
  <c r="I116" i="40"/>
  <c r="F128" i="40"/>
  <c r="G128" i="40" s="1"/>
  <c r="I128" i="40"/>
  <c r="F132" i="40"/>
  <c r="G132" i="40" s="1"/>
  <c r="I132" i="40"/>
  <c r="F144" i="40"/>
  <c r="G144" i="40" s="1"/>
  <c r="I144" i="40"/>
  <c r="F156" i="40"/>
  <c r="G156" i="40" s="1"/>
  <c r="I156" i="40"/>
  <c r="F5" i="40"/>
  <c r="G5" i="40" s="1"/>
  <c r="I5" i="40"/>
  <c r="F20" i="40"/>
  <c r="G20" i="40" s="1"/>
  <c r="I20" i="40"/>
  <c r="F27" i="40"/>
  <c r="G27" i="40" s="1"/>
  <c r="I27" i="40"/>
  <c r="F15" i="40"/>
  <c r="G15" i="40" s="1"/>
  <c r="I15" i="40"/>
  <c r="F6" i="40"/>
  <c r="G6" i="40" s="1"/>
  <c r="I6" i="40"/>
  <c r="F21" i="40"/>
  <c r="G21" i="40" s="1"/>
  <c r="I21" i="40"/>
  <c r="F31" i="40"/>
  <c r="G31" i="40" s="1"/>
  <c r="I31" i="40"/>
  <c r="F35" i="40"/>
  <c r="G35" i="40" s="1"/>
  <c r="I35" i="40"/>
  <c r="F39" i="40"/>
  <c r="G39" i="40" s="1"/>
  <c r="I39" i="40"/>
  <c r="F43" i="40"/>
  <c r="G43" i="40" s="1"/>
  <c r="I43" i="40"/>
  <c r="F47" i="40"/>
  <c r="G47" i="40" s="1"/>
  <c r="I47" i="40"/>
  <c r="F51" i="40"/>
  <c r="G51" i="40" s="1"/>
  <c r="I51" i="40"/>
  <c r="F55" i="40"/>
  <c r="G55" i="40" s="1"/>
  <c r="I55" i="40"/>
  <c r="F59" i="40"/>
  <c r="G59" i="40" s="1"/>
  <c r="I59" i="40"/>
  <c r="F63" i="40"/>
  <c r="G63" i="40" s="1"/>
  <c r="I63" i="40"/>
  <c r="F67" i="40"/>
  <c r="G67" i="40" s="1"/>
  <c r="I67" i="40"/>
  <c r="F71" i="40"/>
  <c r="G71" i="40" s="1"/>
  <c r="I71" i="40"/>
  <c r="F75" i="40"/>
  <c r="G75" i="40" s="1"/>
  <c r="I75" i="40"/>
  <c r="F22" i="40"/>
  <c r="G22" i="40" s="1"/>
  <c r="I22" i="40"/>
  <c r="F82" i="40"/>
  <c r="G82" i="40" s="1"/>
  <c r="I82" i="40"/>
  <c r="F86" i="40"/>
  <c r="G86" i="40" s="1"/>
  <c r="I86" i="40"/>
  <c r="F90" i="40"/>
  <c r="G90" i="40" s="1"/>
  <c r="I90" i="40"/>
  <c r="F94" i="40"/>
  <c r="G94" i="40" s="1"/>
  <c r="I94" i="40"/>
  <c r="F98" i="40"/>
  <c r="G98" i="40" s="1"/>
  <c r="I98" i="40"/>
  <c r="F102" i="40"/>
  <c r="G102" i="40" s="1"/>
  <c r="I102" i="40"/>
  <c r="F106" i="40"/>
  <c r="G106" i="40" s="1"/>
  <c r="I106" i="40"/>
  <c r="F110" i="40"/>
  <c r="G110" i="40" s="1"/>
  <c r="I110" i="40"/>
  <c r="F114" i="40"/>
  <c r="G114" i="40" s="1"/>
  <c r="I114" i="40"/>
  <c r="F118" i="40"/>
  <c r="G118" i="40" s="1"/>
  <c r="I118" i="40"/>
  <c r="F122" i="40"/>
  <c r="G122" i="40" s="1"/>
  <c r="I122" i="40"/>
  <c r="F126" i="40"/>
  <c r="G126" i="40" s="1"/>
  <c r="I126" i="40"/>
  <c r="F130" i="40"/>
  <c r="G130" i="40" s="1"/>
  <c r="I130" i="40"/>
  <c r="F134" i="40"/>
  <c r="G134" i="40" s="1"/>
  <c r="I134" i="40"/>
  <c r="F138" i="40"/>
  <c r="G138" i="40" s="1"/>
  <c r="I138" i="40"/>
  <c r="F142" i="40"/>
  <c r="G142" i="40" s="1"/>
  <c r="I142" i="40"/>
  <c r="F146" i="40"/>
  <c r="G146" i="40" s="1"/>
  <c r="I146" i="40"/>
  <c r="F150" i="40"/>
  <c r="G150" i="40" s="1"/>
  <c r="I150" i="40"/>
  <c r="F154" i="40"/>
  <c r="G154" i="40" s="1"/>
  <c r="I154" i="40"/>
  <c r="F158" i="40"/>
  <c r="G158" i="40" s="1"/>
  <c r="I158" i="40"/>
  <c r="F8" i="40"/>
  <c r="G8" i="40" s="1"/>
  <c r="I8" i="40"/>
  <c r="F24" i="40"/>
  <c r="G24" i="40" s="1"/>
  <c r="I24" i="40"/>
  <c r="F37" i="40"/>
  <c r="G37" i="40" s="1"/>
  <c r="I37" i="40"/>
  <c r="F49" i="40"/>
  <c r="G49" i="40" s="1"/>
  <c r="I49" i="40"/>
  <c r="F65" i="40"/>
  <c r="G65" i="40" s="1"/>
  <c r="I65" i="40"/>
  <c r="F77" i="40"/>
  <c r="G77" i="40" s="1"/>
  <c r="I77" i="40"/>
  <c r="F84" i="40"/>
  <c r="G84" i="40" s="1"/>
  <c r="I84" i="40"/>
  <c r="F96" i="40"/>
  <c r="G96" i="40" s="1"/>
  <c r="I96" i="40"/>
  <c r="F112" i="40"/>
  <c r="G112" i="40" s="1"/>
  <c r="I112" i="40"/>
  <c r="F124" i="40"/>
  <c r="G124" i="40" s="1"/>
  <c r="I124" i="40"/>
  <c r="F140" i="40"/>
  <c r="G140" i="40" s="1"/>
  <c r="I140" i="40"/>
  <c r="F148" i="40"/>
  <c r="G148" i="40" s="1"/>
  <c r="I148" i="40"/>
  <c r="F152" i="40"/>
  <c r="G152" i="40" s="1"/>
  <c r="I152" i="40"/>
  <c r="F160" i="40"/>
  <c r="G160" i="40" s="1"/>
  <c r="I160" i="40"/>
  <c r="F4" i="40"/>
  <c r="G4" i="40" s="1"/>
  <c r="I4" i="40"/>
  <c r="F9" i="40"/>
  <c r="G9" i="40" s="1"/>
  <c r="I9" i="40"/>
  <c r="F23" i="40"/>
  <c r="G23" i="40" s="1"/>
  <c r="I23" i="40"/>
  <c r="F3" i="40"/>
  <c r="G3" i="40" s="1"/>
  <c r="I3" i="40"/>
  <c r="F19" i="40"/>
  <c r="G19" i="40" s="1"/>
  <c r="I19" i="40"/>
  <c r="F10" i="40"/>
  <c r="G10" i="40" s="1"/>
  <c r="I10" i="40"/>
  <c r="F29" i="40"/>
  <c r="G29" i="40" s="1"/>
  <c r="I29" i="40"/>
  <c r="F32" i="40"/>
  <c r="G32" i="40" s="1"/>
  <c r="I32" i="40"/>
  <c r="F36" i="40"/>
  <c r="G36" i="40" s="1"/>
  <c r="I36" i="40"/>
  <c r="F40" i="40"/>
  <c r="G40" i="40" s="1"/>
  <c r="I40" i="40"/>
  <c r="F44" i="40"/>
  <c r="G44" i="40" s="1"/>
  <c r="I44" i="40"/>
  <c r="F48" i="40"/>
  <c r="G48" i="40" s="1"/>
  <c r="I48" i="40"/>
  <c r="F52" i="40"/>
  <c r="G52" i="40" s="1"/>
  <c r="I52" i="40"/>
  <c r="F56" i="40"/>
  <c r="G56" i="40" s="1"/>
  <c r="I56" i="40"/>
  <c r="F60" i="40"/>
  <c r="G60" i="40" s="1"/>
  <c r="I60" i="40"/>
  <c r="F64" i="40"/>
  <c r="G64" i="40" s="1"/>
  <c r="I64" i="40"/>
  <c r="F68" i="40"/>
  <c r="G68" i="40" s="1"/>
  <c r="I68" i="40"/>
  <c r="F72" i="40"/>
  <c r="G72" i="40" s="1"/>
  <c r="I72" i="40"/>
  <c r="F76" i="40"/>
  <c r="G76" i="40" s="1"/>
  <c r="I76" i="40"/>
  <c r="F26" i="40"/>
  <c r="G26" i="40" s="1"/>
  <c r="I26" i="40"/>
  <c r="F83" i="40"/>
  <c r="G83" i="40" s="1"/>
  <c r="I83" i="40"/>
  <c r="F87" i="40"/>
  <c r="G87" i="40" s="1"/>
  <c r="I87" i="40"/>
  <c r="F91" i="40"/>
  <c r="G91" i="40" s="1"/>
  <c r="I91" i="40"/>
  <c r="F95" i="40"/>
  <c r="G95" i="40" s="1"/>
  <c r="I95" i="40"/>
  <c r="F99" i="40"/>
  <c r="G99" i="40" s="1"/>
  <c r="I99" i="40"/>
  <c r="F103" i="40"/>
  <c r="G103" i="40" s="1"/>
  <c r="I103" i="40"/>
  <c r="F107" i="40"/>
  <c r="G107" i="40" s="1"/>
  <c r="I107" i="40"/>
  <c r="F111" i="40"/>
  <c r="G111" i="40" s="1"/>
  <c r="I111" i="40"/>
  <c r="F115" i="40"/>
  <c r="G115" i="40" s="1"/>
  <c r="I115" i="40"/>
  <c r="F119" i="40"/>
  <c r="G119" i="40" s="1"/>
  <c r="I119" i="40"/>
  <c r="F123" i="40"/>
  <c r="G123" i="40" s="1"/>
  <c r="I123" i="40"/>
  <c r="F127" i="40"/>
  <c r="G127" i="40" s="1"/>
  <c r="I127" i="40"/>
  <c r="F131" i="40"/>
  <c r="G131" i="40" s="1"/>
  <c r="I131" i="40"/>
  <c r="F135" i="40"/>
  <c r="G135" i="40" s="1"/>
  <c r="I135" i="40"/>
  <c r="F139" i="40"/>
  <c r="G139" i="40" s="1"/>
  <c r="I139" i="40"/>
  <c r="F143" i="40"/>
  <c r="G143" i="40" s="1"/>
  <c r="I143" i="40"/>
  <c r="F147" i="40"/>
  <c r="G147" i="40" s="1"/>
  <c r="I147" i="40"/>
  <c r="F151" i="40"/>
  <c r="G151" i="40" s="1"/>
  <c r="I151" i="40"/>
  <c r="F155" i="40"/>
  <c r="G155" i="40" s="1"/>
  <c r="I155" i="40"/>
  <c r="F159" i="40"/>
  <c r="G159" i="40" s="1"/>
  <c r="I159" i="40"/>
  <c r="F28" i="40"/>
  <c r="G28" i="40" s="1"/>
  <c r="I28" i="40"/>
  <c r="F14" i="40"/>
  <c r="G14" i="40" s="1"/>
  <c r="I14" i="40"/>
  <c r="F79" i="40"/>
  <c r="G79" i="40" s="1"/>
  <c r="I79" i="40"/>
  <c r="F41" i="40"/>
  <c r="G41" i="40" s="1"/>
  <c r="I41" i="40"/>
  <c r="F53" i="40"/>
  <c r="G53" i="40" s="1"/>
  <c r="I53" i="40"/>
  <c r="F61" i="40"/>
  <c r="G61" i="40" s="1"/>
  <c r="I61" i="40"/>
  <c r="F73" i="40"/>
  <c r="G73" i="40" s="1"/>
  <c r="I73" i="40"/>
  <c r="F88" i="40"/>
  <c r="G88" i="40" s="1"/>
  <c r="I88" i="40"/>
  <c r="F100" i="40"/>
  <c r="G100" i="40" s="1"/>
  <c r="I100" i="40"/>
  <c r="F108" i="40"/>
  <c r="G108" i="40" s="1"/>
  <c r="I108" i="40"/>
  <c r="F120" i="40"/>
  <c r="G120" i="40" s="1"/>
  <c r="I120" i="40"/>
  <c r="F136" i="40"/>
  <c r="G136" i="40" s="1"/>
  <c r="I136" i="40"/>
  <c r="F12" i="40"/>
  <c r="G12" i="40" s="1"/>
  <c r="I12" i="40"/>
  <c r="F17" i="40"/>
  <c r="G17" i="40" s="1"/>
  <c r="I17" i="40"/>
  <c r="F16" i="40"/>
  <c r="G16" i="40" s="1"/>
  <c r="I16" i="40"/>
  <c r="F11" i="40"/>
  <c r="G11" i="40" s="1"/>
  <c r="I11" i="40"/>
  <c r="F25" i="40"/>
  <c r="G25" i="40" s="1"/>
  <c r="I25" i="40"/>
  <c r="F18" i="40"/>
  <c r="G18" i="40" s="1"/>
  <c r="I18" i="40"/>
  <c r="F30" i="40"/>
  <c r="G30" i="40" s="1"/>
  <c r="I30" i="40"/>
  <c r="F34" i="40"/>
  <c r="G34" i="40" s="1"/>
  <c r="I34" i="40"/>
  <c r="F38" i="40"/>
  <c r="G38" i="40" s="1"/>
  <c r="I38" i="40"/>
  <c r="F42" i="40"/>
  <c r="G42" i="40" s="1"/>
  <c r="I42" i="40"/>
  <c r="F46" i="40"/>
  <c r="G46" i="40" s="1"/>
  <c r="I46" i="40"/>
  <c r="F50" i="40"/>
  <c r="G50" i="40" s="1"/>
  <c r="I50" i="40"/>
  <c r="F54" i="40"/>
  <c r="G54" i="40" s="1"/>
  <c r="I54" i="40"/>
  <c r="F58" i="40"/>
  <c r="G58" i="40" s="1"/>
  <c r="I58" i="40"/>
  <c r="F62" i="40"/>
  <c r="G62" i="40" s="1"/>
  <c r="I62" i="40"/>
  <c r="F66" i="40"/>
  <c r="G66" i="40" s="1"/>
  <c r="I66" i="40"/>
  <c r="F70" i="40"/>
  <c r="G70" i="40" s="1"/>
  <c r="I70" i="40"/>
  <c r="F74" i="40"/>
  <c r="G74" i="40" s="1"/>
  <c r="I74" i="40"/>
  <c r="F78" i="40"/>
  <c r="G78" i="40" s="1"/>
  <c r="I78" i="40"/>
  <c r="F81" i="40"/>
  <c r="G81" i="40" s="1"/>
  <c r="I81" i="40"/>
  <c r="F85" i="40"/>
  <c r="G85" i="40" s="1"/>
  <c r="I85" i="40"/>
  <c r="F89" i="40"/>
  <c r="G89" i="40" s="1"/>
  <c r="I89" i="40"/>
  <c r="F93" i="40"/>
  <c r="G93" i="40" s="1"/>
  <c r="I93" i="40"/>
  <c r="F97" i="40"/>
  <c r="G97" i="40" s="1"/>
  <c r="I97" i="40"/>
  <c r="F101" i="40"/>
  <c r="G101" i="40" s="1"/>
  <c r="I101" i="40"/>
  <c r="F105" i="40"/>
  <c r="G105" i="40" s="1"/>
  <c r="I105" i="40"/>
  <c r="F109" i="40"/>
  <c r="G109" i="40" s="1"/>
  <c r="I109" i="40"/>
  <c r="F113" i="40"/>
  <c r="G113" i="40" s="1"/>
  <c r="I113" i="40"/>
  <c r="F117" i="40"/>
  <c r="G117" i="40" s="1"/>
  <c r="I117" i="40"/>
  <c r="F121" i="40"/>
  <c r="G121" i="40" s="1"/>
  <c r="I121" i="40"/>
  <c r="F125" i="40"/>
  <c r="G125" i="40" s="1"/>
  <c r="I125" i="40"/>
  <c r="F129" i="40"/>
  <c r="G129" i="40" s="1"/>
  <c r="I129" i="40"/>
  <c r="F133" i="40"/>
  <c r="G133" i="40" s="1"/>
  <c r="I133" i="40"/>
  <c r="F137" i="40"/>
  <c r="G137" i="40" s="1"/>
  <c r="I137" i="40"/>
  <c r="F141" i="40"/>
  <c r="G141" i="40" s="1"/>
  <c r="I141" i="40"/>
  <c r="F145" i="40"/>
  <c r="G145" i="40" s="1"/>
  <c r="I145" i="40"/>
  <c r="F149" i="40"/>
  <c r="G149" i="40" s="1"/>
  <c r="I149" i="40"/>
  <c r="F153" i="40"/>
  <c r="G153" i="40" s="1"/>
  <c r="I153" i="40"/>
  <c r="F157" i="40"/>
  <c r="G157" i="40" s="1"/>
  <c r="I157" i="40"/>
  <c r="C17" i="14"/>
  <c r="C19" i="14" s="1"/>
  <c r="I36" i="35"/>
  <c r="I57" i="35"/>
  <c r="I56" i="35"/>
  <c r="I73" i="35"/>
  <c r="I47" i="35"/>
  <c r="I27" i="35"/>
  <c r="I48" i="35"/>
  <c r="I23" i="35"/>
  <c r="I60" i="35"/>
  <c r="I46" i="35"/>
  <c r="I64" i="35"/>
  <c r="I52" i="35"/>
  <c r="I71" i="35"/>
  <c r="I53" i="35"/>
  <c r="I72" i="35"/>
  <c r="I65" i="35"/>
  <c r="I21" i="35"/>
  <c r="I51" i="35"/>
  <c r="I117" i="35"/>
  <c r="I83" i="35"/>
  <c r="I95" i="35"/>
  <c r="I111" i="35"/>
  <c r="I127" i="35"/>
  <c r="I143" i="35"/>
  <c r="I159" i="35"/>
  <c r="I125" i="35"/>
  <c r="I84" i="35"/>
  <c r="I100" i="35"/>
  <c r="I116" i="35"/>
  <c r="I132" i="35"/>
  <c r="I148" i="35"/>
  <c r="I89" i="35"/>
  <c r="I133" i="35"/>
  <c r="I94" i="35"/>
  <c r="I110" i="35"/>
  <c r="I126" i="35"/>
  <c r="I142" i="35"/>
  <c r="I158" i="35"/>
  <c r="I12" i="35"/>
  <c r="I77" i="35"/>
  <c r="I74" i="35"/>
  <c r="I55" i="35"/>
  <c r="I91" i="35"/>
  <c r="I7" i="35"/>
  <c r="I3" i="35"/>
  <c r="I17" i="35"/>
  <c r="I75" i="35"/>
  <c r="I78" i="35"/>
  <c r="I28" i="35"/>
  <c r="I79" i="35"/>
  <c r="I34" i="35"/>
  <c r="I45" i="35"/>
  <c r="I40" i="35"/>
  <c r="I24" i="35"/>
  <c r="I44" i="35"/>
  <c r="I16" i="35"/>
  <c r="I54" i="35"/>
  <c r="I30" i="35"/>
  <c r="I58" i="35"/>
  <c r="I38" i="35"/>
  <c r="I59" i="35"/>
  <c r="I25" i="35"/>
  <c r="I85" i="35"/>
  <c r="I129" i="35"/>
  <c r="I99" i="35"/>
  <c r="I115" i="35"/>
  <c r="I131" i="35"/>
  <c r="I147" i="35"/>
  <c r="I81" i="35"/>
  <c r="I145" i="35"/>
  <c r="I88" i="35"/>
  <c r="I104" i="35"/>
  <c r="I120" i="35"/>
  <c r="I136" i="35"/>
  <c r="I152" i="35"/>
  <c r="I101" i="35"/>
  <c r="I137" i="35"/>
  <c r="I86" i="35"/>
  <c r="I98" i="35"/>
  <c r="I114" i="35"/>
  <c r="I130" i="35"/>
  <c r="I146" i="35"/>
  <c r="I9" i="35"/>
  <c r="I19" i="35"/>
  <c r="I67" i="35"/>
  <c r="I50" i="35"/>
  <c r="I68" i="35"/>
  <c r="I62" i="35"/>
  <c r="I20" i="35"/>
  <c r="I6" i="35"/>
  <c r="I42" i="35"/>
  <c r="I43" i="35"/>
  <c r="I153" i="35"/>
  <c r="I107" i="35"/>
  <c r="I139" i="35"/>
  <c r="I113" i="35"/>
  <c r="I96" i="35"/>
  <c r="I112" i="35"/>
  <c r="I144" i="35"/>
  <c r="I121" i="35"/>
  <c r="I82" i="35"/>
  <c r="I122" i="35"/>
  <c r="I138" i="35"/>
  <c r="I41" i="35"/>
  <c r="I61" i="35"/>
  <c r="I49" i="35"/>
  <c r="I18" i="35"/>
  <c r="I10" i="35"/>
  <c r="I70" i="35"/>
  <c r="I26" i="35"/>
  <c r="I11" i="35"/>
  <c r="I76" i="35"/>
  <c r="I5" i="35"/>
  <c r="I69" i="35"/>
  <c r="I22" i="35"/>
  <c r="I14" i="35"/>
  <c r="I33" i="35"/>
  <c r="I4" i="35"/>
  <c r="I37" i="35"/>
  <c r="I63" i="35"/>
  <c r="I35" i="35"/>
  <c r="I29" i="35"/>
  <c r="I93" i="35"/>
  <c r="I141" i="35"/>
  <c r="I87" i="35"/>
  <c r="I103" i="35"/>
  <c r="I119" i="35"/>
  <c r="I135" i="35"/>
  <c r="I151" i="35"/>
  <c r="I97" i="35"/>
  <c r="I157" i="35"/>
  <c r="I92" i="35"/>
  <c r="I108" i="35"/>
  <c r="I124" i="35"/>
  <c r="I140" i="35"/>
  <c r="I156" i="35"/>
  <c r="I109" i="35"/>
  <c r="I149" i="35"/>
  <c r="I90" i="35"/>
  <c r="I102" i="35"/>
  <c r="I118" i="35"/>
  <c r="I134" i="35"/>
  <c r="I150" i="35"/>
  <c r="I39" i="35"/>
  <c r="I66" i="35"/>
  <c r="I13" i="35"/>
  <c r="I15" i="35"/>
  <c r="I105" i="35"/>
  <c r="I123" i="35"/>
  <c r="I155" i="35"/>
  <c r="I80" i="35"/>
  <c r="I128" i="35"/>
  <c r="I160" i="35"/>
  <c r="I106" i="35"/>
  <c r="I154" i="35"/>
  <c r="F9" i="32"/>
  <c r="G9" i="32" s="1"/>
  <c r="F7" i="32"/>
  <c r="G7" i="32" s="1"/>
  <c r="F58" i="32"/>
  <c r="G58" i="32" s="1"/>
  <c r="F41" i="32"/>
  <c r="G41" i="32" s="1"/>
  <c r="F18" i="32"/>
  <c r="G18" i="32" s="1"/>
  <c r="F51" i="32"/>
  <c r="G51" i="32" s="1"/>
  <c r="F4" i="32"/>
  <c r="G4" i="32" s="1"/>
  <c r="F55" i="32"/>
  <c r="G55" i="32" s="1"/>
  <c r="F103" i="32"/>
  <c r="G103" i="32" s="1"/>
  <c r="F85" i="32"/>
  <c r="G85" i="32" s="1"/>
  <c r="F133" i="32"/>
  <c r="G133" i="32" s="1"/>
  <c r="F88" i="32"/>
  <c r="G88" i="32" s="1"/>
  <c r="F120" i="32"/>
  <c r="G120" i="32" s="1"/>
  <c r="F152" i="32"/>
  <c r="G152" i="32" s="1"/>
  <c r="F138" i="32"/>
  <c r="G138" i="32" s="1"/>
  <c r="F21" i="32"/>
  <c r="G21" i="32" s="1"/>
  <c r="F29" i="32"/>
  <c r="G29" i="32" s="1"/>
  <c r="F3" i="32"/>
  <c r="G3" i="32" s="1"/>
  <c r="F19" i="32"/>
  <c r="G19" i="32" s="1"/>
  <c r="F35" i="32"/>
  <c r="G35" i="32" s="1"/>
  <c r="F50" i="32"/>
  <c r="G50" i="32" s="1"/>
  <c r="F83" i="32"/>
  <c r="G83" i="32" s="1"/>
  <c r="F147" i="32"/>
  <c r="G147" i="32" s="1"/>
  <c r="F139" i="32"/>
  <c r="G139" i="32" s="1"/>
  <c r="F14" i="32"/>
  <c r="G14" i="32" s="1"/>
  <c r="F30" i="32"/>
  <c r="G30" i="32" s="1"/>
  <c r="F46" i="32"/>
  <c r="G46" i="32" s="1"/>
  <c r="F70" i="32"/>
  <c r="G70" i="32" s="1"/>
  <c r="F143" i="32"/>
  <c r="G143" i="32" s="1"/>
  <c r="F49" i="32"/>
  <c r="G49" i="32" s="1"/>
  <c r="F16" i="32"/>
  <c r="G16" i="32" s="1"/>
  <c r="F32" i="32"/>
  <c r="G32" i="32" s="1"/>
  <c r="F48" i="32"/>
  <c r="G48" i="32" s="1"/>
  <c r="F87" i="32"/>
  <c r="G87" i="32" s="1"/>
  <c r="F151" i="32"/>
  <c r="G151" i="32" s="1"/>
  <c r="F64" i="32"/>
  <c r="G64" i="32" s="1"/>
  <c r="F81" i="32"/>
  <c r="G81" i="32" s="1"/>
  <c r="F97" i="32"/>
  <c r="G97" i="32" s="1"/>
  <c r="F113" i="32"/>
  <c r="G113" i="32" s="1"/>
  <c r="F129" i="32"/>
  <c r="G129" i="32" s="1"/>
  <c r="F145" i="32"/>
  <c r="G145" i="32" s="1"/>
  <c r="F71" i="32"/>
  <c r="G71" i="32" s="1"/>
  <c r="F84" i="32"/>
  <c r="G84" i="32" s="1"/>
  <c r="F100" i="32"/>
  <c r="G100" i="32" s="1"/>
  <c r="F116" i="32"/>
  <c r="G116" i="32" s="1"/>
  <c r="F132" i="32"/>
  <c r="G132" i="32" s="1"/>
  <c r="F148" i="32"/>
  <c r="G148" i="32" s="1"/>
  <c r="F53" i="32"/>
  <c r="G53" i="32" s="1"/>
  <c r="F69" i="32"/>
  <c r="G69" i="32" s="1"/>
  <c r="F86" i="32"/>
  <c r="G86" i="32" s="1"/>
  <c r="F102" i="32"/>
  <c r="G102" i="32" s="1"/>
  <c r="F118" i="32"/>
  <c r="G118" i="32" s="1"/>
  <c r="F134" i="32"/>
  <c r="G134" i="32" s="1"/>
  <c r="F150" i="32"/>
  <c r="G150" i="32" s="1"/>
  <c r="F54" i="32"/>
  <c r="G54" i="32" s="1"/>
  <c r="F23" i="32"/>
  <c r="G23" i="32" s="1"/>
  <c r="F99" i="32"/>
  <c r="G99" i="32" s="1"/>
  <c r="F34" i="32"/>
  <c r="G34" i="32" s="1"/>
  <c r="F95" i="32"/>
  <c r="G95" i="32" s="1"/>
  <c r="F20" i="32"/>
  <c r="G20" i="32" s="1"/>
  <c r="F52" i="32"/>
  <c r="G52" i="32" s="1"/>
  <c r="F101" i="32"/>
  <c r="G101" i="32" s="1"/>
  <c r="F149" i="32"/>
  <c r="G149" i="32" s="1"/>
  <c r="F104" i="32"/>
  <c r="G104" i="32" s="1"/>
  <c r="F57" i="32"/>
  <c r="G57" i="32" s="1"/>
  <c r="F154" i="32"/>
  <c r="G154" i="32" s="1"/>
  <c r="F25" i="32"/>
  <c r="G25" i="32" s="1"/>
  <c r="F33" i="32"/>
  <c r="G33" i="32" s="1"/>
  <c r="F62" i="32"/>
  <c r="G62" i="32" s="1"/>
  <c r="F11" i="32"/>
  <c r="G11" i="32" s="1"/>
  <c r="F27" i="32"/>
  <c r="G27" i="32" s="1"/>
  <c r="F43" i="32"/>
  <c r="G43" i="32" s="1"/>
  <c r="F66" i="32"/>
  <c r="G66" i="32" s="1"/>
  <c r="F115" i="32"/>
  <c r="G115" i="32" s="1"/>
  <c r="F107" i="32"/>
  <c r="G107" i="32" s="1"/>
  <c r="F6" i="32"/>
  <c r="G6" i="32" s="1"/>
  <c r="F22" i="32"/>
  <c r="G22" i="32" s="1"/>
  <c r="F38" i="32"/>
  <c r="G38" i="32" s="1"/>
  <c r="F59" i="32"/>
  <c r="G59" i="32" s="1"/>
  <c r="F111" i="32"/>
  <c r="G111" i="32" s="1"/>
  <c r="F37" i="32"/>
  <c r="G37" i="32" s="1"/>
  <c r="F8" i="32"/>
  <c r="G8" i="32" s="1"/>
  <c r="F24" i="32"/>
  <c r="G24" i="32" s="1"/>
  <c r="F40" i="32"/>
  <c r="G40" i="32" s="1"/>
  <c r="F63" i="32"/>
  <c r="G63" i="32" s="1"/>
  <c r="F119" i="32"/>
  <c r="G119" i="32" s="1"/>
  <c r="F56" i="32"/>
  <c r="G56" i="32" s="1"/>
  <c r="F72" i="32"/>
  <c r="G72" i="32" s="1"/>
  <c r="F89" i="32"/>
  <c r="G89" i="32" s="1"/>
  <c r="F105" i="32"/>
  <c r="G105" i="32" s="1"/>
  <c r="F121" i="32"/>
  <c r="G121" i="32" s="1"/>
  <c r="F137" i="32"/>
  <c r="G137" i="32" s="1"/>
  <c r="F153" i="32"/>
  <c r="G153" i="32" s="1"/>
  <c r="F79" i="32"/>
  <c r="G79" i="32" s="1"/>
  <c r="F92" i="32"/>
  <c r="G92" i="32" s="1"/>
  <c r="F108" i="32"/>
  <c r="G108" i="32" s="1"/>
  <c r="F124" i="32"/>
  <c r="G124" i="32" s="1"/>
  <c r="F140" i="32"/>
  <c r="G140" i="32" s="1"/>
  <c r="F156" i="32"/>
  <c r="G156" i="32" s="1"/>
  <c r="F61" i="32"/>
  <c r="G61" i="32" s="1"/>
  <c r="F77" i="32"/>
  <c r="G77" i="32" s="1"/>
  <c r="F94" i="32"/>
  <c r="G94" i="32" s="1"/>
  <c r="F110" i="32"/>
  <c r="G110" i="32" s="1"/>
  <c r="F126" i="32"/>
  <c r="G126" i="32" s="1"/>
  <c r="F142" i="32"/>
  <c r="G142" i="32" s="1"/>
  <c r="F158" i="32"/>
  <c r="G158" i="32" s="1"/>
  <c r="F17" i="32"/>
  <c r="G17" i="32" s="1"/>
  <c r="F39" i="32"/>
  <c r="G39" i="32" s="1"/>
  <c r="F155" i="32"/>
  <c r="G155" i="32" s="1"/>
  <c r="F159" i="32"/>
  <c r="G159" i="32" s="1"/>
  <c r="F36" i="32"/>
  <c r="G36" i="32" s="1"/>
  <c r="F68" i="32"/>
  <c r="G68" i="32" s="1"/>
  <c r="F117" i="32"/>
  <c r="G117" i="32" s="1"/>
  <c r="F75" i="32"/>
  <c r="G75" i="32" s="1"/>
  <c r="F136" i="32"/>
  <c r="G136" i="32" s="1"/>
  <c r="F73" i="32"/>
  <c r="G73" i="32" s="1"/>
  <c r="F90" i="32"/>
  <c r="G90" i="32" s="1"/>
  <c r="F106" i="32"/>
  <c r="G106" i="32" s="1"/>
  <c r="F122" i="32"/>
  <c r="G122" i="32" s="1"/>
  <c r="F5" i="32"/>
  <c r="G5" i="32" s="1"/>
  <c r="F13" i="32"/>
  <c r="G13" i="32" s="1"/>
  <c r="F91" i="32"/>
  <c r="G91" i="32" s="1"/>
  <c r="F15" i="32"/>
  <c r="G15" i="32" s="1"/>
  <c r="F31" i="32"/>
  <c r="G31" i="32" s="1"/>
  <c r="F47" i="32"/>
  <c r="G47" i="32" s="1"/>
  <c r="F74" i="32"/>
  <c r="G74" i="32" s="1"/>
  <c r="F131" i="32"/>
  <c r="G131" i="32" s="1"/>
  <c r="F123" i="32"/>
  <c r="G123" i="32" s="1"/>
  <c r="F10" i="32"/>
  <c r="G10" i="32" s="1"/>
  <c r="F26" i="32"/>
  <c r="G26" i="32" s="1"/>
  <c r="F42" i="32"/>
  <c r="G42" i="32" s="1"/>
  <c r="F67" i="32"/>
  <c r="G67" i="32" s="1"/>
  <c r="F127" i="32"/>
  <c r="G127" i="32" s="1"/>
  <c r="F45" i="32"/>
  <c r="G45" i="32" s="1"/>
  <c r="F12" i="32"/>
  <c r="G12" i="32" s="1"/>
  <c r="F28" i="32"/>
  <c r="G28" i="32" s="1"/>
  <c r="F44" i="32"/>
  <c r="G44" i="32" s="1"/>
  <c r="F78" i="32"/>
  <c r="G78" i="32" s="1"/>
  <c r="F135" i="32"/>
  <c r="G135" i="32" s="1"/>
  <c r="F60" i="32"/>
  <c r="G60" i="32" s="1"/>
  <c r="F76" i="32"/>
  <c r="G76" i="32" s="1"/>
  <c r="F93" i="32"/>
  <c r="G93" i="32" s="1"/>
  <c r="F109" i="32"/>
  <c r="G109" i="32" s="1"/>
  <c r="F125" i="32"/>
  <c r="G125" i="32" s="1"/>
  <c r="F141" i="32"/>
  <c r="G141" i="32" s="1"/>
  <c r="F157" i="32"/>
  <c r="G157" i="32" s="1"/>
  <c r="F80" i="32"/>
  <c r="G80" i="32" s="1"/>
  <c r="F96" i="32"/>
  <c r="G96" i="32" s="1"/>
  <c r="F112" i="32"/>
  <c r="G112" i="32" s="1"/>
  <c r="F128" i="32"/>
  <c r="G128" i="32" s="1"/>
  <c r="F144" i="32"/>
  <c r="G144" i="32" s="1"/>
  <c r="F160" i="32"/>
  <c r="G160" i="32" s="1"/>
  <c r="F65" i="32"/>
  <c r="G65" i="32" s="1"/>
  <c r="F82" i="32"/>
  <c r="G82" i="32" s="1"/>
  <c r="F98" i="32"/>
  <c r="G98" i="32" s="1"/>
  <c r="F114" i="32"/>
  <c r="G114" i="32" s="1"/>
  <c r="F130" i="32"/>
  <c r="G130" i="32" s="1"/>
  <c r="F146" i="32"/>
  <c r="G146" i="32" s="1"/>
  <c r="F42" i="37"/>
  <c r="I9" i="32" s="1"/>
  <c r="I161" i="32"/>
  <c r="D12" i="14"/>
  <c r="F29" i="54"/>
  <c r="I29" i="54"/>
  <c r="F6" i="54"/>
  <c r="I6" i="54"/>
  <c r="F10" i="54"/>
  <c r="I10" i="54"/>
  <c r="F14" i="54"/>
  <c r="I14" i="54"/>
  <c r="F18" i="54"/>
  <c r="I18" i="54"/>
  <c r="F23" i="54"/>
  <c r="I23" i="54"/>
  <c r="F77" i="54"/>
  <c r="I77" i="54"/>
  <c r="F30" i="54"/>
  <c r="I30" i="54"/>
  <c r="F38" i="54"/>
  <c r="I38" i="54"/>
  <c r="F46" i="54"/>
  <c r="I46" i="54"/>
  <c r="F50" i="54"/>
  <c r="I50" i="54"/>
  <c r="F54" i="54"/>
  <c r="I54" i="54"/>
  <c r="F59" i="54"/>
  <c r="I59" i="54"/>
  <c r="F63" i="54"/>
  <c r="I63" i="54"/>
  <c r="F67" i="54"/>
  <c r="I67" i="54"/>
  <c r="F71" i="54"/>
  <c r="I71" i="54"/>
  <c r="F75" i="54"/>
  <c r="I75" i="54"/>
  <c r="F89" i="54"/>
  <c r="I89" i="54"/>
  <c r="F88" i="54"/>
  <c r="I88" i="54"/>
  <c r="F87" i="54"/>
  <c r="I87" i="54"/>
  <c r="F96" i="54"/>
  <c r="I96" i="54"/>
  <c r="F100" i="54"/>
  <c r="I100" i="54"/>
  <c r="F104" i="54"/>
  <c r="I104" i="54"/>
  <c r="F108" i="54"/>
  <c r="I108" i="54"/>
  <c r="F112" i="54"/>
  <c r="I112" i="54"/>
  <c r="F116" i="54"/>
  <c r="I116" i="54"/>
  <c r="F120" i="54"/>
  <c r="I120" i="54"/>
  <c r="F124" i="54"/>
  <c r="I124" i="54"/>
  <c r="F128" i="54"/>
  <c r="I128" i="54"/>
  <c r="F132" i="54"/>
  <c r="I132" i="54"/>
  <c r="F137" i="54"/>
  <c r="I137" i="54"/>
  <c r="F141" i="54"/>
  <c r="I141" i="54"/>
  <c r="F145" i="54"/>
  <c r="I145" i="54"/>
  <c r="F149" i="54"/>
  <c r="I149" i="54"/>
  <c r="F153" i="54"/>
  <c r="I153" i="54"/>
  <c r="F157" i="54"/>
  <c r="I157" i="54"/>
  <c r="F3" i="54"/>
  <c r="I3" i="54"/>
  <c r="F7" i="54"/>
  <c r="I7" i="54"/>
  <c r="F11" i="54"/>
  <c r="I11" i="54"/>
  <c r="F15" i="54"/>
  <c r="I15" i="54"/>
  <c r="F19" i="54"/>
  <c r="I19" i="54"/>
  <c r="F24" i="54"/>
  <c r="I24" i="54"/>
  <c r="F82" i="54"/>
  <c r="I82" i="54"/>
  <c r="F35" i="54"/>
  <c r="I35" i="54"/>
  <c r="F43" i="54"/>
  <c r="I43" i="54"/>
  <c r="F47" i="54"/>
  <c r="I47" i="54"/>
  <c r="F51" i="54"/>
  <c r="I51" i="54"/>
  <c r="F56" i="54"/>
  <c r="I56" i="54"/>
  <c r="F60" i="54"/>
  <c r="I60" i="54"/>
  <c r="F64" i="54"/>
  <c r="I64" i="54"/>
  <c r="F68" i="54"/>
  <c r="I68" i="54"/>
  <c r="F72" i="54"/>
  <c r="I72" i="54"/>
  <c r="F76" i="54"/>
  <c r="I76" i="54"/>
  <c r="F93" i="54"/>
  <c r="I93" i="54"/>
  <c r="F92" i="54"/>
  <c r="I92" i="54"/>
  <c r="F91" i="54"/>
  <c r="I91" i="54"/>
  <c r="F97" i="54"/>
  <c r="I97" i="54"/>
  <c r="F101" i="54"/>
  <c r="I101" i="54"/>
  <c r="F105" i="54"/>
  <c r="I105" i="54"/>
  <c r="F109" i="54"/>
  <c r="I109" i="54"/>
  <c r="F113" i="54"/>
  <c r="I113" i="54"/>
  <c r="F117" i="54"/>
  <c r="I117" i="54"/>
  <c r="F121" i="54"/>
  <c r="I121" i="54"/>
  <c r="F125" i="54"/>
  <c r="I125" i="54"/>
  <c r="F129" i="54"/>
  <c r="I129" i="54"/>
  <c r="F133" i="54"/>
  <c r="I133" i="54"/>
  <c r="F138" i="54"/>
  <c r="I138" i="54"/>
  <c r="F142" i="54"/>
  <c r="I142" i="54"/>
  <c r="F146" i="54"/>
  <c r="I146" i="54"/>
  <c r="F150" i="54"/>
  <c r="I150" i="54"/>
  <c r="F154" i="54"/>
  <c r="I154" i="54"/>
  <c r="F158" i="54"/>
  <c r="I158" i="54"/>
  <c r="J161" i="54"/>
  <c r="F25" i="54"/>
  <c r="I25" i="54"/>
  <c r="F4" i="54"/>
  <c r="I4" i="54"/>
  <c r="F8" i="54"/>
  <c r="I8" i="54"/>
  <c r="F12" i="54"/>
  <c r="I12" i="54"/>
  <c r="F16" i="54"/>
  <c r="I16" i="54"/>
  <c r="F20" i="54"/>
  <c r="I20" i="54"/>
  <c r="F26" i="54"/>
  <c r="I26" i="54"/>
  <c r="F86" i="54"/>
  <c r="I86" i="54"/>
  <c r="F36" i="54"/>
  <c r="I36" i="54"/>
  <c r="F44" i="54"/>
  <c r="I44" i="54"/>
  <c r="F48" i="54"/>
  <c r="I48" i="54"/>
  <c r="F52" i="54"/>
  <c r="I52" i="54"/>
  <c r="F57" i="54"/>
  <c r="I57" i="54"/>
  <c r="F61" i="54"/>
  <c r="I61" i="54"/>
  <c r="F65" i="54"/>
  <c r="I65" i="54"/>
  <c r="F69" i="54"/>
  <c r="I69" i="54"/>
  <c r="F73" i="54"/>
  <c r="I73" i="54"/>
  <c r="F81" i="54"/>
  <c r="I81" i="54"/>
  <c r="F80" i="54"/>
  <c r="I80" i="54"/>
  <c r="F79" i="54"/>
  <c r="I79" i="54"/>
  <c r="F94" i="54"/>
  <c r="I94" i="54"/>
  <c r="F98" i="54"/>
  <c r="I98" i="54"/>
  <c r="F102" i="54"/>
  <c r="I102" i="54"/>
  <c r="F106" i="54"/>
  <c r="I106" i="54"/>
  <c r="F110" i="54"/>
  <c r="I110" i="54"/>
  <c r="F114" i="54"/>
  <c r="I114" i="54"/>
  <c r="F118" i="54"/>
  <c r="I118" i="54"/>
  <c r="F122" i="54"/>
  <c r="I122" i="54"/>
  <c r="F126" i="54"/>
  <c r="I126" i="54"/>
  <c r="F130" i="54"/>
  <c r="I130" i="54"/>
  <c r="F135" i="54"/>
  <c r="I135" i="54"/>
  <c r="F139" i="54"/>
  <c r="I139" i="54"/>
  <c r="F143" i="54"/>
  <c r="I143" i="54"/>
  <c r="F147" i="54"/>
  <c r="I147" i="54"/>
  <c r="F151" i="54"/>
  <c r="I151" i="54"/>
  <c r="F155" i="54"/>
  <c r="I155" i="54"/>
  <c r="F159" i="54"/>
  <c r="I159" i="54"/>
  <c r="F28" i="54"/>
  <c r="I28" i="54"/>
  <c r="F5" i="54"/>
  <c r="I5" i="54"/>
  <c r="F9" i="54"/>
  <c r="I9" i="54"/>
  <c r="F13" i="54"/>
  <c r="I13" i="54"/>
  <c r="F17" i="54"/>
  <c r="I17" i="54"/>
  <c r="F21" i="54"/>
  <c r="I21" i="54"/>
  <c r="F27" i="54"/>
  <c r="I27" i="54"/>
  <c r="F90" i="54"/>
  <c r="I90" i="54"/>
  <c r="F37" i="54"/>
  <c r="I37" i="54"/>
  <c r="F45" i="54"/>
  <c r="I45" i="54"/>
  <c r="F49" i="54"/>
  <c r="I49" i="54"/>
  <c r="F53" i="54"/>
  <c r="I53" i="54"/>
  <c r="F58" i="54"/>
  <c r="I58" i="54"/>
  <c r="F62" i="54"/>
  <c r="I62" i="54"/>
  <c r="F66" i="54"/>
  <c r="I66" i="54"/>
  <c r="F70" i="54"/>
  <c r="I70" i="54"/>
  <c r="F74" i="54"/>
  <c r="I74" i="54"/>
  <c r="F85" i="54"/>
  <c r="I85" i="54"/>
  <c r="F84" i="54"/>
  <c r="I84" i="54"/>
  <c r="F83" i="54"/>
  <c r="I83" i="54"/>
  <c r="F95" i="54"/>
  <c r="I95" i="54"/>
  <c r="F99" i="54"/>
  <c r="I99" i="54"/>
  <c r="F103" i="54"/>
  <c r="I103" i="54"/>
  <c r="F107" i="54"/>
  <c r="I107" i="54"/>
  <c r="F111" i="54"/>
  <c r="I111" i="54"/>
  <c r="F115" i="54"/>
  <c r="I115" i="54"/>
  <c r="F119" i="54"/>
  <c r="I119" i="54"/>
  <c r="F123" i="54"/>
  <c r="I123" i="54"/>
  <c r="F127" i="54"/>
  <c r="I127" i="54"/>
  <c r="F131" i="54"/>
  <c r="I131" i="54"/>
  <c r="F136" i="54"/>
  <c r="I136" i="54"/>
  <c r="F140" i="54"/>
  <c r="I140" i="54"/>
  <c r="F144" i="54"/>
  <c r="I144" i="54"/>
  <c r="F148" i="54"/>
  <c r="I148" i="54"/>
  <c r="F152" i="54"/>
  <c r="I152" i="54"/>
  <c r="F156" i="54"/>
  <c r="I156" i="54"/>
  <c r="F160" i="54"/>
  <c r="I160" i="54"/>
  <c r="F42" i="7"/>
  <c r="G42" i="7" s="1"/>
  <c r="F3" i="7"/>
  <c r="F29" i="7"/>
  <c r="F21" i="7"/>
  <c r="G21" i="7" s="1"/>
  <c r="F156" i="7"/>
  <c r="G156" i="7" s="1"/>
  <c r="F30" i="7"/>
  <c r="G30" i="7" s="1"/>
  <c r="F70" i="7"/>
  <c r="F95" i="7"/>
  <c r="G95" i="7" s="1"/>
  <c r="F123" i="7"/>
  <c r="G123" i="7" s="1"/>
  <c r="F155" i="7"/>
  <c r="F19" i="7"/>
  <c r="G19" i="7" s="1"/>
  <c r="F63" i="7"/>
  <c r="G63" i="7" s="1"/>
  <c r="F18" i="7"/>
  <c r="G18" i="7" s="1"/>
  <c r="F69" i="7"/>
  <c r="G69" i="7" s="1"/>
  <c r="F116" i="7"/>
  <c r="G116" i="7" s="1"/>
  <c r="F139" i="7"/>
  <c r="G139" i="7" s="1"/>
  <c r="F157" i="7"/>
  <c r="G157" i="7" s="1"/>
  <c r="F32" i="7"/>
  <c r="G32" i="7" s="1"/>
  <c r="F45" i="7"/>
  <c r="F54" i="7"/>
  <c r="G54" i="7" s="1"/>
  <c r="F81" i="7"/>
  <c r="G81" i="7" s="1"/>
  <c r="F100" i="7"/>
  <c r="G100" i="7" s="1"/>
  <c r="F104" i="7"/>
  <c r="G104" i="7" s="1"/>
  <c r="F108" i="7"/>
  <c r="G108" i="7" s="1"/>
  <c r="F146" i="7"/>
  <c r="G146" i="7" s="1"/>
  <c r="F9" i="7"/>
  <c r="G9" i="7" s="1"/>
  <c r="F27" i="7"/>
  <c r="G27" i="7" s="1"/>
  <c r="F44" i="7"/>
  <c r="G44" i="7" s="1"/>
  <c r="F59" i="7"/>
  <c r="G59" i="7" s="1"/>
  <c r="F71" i="7"/>
  <c r="F114" i="7"/>
  <c r="F145" i="7"/>
  <c r="G145" i="7" s="1"/>
  <c r="F60" i="7"/>
  <c r="G60" i="7" s="1"/>
  <c r="F86" i="7"/>
  <c r="G86" i="7" s="1"/>
  <c r="F90" i="7"/>
  <c r="F110" i="7"/>
  <c r="G110" i="7" s="1"/>
  <c r="F127" i="7"/>
  <c r="G127" i="7" s="1"/>
  <c r="F131" i="7"/>
  <c r="F135" i="7"/>
  <c r="F159" i="7"/>
  <c r="G159" i="7" s="1"/>
  <c r="F31" i="7"/>
  <c r="G31" i="7" s="1"/>
  <c r="F49" i="7"/>
  <c r="G49" i="7" s="1"/>
  <c r="F62" i="7"/>
  <c r="F77" i="7"/>
  <c r="G77" i="7" s="1"/>
  <c r="F117" i="7"/>
  <c r="G117" i="7" s="1"/>
  <c r="F149" i="7"/>
  <c r="F66" i="7"/>
  <c r="F87" i="7"/>
  <c r="G87" i="7" s="1"/>
  <c r="F91" i="7"/>
  <c r="G91" i="7" s="1"/>
  <c r="F111" i="7"/>
  <c r="F128" i="7"/>
  <c r="G128" i="7" s="1"/>
  <c r="F132" i="7"/>
  <c r="G132" i="7" s="1"/>
  <c r="F136" i="7"/>
  <c r="G136" i="7" s="1"/>
  <c r="F160" i="7"/>
  <c r="G160" i="7" s="1"/>
  <c r="I82" i="7"/>
  <c r="I133" i="7"/>
  <c r="I135" i="7"/>
  <c r="I30" i="7"/>
  <c r="I93" i="7"/>
  <c r="I25" i="7"/>
  <c r="I13" i="7"/>
  <c r="I29" i="7"/>
  <c r="I154" i="7"/>
  <c r="G34" i="7"/>
  <c r="G83" i="7"/>
  <c r="G5" i="7"/>
  <c r="G72" i="7"/>
  <c r="G140" i="7"/>
  <c r="G25" i="7"/>
  <c r="G26" i="7"/>
  <c r="G143" i="7"/>
  <c r="G33" i="7"/>
  <c r="G68" i="7"/>
  <c r="G101" i="7"/>
  <c r="G118" i="7"/>
  <c r="G13" i="7"/>
  <c r="G149" i="7"/>
  <c r="I17" i="7"/>
  <c r="I117" i="7"/>
  <c r="I126" i="7"/>
  <c r="I50" i="7"/>
  <c r="I87" i="7"/>
  <c r="G15" i="7"/>
  <c r="G82" i="7"/>
  <c r="G43" i="7"/>
  <c r="G75" i="7"/>
  <c r="G144" i="7"/>
  <c r="G14" i="7"/>
  <c r="G38" i="7"/>
  <c r="G6" i="7"/>
  <c r="G39" i="7"/>
  <c r="G94" i="7"/>
  <c r="G122" i="7"/>
  <c r="G147" i="7"/>
  <c r="G24" i="7"/>
  <c r="G52" i="7"/>
  <c r="G74" i="7"/>
  <c r="G97" i="7"/>
  <c r="G102" i="7"/>
  <c r="G106" i="7"/>
  <c r="G138" i="7"/>
  <c r="G153" i="7"/>
  <c r="G17" i="7"/>
  <c r="G36" i="7"/>
  <c r="G56" i="7"/>
  <c r="G64" i="7"/>
  <c r="G80" i="7"/>
  <c r="G121" i="7"/>
  <c r="G152" i="7"/>
  <c r="G73" i="7"/>
  <c r="G88" i="7"/>
  <c r="G96" i="7"/>
  <c r="G125" i="7"/>
  <c r="G129" i="7"/>
  <c r="G133" i="7"/>
  <c r="C6" i="14"/>
  <c r="C14" i="14" s="1"/>
  <c r="I51" i="7"/>
  <c r="I22" i="7"/>
  <c r="I145" i="7"/>
  <c r="I11" i="7"/>
  <c r="I143" i="7"/>
  <c r="I57" i="7"/>
  <c r="I88" i="7"/>
  <c r="I18" i="7"/>
  <c r="I94" i="7"/>
  <c r="I128" i="7"/>
  <c r="G79" i="7"/>
  <c r="G20" i="7"/>
  <c r="G67" i="7"/>
  <c r="G98" i="7"/>
  <c r="G12" i="7"/>
  <c r="G50" i="7"/>
  <c r="G92" i="7"/>
  <c r="G119" i="7"/>
  <c r="G148" i="7"/>
  <c r="G16" i="7"/>
  <c r="G48" i="7"/>
  <c r="G11" i="7"/>
  <c r="G51" i="7"/>
  <c r="G112" i="7"/>
  <c r="G124" i="7"/>
  <c r="G151" i="7"/>
  <c r="G28" i="7"/>
  <c r="G41" i="7"/>
  <c r="G53" i="7"/>
  <c r="G78" i="7"/>
  <c r="G99" i="7"/>
  <c r="G103" i="7"/>
  <c r="G107" i="7"/>
  <c r="G142" i="7"/>
  <c r="G4" i="7"/>
  <c r="G22" i="7"/>
  <c r="G40" i="7"/>
  <c r="G58" i="7"/>
  <c r="G65" i="7"/>
  <c r="G93" i="7"/>
  <c r="G141" i="7"/>
  <c r="G55" i="7"/>
  <c r="G85" i="7"/>
  <c r="G89" i="7"/>
  <c r="G109" i="7"/>
  <c r="G126" i="7"/>
  <c r="G130" i="7"/>
  <c r="G134" i="7"/>
  <c r="G158" i="7"/>
  <c r="G8" i="7"/>
  <c r="G61" i="7"/>
  <c r="G35" i="7"/>
  <c r="G113" i="7"/>
  <c r="G7" i="7"/>
  <c r="G154" i="7"/>
  <c r="G76" i="7"/>
  <c r="G120" i="7"/>
  <c r="G23" i="7"/>
  <c r="G46" i="7"/>
  <c r="G84" i="7"/>
  <c r="G105" i="7"/>
  <c r="G150" i="7"/>
  <c r="G62" i="7"/>
  <c r="G66" i="7"/>
  <c r="G111" i="7"/>
  <c r="I131" i="7"/>
  <c r="I7" i="7"/>
  <c r="I3" i="7"/>
  <c r="I86" i="7"/>
  <c r="I53" i="7"/>
  <c r="G57" i="7"/>
  <c r="G47" i="7"/>
  <c r="G10" i="7"/>
  <c r="G115" i="7"/>
  <c r="G37" i="7"/>
  <c r="I75" i="7"/>
  <c r="I68" i="7"/>
  <c r="I26" i="7"/>
  <c r="I21" i="7"/>
  <c r="I113" i="7"/>
  <c r="I140" i="7"/>
  <c r="I104" i="7"/>
  <c r="I64" i="7"/>
  <c r="I72" i="7"/>
  <c r="G3" i="7"/>
  <c r="G29" i="7"/>
  <c r="G70" i="7"/>
  <c r="G155" i="7"/>
  <c r="G45" i="7"/>
  <c r="G71" i="7"/>
  <c r="G114" i="7"/>
  <c r="G90" i="7"/>
  <c r="G131" i="7"/>
  <c r="G135" i="7"/>
  <c r="I146" i="32" l="1"/>
  <c r="I128" i="32"/>
  <c r="I93" i="32"/>
  <c r="I45" i="32"/>
  <c r="I74" i="32"/>
  <c r="I106" i="32"/>
  <c r="I159" i="32"/>
  <c r="I94" i="32"/>
  <c r="I79" i="32"/>
  <c r="I119" i="32"/>
  <c r="I38" i="32"/>
  <c r="I11" i="32"/>
  <c r="I101" i="32"/>
  <c r="I150" i="32"/>
  <c r="I132" i="32"/>
  <c r="I97" i="32"/>
  <c r="I49" i="32"/>
  <c r="I83" i="32"/>
  <c r="I152" i="32"/>
  <c r="I51" i="32"/>
  <c r="I160" i="32"/>
  <c r="I125" i="32"/>
  <c r="I28" i="32"/>
  <c r="I123" i="32"/>
  <c r="I5" i="32"/>
  <c r="I68" i="32"/>
  <c r="I126" i="32"/>
  <c r="I108" i="32"/>
  <c r="I72" i="32"/>
  <c r="I111" i="32"/>
  <c r="I43" i="32"/>
  <c r="I104" i="32"/>
  <c r="I23" i="32"/>
  <c r="I53" i="32"/>
  <c r="I129" i="32"/>
  <c r="I32" i="32"/>
  <c r="I139" i="32"/>
  <c r="I21" i="32"/>
  <c r="I55" i="32"/>
  <c r="I82" i="32"/>
  <c r="I157" i="32"/>
  <c r="I78" i="32"/>
  <c r="I26" i="32"/>
  <c r="I91" i="32"/>
  <c r="I75" i="32"/>
  <c r="I158" i="32"/>
  <c r="I140" i="32"/>
  <c r="I105" i="32"/>
  <c r="I8" i="32"/>
  <c r="I115" i="32"/>
  <c r="I154" i="32"/>
  <c r="I34" i="32"/>
  <c r="I86" i="32"/>
  <c r="I71" i="32"/>
  <c r="I87" i="32"/>
  <c r="I30" i="32"/>
  <c r="I3" i="32"/>
  <c r="I85" i="32"/>
  <c r="I7" i="32"/>
  <c r="I114" i="32"/>
  <c r="I96" i="32"/>
  <c r="I60" i="32"/>
  <c r="I67" i="32"/>
  <c r="I31" i="32"/>
  <c r="I73" i="32"/>
  <c r="I39" i="32"/>
  <c r="I61" i="32"/>
  <c r="I137" i="32"/>
  <c r="I40" i="32"/>
  <c r="I6" i="32"/>
  <c r="I33" i="32"/>
  <c r="I20" i="32"/>
  <c r="I118" i="32"/>
  <c r="I100" i="32"/>
  <c r="I64" i="32"/>
  <c r="I70" i="32"/>
  <c r="I35" i="32"/>
  <c r="I88" i="32"/>
  <c r="I41" i="32"/>
  <c r="I10" i="7"/>
  <c r="I67" i="7"/>
  <c r="I124" i="7"/>
  <c r="I112" i="7"/>
  <c r="I60" i="7"/>
  <c r="I118" i="7"/>
  <c r="I81" i="7"/>
  <c r="I157" i="7"/>
  <c r="I47" i="7"/>
  <c r="I14" i="7"/>
  <c r="I98" i="7"/>
  <c r="I103" i="7"/>
  <c r="I144" i="7"/>
  <c r="I23" i="7"/>
  <c r="I49" i="7"/>
  <c r="I63" i="7"/>
  <c r="I142" i="7"/>
  <c r="I90" i="7"/>
  <c r="I42" i="7"/>
  <c r="I110" i="7"/>
  <c r="I153" i="7"/>
  <c r="I33" i="7"/>
  <c r="I66" i="7"/>
  <c r="I56" i="7"/>
  <c r="I55" i="7"/>
  <c r="I69" i="7"/>
  <c r="I91" i="7"/>
  <c r="I59" i="7"/>
  <c r="I114" i="7"/>
  <c r="I40" i="7"/>
  <c r="I107" i="7"/>
  <c r="I15" i="7"/>
  <c r="I152" i="7"/>
  <c r="I134" i="7"/>
  <c r="I160" i="7"/>
  <c r="I99" i="7"/>
  <c r="I105" i="7"/>
  <c r="I127" i="7"/>
  <c r="I16" i="7"/>
  <c r="I5" i="7"/>
  <c r="I146" i="7"/>
  <c r="I34" i="7"/>
  <c r="I27" i="7"/>
  <c r="I54" i="7"/>
  <c r="I130" i="7"/>
  <c r="I37" i="7"/>
  <c r="I92" i="7"/>
  <c r="I6" i="7"/>
  <c r="I39" i="7"/>
  <c r="I121" i="7"/>
  <c r="I31" i="7"/>
  <c r="I100" i="7"/>
  <c r="I9" i="7"/>
  <c r="I138" i="7"/>
  <c r="I28" i="7"/>
  <c r="I44" i="7"/>
  <c r="I79" i="7"/>
  <c r="I119" i="7"/>
  <c r="I136" i="7"/>
  <c r="I78" i="7"/>
  <c r="I84" i="7"/>
  <c r="I132" i="7"/>
  <c r="I158" i="7"/>
  <c r="I45" i="7"/>
  <c r="I36" i="7"/>
  <c r="I151" i="7"/>
  <c r="I148" i="7"/>
  <c r="I83" i="7"/>
  <c r="I71" i="7"/>
  <c r="I46" i="7"/>
  <c r="I129" i="7"/>
  <c r="I96" i="7"/>
  <c r="I77" i="7"/>
  <c r="I147" i="7"/>
  <c r="I106" i="7"/>
  <c r="I156" i="7"/>
  <c r="I102" i="7"/>
  <c r="I52" i="7"/>
  <c r="I8" i="7"/>
  <c r="I80" i="7"/>
  <c r="I35" i="7"/>
  <c r="I38" i="7"/>
  <c r="I73" i="7"/>
  <c r="I70" i="7"/>
  <c r="I4" i="7"/>
  <c r="I32" i="7"/>
  <c r="I76" i="7"/>
  <c r="I108" i="7"/>
  <c r="I150" i="7"/>
  <c r="I61" i="7"/>
  <c r="I155" i="7"/>
  <c r="I19" i="7"/>
  <c r="I123" i="7"/>
  <c r="I111" i="7"/>
  <c r="I89" i="7"/>
  <c r="I137" i="7"/>
  <c r="I12" i="7"/>
  <c r="I159" i="7"/>
  <c r="I20" i="7"/>
  <c r="I74" i="7"/>
  <c r="I122" i="7"/>
  <c r="I95" i="7"/>
  <c r="I141" i="7"/>
  <c r="I65" i="7"/>
  <c r="I116" i="7"/>
  <c r="I120" i="7"/>
  <c r="I109" i="7"/>
  <c r="I24" i="7"/>
  <c r="I62" i="7"/>
  <c r="I101" i="7"/>
  <c r="I85" i="7"/>
  <c r="I125" i="7"/>
  <c r="I115" i="7"/>
  <c r="I58" i="7"/>
  <c r="I48" i="7"/>
  <c r="I149" i="7"/>
  <c r="I139" i="7"/>
  <c r="I41" i="7"/>
  <c r="I97" i="7"/>
  <c r="I43" i="7"/>
  <c r="C20" i="14"/>
  <c r="C15" i="12" s="1"/>
  <c r="C14" i="12" s="1"/>
  <c r="C17" i="12" s="1"/>
  <c r="C20" i="12" s="1"/>
  <c r="H28" i="22" s="1"/>
  <c r="J28" i="22" s="1"/>
  <c r="I130" i="32"/>
  <c r="I98" i="32"/>
  <c r="I65" i="32"/>
  <c r="I144" i="32"/>
  <c r="I112" i="32"/>
  <c r="I80" i="32"/>
  <c r="I141" i="32"/>
  <c r="I109" i="32"/>
  <c r="I76" i="32"/>
  <c r="I135" i="32"/>
  <c r="I44" i="32"/>
  <c r="I12" i="32"/>
  <c r="I127" i="32"/>
  <c r="I42" i="32"/>
  <c r="I10" i="32"/>
  <c r="I131" i="32"/>
  <c r="I47" i="32"/>
  <c r="I15" i="32"/>
  <c r="I13" i="32"/>
  <c r="I122" i="32"/>
  <c r="I90" i="32"/>
  <c r="I136" i="32"/>
  <c r="I117" i="32"/>
  <c r="I36" i="32"/>
  <c r="I155" i="32"/>
  <c r="I17" i="32"/>
  <c r="I142" i="32"/>
  <c r="I110" i="32"/>
  <c r="I77" i="32"/>
  <c r="I156" i="32"/>
  <c r="I124" i="32"/>
  <c r="I92" i="32"/>
  <c r="I153" i="32"/>
  <c r="I121" i="32"/>
  <c r="I89" i="32"/>
  <c r="I56" i="32"/>
  <c r="I63" i="32"/>
  <c r="I24" i="32"/>
  <c r="I37" i="32"/>
  <c r="I59" i="32"/>
  <c r="I22" i="32"/>
  <c r="I107" i="32"/>
  <c r="I66" i="32"/>
  <c r="I27" i="32"/>
  <c r="I62" i="32"/>
  <c r="I25" i="32"/>
  <c r="I57" i="32"/>
  <c r="I149" i="32"/>
  <c r="I52" i="32"/>
  <c r="I95" i="32"/>
  <c r="I99" i="32"/>
  <c r="I54" i="32"/>
  <c r="I134" i="32"/>
  <c r="I102" i="32"/>
  <c r="I69" i="32"/>
  <c r="I148" i="32"/>
  <c r="I116" i="32"/>
  <c r="I84" i="32"/>
  <c r="I145" i="32"/>
  <c r="I113" i="32"/>
  <c r="I81" i="32"/>
  <c r="I151" i="32"/>
  <c r="I48" i="32"/>
  <c r="I16" i="32"/>
  <c r="I143" i="32"/>
  <c r="I46" i="32"/>
  <c r="I14" i="32"/>
  <c r="I147" i="32"/>
  <c r="I50" i="32"/>
  <c r="I19" i="32"/>
  <c r="I29" i="32"/>
  <c r="I138" i="32"/>
  <c r="I120" i="32"/>
  <c r="I133" i="32"/>
  <c r="I103" i="32"/>
  <c r="I4" i="32"/>
  <c r="I18" i="32"/>
  <c r="I58" i="32"/>
  <c r="H140" i="54"/>
  <c r="G140" i="54"/>
  <c r="J140" i="54" s="1"/>
  <c r="H123" i="54"/>
  <c r="G123" i="54"/>
  <c r="H107" i="54"/>
  <c r="G107" i="54"/>
  <c r="J107" i="54" s="1"/>
  <c r="H85" i="54"/>
  <c r="G85" i="54"/>
  <c r="G62" i="54"/>
  <c r="H62" i="54"/>
  <c r="J62" i="54" s="1"/>
  <c r="H90" i="54"/>
  <c r="J90" i="54" s="1"/>
  <c r="G90" i="54"/>
  <c r="H5" i="54"/>
  <c r="G5" i="54"/>
  <c r="J5" i="54" s="1"/>
  <c r="H151" i="54"/>
  <c r="G151" i="54"/>
  <c r="H126" i="54"/>
  <c r="G126" i="54"/>
  <c r="J126" i="54" s="1"/>
  <c r="H110" i="54"/>
  <c r="G110" i="54"/>
  <c r="H80" i="54"/>
  <c r="G80" i="54"/>
  <c r="J80" i="54" s="1"/>
  <c r="G65" i="54"/>
  <c r="J65" i="54" s="1"/>
  <c r="H65" i="54"/>
  <c r="G48" i="54"/>
  <c r="H48" i="54"/>
  <c r="J48" i="54" s="1"/>
  <c r="H16" i="54"/>
  <c r="G16" i="54"/>
  <c r="H160" i="54"/>
  <c r="G160" i="54"/>
  <c r="H152" i="54"/>
  <c r="G152" i="54"/>
  <c r="H144" i="54"/>
  <c r="G144" i="54"/>
  <c r="H136" i="54"/>
  <c r="G136" i="54"/>
  <c r="H127" i="54"/>
  <c r="G127" i="54"/>
  <c r="J127" i="54" s="1"/>
  <c r="H119" i="54"/>
  <c r="G119" i="54"/>
  <c r="H111" i="54"/>
  <c r="G111" i="54"/>
  <c r="H103" i="54"/>
  <c r="G103" i="54"/>
  <c r="H95" i="54"/>
  <c r="G95" i="54"/>
  <c r="J95" i="54" s="1"/>
  <c r="H84" i="54"/>
  <c r="G84" i="54"/>
  <c r="G74" i="54"/>
  <c r="H74" i="54"/>
  <c r="G66" i="54"/>
  <c r="H66" i="54"/>
  <c r="G58" i="54"/>
  <c r="H58" i="54"/>
  <c r="G49" i="54"/>
  <c r="H49" i="54"/>
  <c r="G37" i="54"/>
  <c r="H37" i="54"/>
  <c r="G27" i="54"/>
  <c r="H27" i="54"/>
  <c r="H17" i="54"/>
  <c r="G17" i="54"/>
  <c r="H9" i="54"/>
  <c r="G9" i="54"/>
  <c r="G28" i="54"/>
  <c r="H28" i="54"/>
  <c r="H155" i="54"/>
  <c r="G155" i="54"/>
  <c r="H147" i="54"/>
  <c r="G147" i="54"/>
  <c r="J147" i="54" s="1"/>
  <c r="H139" i="54"/>
  <c r="G139" i="54"/>
  <c r="H130" i="54"/>
  <c r="G130" i="54"/>
  <c r="H122" i="54"/>
  <c r="G122" i="54"/>
  <c r="H114" i="54"/>
  <c r="G114" i="54"/>
  <c r="J114" i="54" s="1"/>
  <c r="H106" i="54"/>
  <c r="G106" i="54"/>
  <c r="H98" i="54"/>
  <c r="G98" i="54"/>
  <c r="H79" i="54"/>
  <c r="G79" i="54"/>
  <c r="H81" i="54"/>
  <c r="G81" i="54"/>
  <c r="G69" i="54"/>
  <c r="J69" i="54" s="1"/>
  <c r="H69" i="54"/>
  <c r="G61" i="54"/>
  <c r="H61" i="54"/>
  <c r="G52" i="54"/>
  <c r="J52" i="54" s="1"/>
  <c r="H52" i="54"/>
  <c r="G44" i="54"/>
  <c r="H44" i="54"/>
  <c r="H86" i="54"/>
  <c r="G86" i="54"/>
  <c r="H20" i="54"/>
  <c r="G20" i="54"/>
  <c r="H12" i="54"/>
  <c r="J12" i="54" s="1"/>
  <c r="G12" i="54"/>
  <c r="H4" i="54"/>
  <c r="G4" i="54"/>
  <c r="J4" i="54" s="1"/>
  <c r="H148" i="54"/>
  <c r="G148" i="54"/>
  <c r="H99" i="54"/>
  <c r="G99" i="54"/>
  <c r="G45" i="54"/>
  <c r="H45" i="54"/>
  <c r="H143" i="54"/>
  <c r="G143" i="54"/>
  <c r="H94" i="54"/>
  <c r="G94" i="54"/>
  <c r="G36" i="54"/>
  <c r="H36" i="54"/>
  <c r="J36" i="54" s="1"/>
  <c r="H25" i="54"/>
  <c r="G25" i="54"/>
  <c r="J123" i="54"/>
  <c r="J85" i="54"/>
  <c r="J45" i="54"/>
  <c r="J151" i="54"/>
  <c r="J110" i="54"/>
  <c r="J16" i="54"/>
  <c r="H158" i="54"/>
  <c r="G158" i="54"/>
  <c r="H150" i="54"/>
  <c r="G150" i="54"/>
  <c r="H142" i="54"/>
  <c r="G142" i="54"/>
  <c r="H133" i="54"/>
  <c r="G133" i="54"/>
  <c r="J133" i="54" s="1"/>
  <c r="H125" i="54"/>
  <c r="G125" i="54"/>
  <c r="H117" i="54"/>
  <c r="G117" i="54"/>
  <c r="H109" i="54"/>
  <c r="G109" i="54"/>
  <c r="H101" i="54"/>
  <c r="G101" i="54"/>
  <c r="J101" i="54" s="1"/>
  <c r="H91" i="54"/>
  <c r="G91" i="54"/>
  <c r="H93" i="54"/>
  <c r="G93" i="54"/>
  <c r="G72" i="54"/>
  <c r="J72" i="54" s="1"/>
  <c r="H72" i="54"/>
  <c r="G64" i="54"/>
  <c r="H64" i="54"/>
  <c r="G56" i="54"/>
  <c r="J56" i="54" s="1"/>
  <c r="H56" i="54"/>
  <c r="G47" i="54"/>
  <c r="H47" i="54"/>
  <c r="G35" i="54"/>
  <c r="J35" i="54" s="1"/>
  <c r="H35" i="54"/>
  <c r="H24" i="54"/>
  <c r="G24" i="54"/>
  <c r="J24" i="54" s="1"/>
  <c r="H15" i="54"/>
  <c r="G15" i="54"/>
  <c r="H7" i="54"/>
  <c r="G7" i="54"/>
  <c r="H157" i="54"/>
  <c r="G157" i="54"/>
  <c r="H149" i="54"/>
  <c r="G149" i="54"/>
  <c r="J149" i="54" s="1"/>
  <c r="H141" i="54"/>
  <c r="G141" i="54"/>
  <c r="H132" i="54"/>
  <c r="G132" i="54"/>
  <c r="H124" i="54"/>
  <c r="G124" i="54"/>
  <c r="H116" i="54"/>
  <c r="G116" i="54"/>
  <c r="J116" i="54" s="1"/>
  <c r="H108" i="54"/>
  <c r="G108" i="54"/>
  <c r="H100" i="54"/>
  <c r="G100" i="54"/>
  <c r="H87" i="54"/>
  <c r="G87" i="54"/>
  <c r="H89" i="54"/>
  <c r="G89" i="54"/>
  <c r="J89" i="54" s="1"/>
  <c r="G71" i="54"/>
  <c r="J71" i="54" s="1"/>
  <c r="H71" i="54"/>
  <c r="G63" i="54"/>
  <c r="H63" i="54"/>
  <c r="G54" i="54"/>
  <c r="J54" i="54" s="1"/>
  <c r="H54" i="54"/>
  <c r="G46" i="54"/>
  <c r="H46" i="54"/>
  <c r="G30" i="54"/>
  <c r="J30" i="54" s="1"/>
  <c r="H30" i="54"/>
  <c r="H23" i="54"/>
  <c r="G23" i="54"/>
  <c r="H14" i="54"/>
  <c r="G14" i="54"/>
  <c r="H6" i="54"/>
  <c r="G6" i="54"/>
  <c r="J6" i="54" s="1"/>
  <c r="H156" i="54"/>
  <c r="G156" i="54"/>
  <c r="H131" i="54"/>
  <c r="G131" i="54"/>
  <c r="H115" i="54"/>
  <c r="J115" i="54" s="1"/>
  <c r="G115" i="54"/>
  <c r="H83" i="54"/>
  <c r="G83" i="54"/>
  <c r="G70" i="54"/>
  <c r="J70" i="54" s="1"/>
  <c r="H70" i="54"/>
  <c r="G53" i="54"/>
  <c r="H53" i="54"/>
  <c r="H21" i="54"/>
  <c r="G21" i="54"/>
  <c r="H13" i="54"/>
  <c r="G13" i="54"/>
  <c r="H159" i="54"/>
  <c r="G159" i="54"/>
  <c r="H135" i="54"/>
  <c r="G135" i="54"/>
  <c r="J135" i="54" s="1"/>
  <c r="H118" i="54"/>
  <c r="G118" i="54"/>
  <c r="H102" i="54"/>
  <c r="G102" i="54"/>
  <c r="J102" i="54" s="1"/>
  <c r="G73" i="54"/>
  <c r="J73" i="54" s="1"/>
  <c r="H73" i="54"/>
  <c r="G57" i="54"/>
  <c r="H57" i="54"/>
  <c r="G26" i="54"/>
  <c r="J26" i="54" s="1"/>
  <c r="H26" i="54"/>
  <c r="H8" i="54"/>
  <c r="G8" i="54"/>
  <c r="J160" i="54"/>
  <c r="J152" i="54"/>
  <c r="J136" i="54"/>
  <c r="J119" i="54"/>
  <c r="J103" i="54"/>
  <c r="J84" i="54"/>
  <c r="J66" i="54"/>
  <c r="J58" i="54"/>
  <c r="J49" i="54"/>
  <c r="J27" i="54"/>
  <c r="J17" i="54"/>
  <c r="J9" i="54"/>
  <c r="J155" i="54"/>
  <c r="J139" i="54"/>
  <c r="J122" i="54"/>
  <c r="J106" i="54"/>
  <c r="J79" i="54"/>
  <c r="J81" i="54"/>
  <c r="J44" i="54"/>
  <c r="J86" i="54"/>
  <c r="H154" i="54"/>
  <c r="G154" i="54"/>
  <c r="H146" i="54"/>
  <c r="G146" i="54"/>
  <c r="J146" i="54" s="1"/>
  <c r="H138" i="54"/>
  <c r="G138" i="54"/>
  <c r="H129" i="54"/>
  <c r="G129" i="54"/>
  <c r="J129" i="54" s="1"/>
  <c r="H121" i="54"/>
  <c r="G121" i="54"/>
  <c r="H113" i="54"/>
  <c r="G113" i="54"/>
  <c r="J113" i="54" s="1"/>
  <c r="H105" i="54"/>
  <c r="G105" i="54"/>
  <c r="H97" i="54"/>
  <c r="G97" i="54"/>
  <c r="J97" i="54" s="1"/>
  <c r="H92" i="54"/>
  <c r="G92" i="54"/>
  <c r="H76" i="54"/>
  <c r="G76" i="54"/>
  <c r="J76" i="54" s="1"/>
  <c r="G68" i="54"/>
  <c r="J68" i="54" s="1"/>
  <c r="H68" i="54"/>
  <c r="G60" i="54"/>
  <c r="H60" i="54"/>
  <c r="J60" i="54" s="1"/>
  <c r="G51" i="54"/>
  <c r="H51" i="54"/>
  <c r="G43" i="54"/>
  <c r="H43" i="54"/>
  <c r="H82" i="54"/>
  <c r="G82" i="54"/>
  <c r="H19" i="54"/>
  <c r="G19" i="54"/>
  <c r="J19" i="54" s="1"/>
  <c r="H11" i="54"/>
  <c r="G11" i="54"/>
  <c r="H3" i="54"/>
  <c r="G3" i="54"/>
  <c r="J3" i="54" s="1"/>
  <c r="H153" i="54"/>
  <c r="G153" i="54"/>
  <c r="H145" i="54"/>
  <c r="G145" i="54"/>
  <c r="J145" i="54" s="1"/>
  <c r="H137" i="54"/>
  <c r="G137" i="54"/>
  <c r="H128" i="54"/>
  <c r="G128" i="54"/>
  <c r="J128" i="54" s="1"/>
  <c r="H120" i="54"/>
  <c r="G120" i="54"/>
  <c r="H112" i="54"/>
  <c r="G112" i="54"/>
  <c r="J112" i="54" s="1"/>
  <c r="H104" i="54"/>
  <c r="G104" i="54"/>
  <c r="H96" i="54"/>
  <c r="G96" i="54"/>
  <c r="J96" i="54" s="1"/>
  <c r="H88" i="54"/>
  <c r="G88" i="54"/>
  <c r="G75" i="54"/>
  <c r="H75" i="54"/>
  <c r="G67" i="54"/>
  <c r="H67" i="54"/>
  <c r="G59" i="54"/>
  <c r="H59" i="54"/>
  <c r="G50" i="54"/>
  <c r="J50" i="54" s="1"/>
  <c r="H50" i="54"/>
  <c r="G38" i="54"/>
  <c r="H38" i="54"/>
  <c r="H77" i="54"/>
  <c r="G77" i="54"/>
  <c r="H18" i="54"/>
  <c r="G18" i="54"/>
  <c r="J18" i="54" s="1"/>
  <c r="H10" i="54"/>
  <c r="G10" i="54"/>
  <c r="G29" i="54"/>
  <c r="H29" i="54"/>
  <c r="H83" i="27"/>
  <c r="J83" i="27" s="1"/>
  <c r="J57" i="54" l="1"/>
  <c r="J53" i="54"/>
  <c r="J46" i="54"/>
  <c r="J63" i="54"/>
  <c r="J47" i="54"/>
  <c r="J64" i="54"/>
  <c r="J94" i="54"/>
  <c r="J148" i="54"/>
  <c r="J10" i="54"/>
  <c r="J77" i="54"/>
  <c r="J88" i="54"/>
  <c r="J104" i="54"/>
  <c r="J120" i="54"/>
  <c r="J153" i="54"/>
  <c r="J11" i="54"/>
  <c r="J82" i="54"/>
  <c r="J92" i="54"/>
  <c r="J105" i="54"/>
  <c r="J121" i="54"/>
  <c r="J154" i="54"/>
  <c r="H95" i="7"/>
  <c r="J95" i="7" s="1"/>
  <c r="H11" i="32"/>
  <c r="J11" i="32" s="1"/>
  <c r="H51" i="22"/>
  <c r="J51" i="22" s="1"/>
  <c r="H76" i="40"/>
  <c r="J76" i="40" s="1"/>
  <c r="H89" i="7"/>
  <c r="I29" i="48"/>
  <c r="K29" i="48" s="1"/>
  <c r="H33" i="32"/>
  <c r="J33" i="32" s="1"/>
  <c r="H4" i="7"/>
  <c r="J4" i="7" s="1"/>
  <c r="H9" i="35"/>
  <c r="J9" i="35" s="1"/>
  <c r="I156" i="48"/>
  <c r="K156" i="48" s="1"/>
  <c r="H137" i="7"/>
  <c r="H152" i="7"/>
  <c r="J152" i="7" s="1"/>
  <c r="H116" i="7"/>
  <c r="J116" i="7" s="1"/>
  <c r="I50" i="48"/>
  <c r="K50" i="48" s="1"/>
  <c r="H95" i="27"/>
  <c r="J95" i="27" s="1"/>
  <c r="H104" i="35"/>
  <c r="J104" i="35" s="1"/>
  <c r="H100" i="43"/>
  <c r="J100" i="43" s="1"/>
  <c r="H69" i="35"/>
  <c r="J69" i="35" s="1"/>
  <c r="H156" i="35"/>
  <c r="J156" i="35" s="1"/>
  <c r="H125" i="32"/>
  <c r="J125" i="32" s="1"/>
  <c r="H54" i="7"/>
  <c r="H31" i="7"/>
  <c r="J31" i="7" s="1"/>
  <c r="H25" i="7"/>
  <c r="J25" i="7" s="1"/>
  <c r="I21" i="48"/>
  <c r="K21" i="48" s="1"/>
  <c r="H34" i="27"/>
  <c r="J34" i="27" s="1"/>
  <c r="H22" i="32"/>
  <c r="J22" i="32" s="1"/>
  <c r="H58" i="27"/>
  <c r="J58" i="27" s="1"/>
  <c r="H72" i="43"/>
  <c r="J72" i="43" s="1"/>
  <c r="H56" i="43"/>
  <c r="J56" i="43" s="1"/>
  <c r="H3" i="35"/>
  <c r="J3" i="35" s="1"/>
  <c r="H66" i="7"/>
  <c r="H64" i="7"/>
  <c r="J64" i="7" s="1"/>
  <c r="H155" i="22"/>
  <c r="J155" i="22" s="1"/>
  <c r="H112" i="22"/>
  <c r="J112" i="22" s="1"/>
  <c r="I38" i="48"/>
  <c r="K38" i="48" s="1"/>
  <c r="H96" i="42"/>
  <c r="J96" i="42" s="1"/>
  <c r="I44" i="48"/>
  <c r="K44" i="48" s="1"/>
  <c r="H102" i="35"/>
  <c r="J102" i="35" s="1"/>
  <c r="H4" i="43"/>
  <c r="J4" i="43" s="1"/>
  <c r="J29" i="54"/>
  <c r="J38" i="54"/>
  <c r="J59" i="54"/>
  <c r="J75" i="54"/>
  <c r="J43" i="54"/>
  <c r="J118" i="54"/>
  <c r="J159" i="54"/>
  <c r="J21" i="54"/>
  <c r="J156" i="54"/>
  <c r="J14" i="54"/>
  <c r="J87" i="54"/>
  <c r="J108" i="54"/>
  <c r="J124" i="54"/>
  <c r="J141" i="54"/>
  <c r="J157" i="54"/>
  <c r="J15" i="54"/>
  <c r="J91" i="54"/>
  <c r="J109" i="54"/>
  <c r="J125" i="54"/>
  <c r="J142" i="54"/>
  <c r="J158" i="54"/>
  <c r="J25" i="54"/>
  <c r="J143" i="54"/>
  <c r="J99" i="54"/>
  <c r="J67" i="54"/>
  <c r="J137" i="54"/>
  <c r="J51" i="54"/>
  <c r="J138" i="54"/>
  <c r="J8" i="54"/>
  <c r="J13" i="54"/>
  <c r="J83" i="54"/>
  <c r="J131" i="54"/>
  <c r="J23" i="54"/>
  <c r="J100" i="54"/>
  <c r="J132" i="54"/>
  <c r="J7" i="54"/>
  <c r="J93" i="54"/>
  <c r="J117" i="54"/>
  <c r="J150" i="54"/>
  <c r="J20" i="54"/>
  <c r="J61" i="54"/>
  <c r="J98" i="54"/>
  <c r="J130" i="54"/>
  <c r="J28" i="54"/>
  <c r="J37" i="54"/>
  <c r="J74" i="54"/>
  <c r="J111" i="54"/>
  <c r="J144" i="54"/>
  <c r="H158" i="22"/>
  <c r="J158" i="22" s="1"/>
  <c r="H48" i="22"/>
  <c r="J48" i="22" s="1"/>
  <c r="H85" i="22"/>
  <c r="J85" i="22" s="1"/>
  <c r="H106" i="22"/>
  <c r="J106" i="22" s="1"/>
  <c r="H119" i="22"/>
  <c r="J119" i="22" s="1"/>
  <c r="I128" i="48"/>
  <c r="K128" i="48" s="1"/>
  <c r="H156" i="40"/>
  <c r="J156" i="40" s="1"/>
  <c r="H133" i="22"/>
  <c r="J133" i="22" s="1"/>
  <c r="I103" i="48"/>
  <c r="K103" i="48" s="1"/>
  <c r="I59" i="48"/>
  <c r="K59" i="48" s="1"/>
  <c r="I17" i="48"/>
  <c r="K17" i="48" s="1"/>
  <c r="I118" i="48"/>
  <c r="K118" i="48" s="1"/>
  <c r="I30" i="48"/>
  <c r="K30" i="48" s="1"/>
  <c r="H93" i="40"/>
  <c r="J93" i="40" s="1"/>
  <c r="H8" i="40"/>
  <c r="J8" i="40" s="1"/>
  <c r="H102" i="40"/>
  <c r="J102" i="40" s="1"/>
  <c r="H40" i="40"/>
  <c r="J40" i="40" s="1"/>
  <c r="H147" i="42"/>
  <c r="J147" i="42" s="1"/>
  <c r="H115" i="42"/>
  <c r="J115" i="42" s="1"/>
  <c r="H83" i="42"/>
  <c r="J83" i="42" s="1"/>
  <c r="I8" i="48"/>
  <c r="K8" i="48" s="1"/>
  <c r="H124" i="42"/>
  <c r="J124" i="42" s="1"/>
  <c r="H70" i="43"/>
  <c r="J70" i="43" s="1"/>
  <c r="H38" i="43"/>
  <c r="J38" i="43" s="1"/>
  <c r="H6" i="22"/>
  <c r="J6" i="22" s="1"/>
  <c r="H74" i="40"/>
  <c r="J74" i="40" s="1"/>
  <c r="H73" i="42"/>
  <c r="J73" i="42" s="1"/>
  <c r="H41" i="42"/>
  <c r="J41" i="42" s="1"/>
  <c r="H9" i="42"/>
  <c r="J9" i="42" s="1"/>
  <c r="H131" i="40"/>
  <c r="J131" i="40" s="1"/>
  <c r="H60" i="42"/>
  <c r="J60" i="42" s="1"/>
  <c r="H76" i="35"/>
  <c r="J76" i="35" s="1"/>
  <c r="H44" i="35"/>
  <c r="J44" i="35" s="1"/>
  <c r="H10" i="35"/>
  <c r="J10" i="35" s="1"/>
  <c r="H138" i="32"/>
  <c r="J138" i="32" s="1"/>
  <c r="H106" i="32"/>
  <c r="J106" i="32" s="1"/>
  <c r="H158" i="27"/>
  <c r="J158" i="27" s="1"/>
  <c r="H126" i="27"/>
  <c r="J126" i="27" s="1"/>
  <c r="H94" i="27"/>
  <c r="J94" i="27" s="1"/>
  <c r="I28" i="48"/>
  <c r="K28" i="48" s="1"/>
  <c r="H152" i="43"/>
  <c r="J152" i="43" s="1"/>
  <c r="H113" i="43"/>
  <c r="J113" i="43" s="1"/>
  <c r="H104" i="22"/>
  <c r="J104" i="22" s="1"/>
  <c r="H132" i="22"/>
  <c r="J132" i="22" s="1"/>
  <c r="H21" i="22"/>
  <c r="J21" i="22" s="1"/>
  <c r="H34" i="22"/>
  <c r="J34" i="22" s="1"/>
  <c r="I146" i="48"/>
  <c r="K146" i="48" s="1"/>
  <c r="I151" i="48"/>
  <c r="K151" i="48" s="1"/>
  <c r="H108" i="40"/>
  <c r="J108" i="40" s="1"/>
  <c r="H11" i="22"/>
  <c r="J11" i="22" s="1"/>
  <c r="I79" i="48"/>
  <c r="K79" i="48" s="1"/>
  <c r="I35" i="48"/>
  <c r="K35" i="48" s="1"/>
  <c r="H141" i="40"/>
  <c r="J141" i="40" s="1"/>
  <c r="I70" i="48"/>
  <c r="K70" i="48" s="1"/>
  <c r="H138" i="40"/>
  <c r="J138" i="40" s="1"/>
  <c r="H35" i="40"/>
  <c r="J35" i="40" s="1"/>
  <c r="I153" i="48"/>
  <c r="K153" i="48" s="1"/>
  <c r="H68" i="40"/>
  <c r="J68" i="40" s="1"/>
  <c r="H5" i="40"/>
  <c r="J5" i="40" s="1"/>
  <c r="H129" i="42"/>
  <c r="J129" i="42" s="1"/>
  <c r="H97" i="42"/>
  <c r="J97" i="42" s="1"/>
  <c r="I64" i="48"/>
  <c r="K64" i="48" s="1"/>
  <c r="H152" i="42"/>
  <c r="J152" i="42" s="1"/>
  <c r="H88" i="42"/>
  <c r="J88" i="42" s="1"/>
  <c r="H52" i="43"/>
  <c r="J52" i="43" s="1"/>
  <c r="H20" i="43"/>
  <c r="J20" i="43" s="1"/>
  <c r="H111" i="40"/>
  <c r="J111" i="40" s="1"/>
  <c r="H38" i="40"/>
  <c r="J38" i="40" s="1"/>
  <c r="H55" i="42"/>
  <c r="J55" i="42" s="1"/>
  <c r="H23" i="42"/>
  <c r="J23" i="42" s="1"/>
  <c r="H149" i="43"/>
  <c r="J149" i="43" s="1"/>
  <c r="H23" i="40"/>
  <c r="J23" i="40" s="1"/>
  <c r="H24" i="42"/>
  <c r="J24" i="42" s="1"/>
  <c r="H58" i="35"/>
  <c r="J58" i="35" s="1"/>
  <c r="H24" i="35"/>
  <c r="J24" i="35" s="1"/>
  <c r="H152" i="32"/>
  <c r="J152" i="32" s="1"/>
  <c r="H120" i="32"/>
  <c r="J120" i="32" s="1"/>
  <c r="H88" i="32"/>
  <c r="J88" i="32" s="1"/>
  <c r="H140" i="27"/>
  <c r="J140" i="27" s="1"/>
  <c r="H108" i="27"/>
  <c r="J108" i="27" s="1"/>
  <c r="L4" i="26"/>
  <c r="M4" i="26" s="1"/>
  <c r="H114" i="42"/>
  <c r="J114" i="42" s="1"/>
  <c r="H127" i="43"/>
  <c r="J127" i="43" s="1"/>
  <c r="H95" i="43"/>
  <c r="J95" i="43" s="1"/>
  <c r="H146" i="22"/>
  <c r="J146" i="22" s="1"/>
  <c r="H131" i="22"/>
  <c r="J131" i="22" s="1"/>
  <c r="H24" i="22"/>
  <c r="J24" i="22" s="1"/>
  <c r="H65" i="22"/>
  <c r="J65" i="22" s="1"/>
  <c r="H66" i="22"/>
  <c r="J66" i="22" s="1"/>
  <c r="I160" i="48"/>
  <c r="K160" i="48" s="1"/>
  <c r="H124" i="22"/>
  <c r="J124" i="22" s="1"/>
  <c r="H136" i="40"/>
  <c r="J136" i="40" s="1"/>
  <c r="H87" i="22"/>
  <c r="J87" i="22" s="1"/>
  <c r="I91" i="48"/>
  <c r="K91" i="48" s="1"/>
  <c r="I49" i="48"/>
  <c r="K49" i="48" s="1"/>
  <c r="I7" i="48"/>
  <c r="K7" i="48" s="1"/>
  <c r="I94" i="48"/>
  <c r="K94" i="48" s="1"/>
  <c r="I10" i="48"/>
  <c r="K10" i="48" s="1"/>
  <c r="H63" i="40"/>
  <c r="J63" i="40" s="1"/>
  <c r="H136" i="22"/>
  <c r="J136" i="22" s="1"/>
  <c r="H86" i="40"/>
  <c r="J86" i="40" s="1"/>
  <c r="H25" i="40"/>
  <c r="J25" i="40" s="1"/>
  <c r="H139" i="42"/>
  <c r="J139" i="42" s="1"/>
  <c r="H107" i="42"/>
  <c r="J107" i="42" s="1"/>
  <c r="I104" i="48"/>
  <c r="K104" i="48" s="1"/>
  <c r="H14" i="40"/>
  <c r="J14" i="40" s="1"/>
  <c r="H108" i="42"/>
  <c r="J108" i="42" s="1"/>
  <c r="H62" i="43"/>
  <c r="J62" i="43" s="1"/>
  <c r="H30" i="43"/>
  <c r="J30" i="43" s="1"/>
  <c r="H151" i="40"/>
  <c r="J151" i="40" s="1"/>
  <c r="H58" i="40"/>
  <c r="J58" i="40" s="1"/>
  <c r="H65" i="42"/>
  <c r="J65" i="42" s="1"/>
  <c r="H33" i="42"/>
  <c r="J33" i="42" s="1"/>
  <c r="H159" i="43"/>
  <c r="J159" i="43" s="1"/>
  <c r="H61" i="40"/>
  <c r="J61" i="40" s="1"/>
  <c r="H44" i="42"/>
  <c r="J44" i="42" s="1"/>
  <c r="H68" i="35"/>
  <c r="J68" i="35" s="1"/>
  <c r="H36" i="35"/>
  <c r="J36" i="35" s="1"/>
  <c r="H161" i="32"/>
  <c r="H130" i="32"/>
  <c r="J130" i="32" s="1"/>
  <c r="H98" i="32"/>
  <c r="J98" i="32" s="1"/>
  <c r="H150" i="27"/>
  <c r="J150" i="27" s="1"/>
  <c r="H118" i="27"/>
  <c r="J118" i="27" s="1"/>
  <c r="H86" i="27"/>
  <c r="J86" i="27" s="1"/>
  <c r="H154" i="42"/>
  <c r="J154" i="42" s="1"/>
  <c r="H137" i="43"/>
  <c r="J137" i="43" s="1"/>
  <c r="H105" i="43"/>
  <c r="J105" i="43" s="1"/>
  <c r="H68" i="22"/>
  <c r="J68" i="22" s="1"/>
  <c r="H105" i="22"/>
  <c r="J105" i="22" s="1"/>
  <c r="I154" i="48"/>
  <c r="K154" i="48" s="1"/>
  <c r="H151" i="22"/>
  <c r="J151" i="22" s="1"/>
  <c r="I136" i="48"/>
  <c r="K136" i="48" s="1"/>
  <c r="I127" i="48"/>
  <c r="K127" i="48" s="1"/>
  <c r="H88" i="40"/>
  <c r="J88" i="40" s="1"/>
  <c r="I111" i="48"/>
  <c r="K111" i="48" s="1"/>
  <c r="I67" i="48"/>
  <c r="K67" i="48" s="1"/>
  <c r="I25" i="48"/>
  <c r="K25" i="48" s="1"/>
  <c r="H121" i="40"/>
  <c r="J121" i="40" s="1"/>
  <c r="I46" i="48"/>
  <c r="K46" i="48" s="1"/>
  <c r="H118" i="40"/>
  <c r="J118" i="40" s="1"/>
  <c r="H20" i="40"/>
  <c r="J20" i="40" s="1"/>
  <c r="I121" i="48"/>
  <c r="K121" i="48" s="1"/>
  <c r="H52" i="40"/>
  <c r="J52" i="40" s="1"/>
  <c r="H153" i="42"/>
  <c r="J153" i="42" s="1"/>
  <c r="H121" i="42"/>
  <c r="J121" i="42" s="1"/>
  <c r="H89" i="42"/>
  <c r="J89" i="42" s="1"/>
  <c r="I32" i="48"/>
  <c r="K32" i="48" s="1"/>
  <c r="H136" i="42"/>
  <c r="J136" i="42" s="1"/>
  <c r="H76" i="43"/>
  <c r="J76" i="43" s="1"/>
  <c r="H44" i="43"/>
  <c r="J44" i="43" s="1"/>
  <c r="H100" i="22"/>
  <c r="J100" i="22" s="1"/>
  <c r="H90" i="40"/>
  <c r="J90" i="40" s="1"/>
  <c r="H79" i="42"/>
  <c r="J79" i="42" s="1"/>
  <c r="H47" i="42"/>
  <c r="J47" i="42" s="1"/>
  <c r="H15" i="42"/>
  <c r="J15" i="42" s="1"/>
  <c r="H141" i="43"/>
  <c r="J141" i="43" s="1"/>
  <c r="H72" i="42"/>
  <c r="J72" i="42" s="1"/>
  <c r="H8" i="42"/>
  <c r="J8" i="42" s="1"/>
  <c r="H50" i="35"/>
  <c r="J50" i="35" s="1"/>
  <c r="H16" i="35"/>
  <c r="J16" i="35" s="1"/>
  <c r="H144" i="32"/>
  <c r="H112" i="32"/>
  <c r="J112" i="32" s="1"/>
  <c r="H80" i="32"/>
  <c r="J80" i="32" s="1"/>
  <c r="H132" i="27"/>
  <c r="J132" i="27" s="1"/>
  <c r="H100" i="27"/>
  <c r="J100" i="27" s="1"/>
  <c r="I76" i="48"/>
  <c r="K76" i="48" s="1"/>
  <c r="H82" i="42"/>
  <c r="J82" i="42" s="1"/>
  <c r="H119" i="43"/>
  <c r="J119" i="43" s="1"/>
  <c r="H87" i="43"/>
  <c r="J87" i="43" s="1"/>
  <c r="H108" i="22"/>
  <c r="J108" i="22" s="1"/>
  <c r="H147" i="22"/>
  <c r="J147" i="22" s="1"/>
  <c r="H29" i="22"/>
  <c r="J29" i="22" s="1"/>
  <c r="H42" i="22"/>
  <c r="J42" i="22" s="1"/>
  <c r="I152" i="48"/>
  <c r="K152" i="48" s="1"/>
  <c r="H7" i="22"/>
  <c r="J7" i="22" s="1"/>
  <c r="H116" i="40"/>
  <c r="J116" i="40" s="1"/>
  <c r="H19" i="22"/>
  <c r="J19" i="22" s="1"/>
  <c r="I81" i="48"/>
  <c r="K81" i="48" s="1"/>
  <c r="I39" i="48"/>
  <c r="K39" i="48" s="1"/>
  <c r="H145" i="40"/>
  <c r="J145" i="40" s="1"/>
  <c r="I74" i="48"/>
  <c r="K74" i="48" s="1"/>
  <c r="H146" i="40"/>
  <c r="J146" i="40" s="1"/>
  <c r="H39" i="40"/>
  <c r="J39" i="40" s="1"/>
  <c r="H23" i="22"/>
  <c r="J23" i="22" s="1"/>
  <c r="H72" i="40"/>
  <c r="J72" i="40" s="1"/>
  <c r="H9" i="40"/>
  <c r="J9" i="40" s="1"/>
  <c r="H131" i="42"/>
  <c r="J131" i="42" s="1"/>
  <c r="H99" i="42"/>
  <c r="J99" i="42" s="1"/>
  <c r="I72" i="48"/>
  <c r="K72" i="48" s="1"/>
  <c r="H156" i="42"/>
  <c r="J156" i="42" s="1"/>
  <c r="H92" i="42"/>
  <c r="J92" i="42" s="1"/>
  <c r="H54" i="43"/>
  <c r="J54" i="43" s="1"/>
  <c r="H22" i="43"/>
  <c r="J22" i="43" s="1"/>
  <c r="H119" i="40"/>
  <c r="J119" i="40" s="1"/>
  <c r="H42" i="40"/>
  <c r="J42" i="40" s="1"/>
  <c r="H57" i="42"/>
  <c r="J57" i="42" s="1"/>
  <c r="H25" i="42"/>
  <c r="J25" i="42" s="1"/>
  <c r="H151" i="43"/>
  <c r="J151" i="43" s="1"/>
  <c r="H29" i="40"/>
  <c r="J29" i="40" s="1"/>
  <c r="H28" i="42"/>
  <c r="J28" i="42" s="1"/>
  <c r="H60" i="35"/>
  <c r="J60" i="35" s="1"/>
  <c r="H26" i="35"/>
  <c r="J26" i="35" s="1"/>
  <c r="H154" i="32"/>
  <c r="J154" i="32" s="1"/>
  <c r="H122" i="32"/>
  <c r="H90" i="32"/>
  <c r="J90" i="32" s="1"/>
  <c r="H142" i="27"/>
  <c r="J142" i="27" s="1"/>
  <c r="H110" i="27"/>
  <c r="J110" i="27" s="1"/>
  <c r="L8" i="26"/>
  <c r="M8" i="26" s="1"/>
  <c r="H122" i="42"/>
  <c r="J122" i="42" s="1"/>
  <c r="H129" i="43"/>
  <c r="J129" i="43" s="1"/>
  <c r="H149" i="22"/>
  <c r="J149" i="22" s="1"/>
  <c r="H44" i="22"/>
  <c r="J44" i="22" s="1"/>
  <c r="H81" i="22"/>
  <c r="J81" i="22" s="1"/>
  <c r="H97" i="22"/>
  <c r="J97" i="22" s="1"/>
  <c r="H103" i="22"/>
  <c r="J103" i="22" s="1"/>
  <c r="I124" i="48"/>
  <c r="K124" i="48" s="1"/>
  <c r="H152" i="40"/>
  <c r="J152" i="40" s="1"/>
  <c r="H127" i="22"/>
  <c r="J127" i="22" s="1"/>
  <c r="I99" i="48"/>
  <c r="K99" i="48" s="1"/>
  <c r="I57" i="48"/>
  <c r="K57" i="48" s="1"/>
  <c r="I15" i="48"/>
  <c r="K15" i="48" s="1"/>
  <c r="I110" i="48"/>
  <c r="K110" i="48" s="1"/>
  <c r="I26" i="48"/>
  <c r="K26" i="48" s="1"/>
  <c r="H85" i="40"/>
  <c r="J85" i="40" s="1"/>
  <c r="H4" i="40"/>
  <c r="J4" i="40" s="1"/>
  <c r="H99" i="40"/>
  <c r="J99" i="40" s="1"/>
  <c r="H36" i="40"/>
  <c r="J36" i="40" s="1"/>
  <c r="H145" i="42"/>
  <c r="J145" i="42" s="1"/>
  <c r="H113" i="42"/>
  <c r="J113" i="42" s="1"/>
  <c r="H10" i="22"/>
  <c r="J10" i="22" s="1"/>
  <c r="H26" i="40"/>
  <c r="J26" i="40" s="1"/>
  <c r="H120" i="42"/>
  <c r="J120" i="42" s="1"/>
  <c r="H68" i="43"/>
  <c r="J68" i="43" s="1"/>
  <c r="H36" i="43"/>
  <c r="J36" i="43" s="1"/>
  <c r="I149" i="48"/>
  <c r="K149" i="48" s="1"/>
  <c r="H70" i="40"/>
  <c r="J70" i="40" s="1"/>
  <c r="H71" i="42"/>
  <c r="J71" i="42" s="1"/>
  <c r="H39" i="42"/>
  <c r="J39" i="42" s="1"/>
  <c r="H7" i="42"/>
  <c r="J7" i="42" s="1"/>
  <c r="H115" i="40"/>
  <c r="J115" i="40" s="1"/>
  <c r="H56" i="42"/>
  <c r="J56" i="42" s="1"/>
  <c r="H74" i="35"/>
  <c r="J74" i="35" s="1"/>
  <c r="H42" i="35"/>
  <c r="J42" i="35" s="1"/>
  <c r="H7" i="35"/>
  <c r="J7" i="35" s="1"/>
  <c r="H136" i="32"/>
  <c r="J136" i="32" s="1"/>
  <c r="H104" i="32"/>
  <c r="J104" i="32" s="1"/>
  <c r="H156" i="27"/>
  <c r="J156" i="27" s="1"/>
  <c r="H124" i="27"/>
  <c r="J124" i="27" s="1"/>
  <c r="H92" i="27"/>
  <c r="J92" i="27" s="1"/>
  <c r="I12" i="48"/>
  <c r="K12" i="48" s="1"/>
  <c r="H148" i="43"/>
  <c r="J148" i="43" s="1"/>
  <c r="H111" i="43"/>
  <c r="J111" i="43" s="1"/>
  <c r="H79" i="43"/>
  <c r="J79" i="43" s="1"/>
  <c r="H40" i="22"/>
  <c r="J40" i="22" s="1"/>
  <c r="H80" i="22"/>
  <c r="J80" i="22" s="1"/>
  <c r="I138" i="48"/>
  <c r="K138" i="48" s="1"/>
  <c r="I71" i="48"/>
  <c r="K71" i="48" s="1"/>
  <c r="H122" i="40"/>
  <c r="J122" i="40" s="1"/>
  <c r="H155" i="42"/>
  <c r="J155" i="42" s="1"/>
  <c r="H140" i="42"/>
  <c r="J140" i="42" s="1"/>
  <c r="H95" i="40"/>
  <c r="J95" i="40" s="1"/>
  <c r="H143" i="43"/>
  <c r="J143" i="43" s="1"/>
  <c r="H18" i="35"/>
  <c r="J18" i="35" s="1"/>
  <c r="H134" i="27"/>
  <c r="J134" i="27" s="1"/>
  <c r="H121" i="43"/>
  <c r="J121" i="43" s="1"/>
  <c r="H62" i="22"/>
  <c r="J62" i="22" s="1"/>
  <c r="H63" i="22"/>
  <c r="J63" i="22" s="1"/>
  <c r="I90" i="48"/>
  <c r="K90" i="48" s="1"/>
  <c r="H83" i="40"/>
  <c r="J83" i="40" s="1"/>
  <c r="I96" i="48"/>
  <c r="K96" i="48" s="1"/>
  <c r="H28" i="43"/>
  <c r="J28" i="43" s="1"/>
  <c r="H31" i="42"/>
  <c r="J31" i="42" s="1"/>
  <c r="H66" i="35"/>
  <c r="J66" i="35" s="1"/>
  <c r="H96" i="32"/>
  <c r="J96" i="32" s="1"/>
  <c r="H146" i="42"/>
  <c r="J146" i="42" s="1"/>
  <c r="H91" i="22"/>
  <c r="J91" i="22" s="1"/>
  <c r="H86" i="22"/>
  <c r="J86" i="22" s="1"/>
  <c r="I122" i="48"/>
  <c r="K122" i="48" s="1"/>
  <c r="H96" i="22"/>
  <c r="J96" i="22" s="1"/>
  <c r="I55" i="48"/>
  <c r="K55" i="48" s="1"/>
  <c r="I106" i="48"/>
  <c r="K106" i="48" s="1"/>
  <c r="H71" i="40"/>
  <c r="J71" i="40" s="1"/>
  <c r="H94" i="40"/>
  <c r="J94" i="40" s="1"/>
  <c r="H143" i="42"/>
  <c r="J143" i="42" s="1"/>
  <c r="H4" i="22"/>
  <c r="J4" i="22" s="1"/>
  <c r="H116" i="42"/>
  <c r="J116" i="42" s="1"/>
  <c r="H34" i="43"/>
  <c r="J34" i="43" s="1"/>
  <c r="H66" i="40"/>
  <c r="J66" i="40" s="1"/>
  <c r="H37" i="42"/>
  <c r="J37" i="42" s="1"/>
  <c r="H89" i="40"/>
  <c r="J89" i="40" s="1"/>
  <c r="H72" i="35"/>
  <c r="J72" i="35" s="1"/>
  <c r="H5" i="35"/>
  <c r="J5" i="35" s="1"/>
  <c r="H102" i="32"/>
  <c r="J102" i="32" s="1"/>
  <c r="H122" i="27"/>
  <c r="J122" i="27" s="1"/>
  <c r="H103" i="40"/>
  <c r="J103" i="40" s="1"/>
  <c r="H109" i="43"/>
  <c r="J109" i="43" s="1"/>
  <c r="H51" i="43"/>
  <c r="J51" i="43" s="1"/>
  <c r="H157" i="35"/>
  <c r="J157" i="35" s="1"/>
  <c r="H125" i="35"/>
  <c r="J125" i="35" s="1"/>
  <c r="H93" i="35"/>
  <c r="J93" i="35" s="1"/>
  <c r="H60" i="32"/>
  <c r="J60" i="32" s="1"/>
  <c r="H28" i="32"/>
  <c r="J28" i="32" s="1"/>
  <c r="H72" i="27"/>
  <c r="J72" i="27" s="1"/>
  <c r="H138" i="43"/>
  <c r="J138" i="43" s="1"/>
  <c r="H69" i="43"/>
  <c r="J69" i="43" s="1"/>
  <c r="H136" i="35"/>
  <c r="J136" i="35" s="1"/>
  <c r="H65" i="43"/>
  <c r="J65" i="43" s="1"/>
  <c r="H129" i="32"/>
  <c r="J129" i="32" s="1"/>
  <c r="H67" i="27"/>
  <c r="J67" i="27" s="1"/>
  <c r="H32" i="27"/>
  <c r="J32" i="27" s="1"/>
  <c r="I116" i="48"/>
  <c r="K116" i="48" s="1"/>
  <c r="H22" i="42"/>
  <c r="J22" i="42" s="1"/>
  <c r="H80" i="35"/>
  <c r="J80" i="35" s="1"/>
  <c r="H15" i="35"/>
  <c r="J15" i="35" s="1"/>
  <c r="H25" i="32"/>
  <c r="J25" i="32" s="1"/>
  <c r="H117" i="27"/>
  <c r="J117" i="27" s="1"/>
  <c r="H84" i="43"/>
  <c r="J84" i="43" s="1"/>
  <c r="H103" i="32"/>
  <c r="J103" i="32" s="1"/>
  <c r="H98" i="40"/>
  <c r="J98" i="40" s="1"/>
  <c r="H59" i="35"/>
  <c r="J59" i="35" s="1"/>
  <c r="H7" i="32"/>
  <c r="J7" i="32" s="1"/>
  <c r="H7" i="27"/>
  <c r="J7" i="27" s="1"/>
  <c r="H86" i="35"/>
  <c r="J86" i="35" s="1"/>
  <c r="H119" i="27"/>
  <c r="J119" i="27" s="1"/>
  <c r="H35" i="32"/>
  <c r="J35" i="32" s="1"/>
  <c r="H21" i="27"/>
  <c r="J21" i="27" s="1"/>
  <c r="H75" i="32"/>
  <c r="J75" i="32" s="1"/>
  <c r="H87" i="40"/>
  <c r="J87" i="40" s="1"/>
  <c r="H73" i="27"/>
  <c r="J73" i="27" s="1"/>
  <c r="H155" i="32"/>
  <c r="J155" i="32" s="1"/>
  <c r="H4" i="35"/>
  <c r="J4" i="35" s="1"/>
  <c r="H41" i="43"/>
  <c r="J41" i="43" s="1"/>
  <c r="H142" i="22"/>
  <c r="J142" i="22" s="1"/>
  <c r="I87" i="48"/>
  <c r="K87" i="48" s="1"/>
  <c r="H114" i="40"/>
  <c r="J114" i="40" s="1"/>
  <c r="H17" i="40"/>
  <c r="J17" i="40" s="1"/>
  <c r="H6" i="40"/>
  <c r="J6" i="40" s="1"/>
  <c r="H135" i="40"/>
  <c r="J135" i="40" s="1"/>
  <c r="H155" i="43"/>
  <c r="J155" i="43" s="1"/>
  <c r="H109" i="22"/>
  <c r="J109" i="22" s="1"/>
  <c r="I135" i="48"/>
  <c r="K135" i="48" s="1"/>
  <c r="I27" i="48"/>
  <c r="K27" i="48" s="1"/>
  <c r="H24" i="40"/>
  <c r="J24" i="40" s="1"/>
  <c r="H123" i="42"/>
  <c r="J123" i="42" s="1"/>
  <c r="H78" i="43"/>
  <c r="J78" i="43" s="1"/>
  <c r="H161" i="42"/>
  <c r="J161" i="42" s="1"/>
  <c r="H76" i="42"/>
  <c r="J76" i="42" s="1"/>
  <c r="H146" i="32"/>
  <c r="J146" i="32" s="1"/>
  <c r="H102" i="27"/>
  <c r="J102" i="27" s="1"/>
  <c r="H125" i="22"/>
  <c r="J125" i="22" s="1"/>
  <c r="I159" i="48"/>
  <c r="K159" i="48" s="1"/>
  <c r="I89" i="48"/>
  <c r="K89" i="48" s="1"/>
  <c r="I6" i="48"/>
  <c r="K6" i="48" s="1"/>
  <c r="H21" i="40"/>
  <c r="J21" i="40" s="1"/>
  <c r="H10" i="40"/>
  <c r="J10" i="40" s="1"/>
  <c r="H143" i="40"/>
  <c r="J143" i="40" s="1"/>
  <c r="H157" i="43"/>
  <c r="J157" i="43" s="1"/>
  <c r="H34" i="35"/>
  <c r="J34" i="35" s="1"/>
  <c r="H148" i="27"/>
  <c r="J148" i="27" s="1"/>
  <c r="H135" i="43"/>
  <c r="J135" i="43" s="1"/>
  <c r="H129" i="22"/>
  <c r="J129" i="22" s="1"/>
  <c r="H26" i="22"/>
  <c r="J26" i="22" s="1"/>
  <c r="I143" i="48"/>
  <c r="K143" i="48" s="1"/>
  <c r="I119" i="48"/>
  <c r="K119" i="48" s="1"/>
  <c r="I33" i="48"/>
  <c r="K33" i="48" s="1"/>
  <c r="I62" i="48"/>
  <c r="K62" i="48" s="1"/>
  <c r="H31" i="40"/>
  <c r="J31" i="40" s="1"/>
  <c r="H64" i="40"/>
  <c r="J64" i="40" s="1"/>
  <c r="H127" i="42"/>
  <c r="J127" i="42" s="1"/>
  <c r="I56" i="48"/>
  <c r="K56" i="48" s="1"/>
  <c r="H84" i="42"/>
  <c r="J84" i="42" s="1"/>
  <c r="H18" i="43"/>
  <c r="J18" i="43" s="1"/>
  <c r="H34" i="40"/>
  <c r="J34" i="40" s="1"/>
  <c r="H21" i="42"/>
  <c r="J21" i="42" s="1"/>
  <c r="H15" i="40"/>
  <c r="J15" i="40" s="1"/>
  <c r="H56" i="35"/>
  <c r="J56" i="35" s="1"/>
  <c r="H150" i="32"/>
  <c r="J150" i="32" s="1"/>
  <c r="H86" i="32"/>
  <c r="J86" i="32" s="1"/>
  <c r="H106" i="27"/>
  <c r="J106" i="27" s="1"/>
  <c r="H106" i="42"/>
  <c r="J106" i="42" s="1"/>
  <c r="H97" i="43"/>
  <c r="J97" i="43" s="1"/>
  <c r="H35" i="43"/>
  <c r="J35" i="43" s="1"/>
  <c r="H149" i="35"/>
  <c r="J149" i="35" s="1"/>
  <c r="H117" i="35"/>
  <c r="J117" i="35" s="1"/>
  <c r="H85" i="35"/>
  <c r="J85" i="35" s="1"/>
  <c r="H52" i="32"/>
  <c r="J52" i="32" s="1"/>
  <c r="H20" i="32"/>
  <c r="J20" i="32" s="1"/>
  <c r="H64" i="27"/>
  <c r="J64" i="27" s="1"/>
  <c r="H122" i="43"/>
  <c r="J122" i="43" s="1"/>
  <c r="H37" i="43"/>
  <c r="J37" i="43" s="1"/>
  <c r="H31" i="22"/>
  <c r="J31" i="22" s="1"/>
  <c r="H7" i="43"/>
  <c r="J7" i="43" s="1"/>
  <c r="H113" i="32"/>
  <c r="J113" i="32" s="1"/>
  <c r="H56" i="27"/>
  <c r="J56" i="27" s="1"/>
  <c r="H24" i="27"/>
  <c r="J24" i="27" s="1"/>
  <c r="H150" i="42"/>
  <c r="J150" i="42" s="1"/>
  <c r="H128" i="35"/>
  <c r="J128" i="35" s="1"/>
  <c r="H65" i="35"/>
  <c r="J65" i="35" s="1"/>
  <c r="H73" i="32"/>
  <c r="J73" i="32" s="1"/>
  <c r="H9" i="32"/>
  <c r="J9" i="32" s="1"/>
  <c r="H101" i="27"/>
  <c r="J101" i="27" s="1"/>
  <c r="H114" i="35"/>
  <c r="J114" i="35" s="1"/>
  <c r="H147" i="27"/>
  <c r="J147" i="27" s="1"/>
  <c r="H110" i="42"/>
  <c r="J110" i="42" s="1"/>
  <c r="H25" i="35"/>
  <c r="J25" i="35" s="1"/>
  <c r="H55" i="27"/>
  <c r="J55" i="27" s="1"/>
  <c r="H3" i="40"/>
  <c r="J3" i="40" s="1"/>
  <c r="H131" i="32"/>
  <c r="J131" i="32" s="1"/>
  <c r="H87" i="27"/>
  <c r="J87" i="27" s="1"/>
  <c r="H42" i="42"/>
  <c r="J42" i="42" s="1"/>
  <c r="H126" i="42"/>
  <c r="J126" i="42" s="1"/>
  <c r="H77" i="27"/>
  <c r="J77" i="27" s="1"/>
  <c r="H3" i="43"/>
  <c r="J3" i="43" s="1"/>
  <c r="H35" i="27"/>
  <c r="J35" i="27" s="1"/>
  <c r="I161" i="48"/>
  <c r="K161" i="48" s="1"/>
  <c r="H92" i="40"/>
  <c r="J92" i="40" s="1"/>
  <c r="H125" i="40"/>
  <c r="J125" i="40" s="1"/>
  <c r="I129" i="48"/>
  <c r="K129" i="48" s="1"/>
  <c r="H91" i="42"/>
  <c r="J91" i="42" s="1"/>
  <c r="H46" i="43"/>
  <c r="J46" i="43" s="1"/>
  <c r="H49" i="42"/>
  <c r="J49" i="42" s="1"/>
  <c r="H12" i="42"/>
  <c r="J12" i="42" s="1"/>
  <c r="H114" i="32"/>
  <c r="J114" i="32" s="1"/>
  <c r="I92" i="48"/>
  <c r="K92" i="48" s="1"/>
  <c r="H16" i="22"/>
  <c r="J16" i="22" s="1"/>
  <c r="H121" i="22"/>
  <c r="J121" i="22" s="1"/>
  <c r="I47" i="48"/>
  <c r="K47" i="48" s="1"/>
  <c r="H55" i="40"/>
  <c r="J55" i="40" s="1"/>
  <c r="H137" i="42"/>
  <c r="J137" i="42" s="1"/>
  <c r="H104" i="42"/>
  <c r="J104" i="42" s="1"/>
  <c r="H54" i="40"/>
  <c r="J54" i="40" s="1"/>
  <c r="H53" i="40"/>
  <c r="J53" i="40" s="1"/>
  <c r="H160" i="32"/>
  <c r="J160" i="32" s="1"/>
  <c r="H116" i="27"/>
  <c r="J116" i="27" s="1"/>
  <c r="H103" i="43"/>
  <c r="J103" i="43" s="1"/>
  <c r="H73" i="22"/>
  <c r="J73" i="22" s="1"/>
  <c r="H74" i="22"/>
  <c r="J74" i="22" s="1"/>
  <c r="H148" i="40"/>
  <c r="J148" i="40" s="1"/>
  <c r="I97" i="48"/>
  <c r="K97" i="48" s="1"/>
  <c r="I11" i="48"/>
  <c r="K11" i="48" s="1"/>
  <c r="I22" i="48"/>
  <c r="K22" i="48" s="1"/>
  <c r="H148" i="22"/>
  <c r="J148" i="22" s="1"/>
  <c r="H32" i="40"/>
  <c r="J32" i="40" s="1"/>
  <c r="H111" i="42"/>
  <c r="J111" i="42" s="1"/>
  <c r="H22" i="40"/>
  <c r="J22" i="40" s="1"/>
  <c r="H66" i="43"/>
  <c r="J66" i="43" s="1"/>
  <c r="I133" i="48"/>
  <c r="K133" i="48" s="1"/>
  <c r="H69" i="42"/>
  <c r="J69" i="42" s="1"/>
  <c r="H5" i="42"/>
  <c r="J5" i="42" s="1"/>
  <c r="H52" i="42"/>
  <c r="J52" i="42" s="1"/>
  <c r="H40" i="35"/>
  <c r="J40" i="35" s="1"/>
  <c r="H134" i="32"/>
  <c r="J134" i="32" s="1"/>
  <c r="H154" i="27"/>
  <c r="J154" i="27" s="1"/>
  <c r="H90" i="27"/>
  <c r="J90" i="27" s="1"/>
  <c r="H144" i="43"/>
  <c r="J144" i="43" s="1"/>
  <c r="H85" i="43"/>
  <c r="J85" i="43" s="1"/>
  <c r="H19" i="43"/>
  <c r="J19" i="43" s="1"/>
  <c r="H141" i="35"/>
  <c r="J141" i="35" s="1"/>
  <c r="H109" i="35"/>
  <c r="J109" i="35" s="1"/>
  <c r="H76" i="32"/>
  <c r="J76" i="32" s="1"/>
  <c r="H44" i="32"/>
  <c r="J44" i="32" s="1"/>
  <c r="H12" i="32"/>
  <c r="H155" i="40"/>
  <c r="J155" i="40" s="1"/>
  <c r="H106" i="43"/>
  <c r="J106" i="43" s="1"/>
  <c r="H9" i="43"/>
  <c r="J9" i="43" s="1"/>
  <c r="H136" i="43"/>
  <c r="J136" i="43" s="1"/>
  <c r="H134" i="35"/>
  <c r="J134" i="35" s="1"/>
  <c r="H97" i="32"/>
  <c r="J97" i="32" s="1"/>
  <c r="H48" i="27"/>
  <c r="J48" i="27" s="1"/>
  <c r="H16" i="27"/>
  <c r="J16" i="27" s="1"/>
  <c r="H86" i="42"/>
  <c r="J86" i="42" s="1"/>
  <c r="H112" i="35"/>
  <c r="J112" i="35" s="1"/>
  <c r="H49" i="35"/>
  <c r="J49" i="35" s="1"/>
  <c r="H57" i="32"/>
  <c r="J57" i="32" s="1"/>
  <c r="H149" i="27"/>
  <c r="J149" i="27" s="1"/>
  <c r="H85" i="27"/>
  <c r="J85" i="27" s="1"/>
  <c r="H82" i="35"/>
  <c r="J82" i="35" s="1"/>
  <c r="H115" i="27"/>
  <c r="J115" i="27" s="1"/>
  <c r="H34" i="42"/>
  <c r="J34" i="42" s="1"/>
  <c r="H71" i="32"/>
  <c r="J71" i="32" s="1"/>
  <c r="H39" i="27"/>
  <c r="J39" i="27" s="1"/>
  <c r="H92" i="43"/>
  <c r="J92" i="43" s="1"/>
  <c r="H99" i="32"/>
  <c r="J99" i="32" s="1"/>
  <c r="H26" i="42"/>
  <c r="J26" i="42" s="1"/>
  <c r="H13" i="35"/>
  <c r="J13" i="35" s="1"/>
  <c r="H49" i="27"/>
  <c r="J49" i="27" s="1"/>
  <c r="H95" i="32"/>
  <c r="J95" i="32" s="1"/>
  <c r="H17" i="35"/>
  <c r="J17" i="35" s="1"/>
  <c r="H19" i="27"/>
  <c r="J19" i="27" s="1"/>
  <c r="H143" i="27"/>
  <c r="J143" i="27" s="1"/>
  <c r="H10" i="42"/>
  <c r="J10" i="42" s="1"/>
  <c r="I141" i="48"/>
  <c r="K141" i="48" s="1"/>
  <c r="I123" i="48"/>
  <c r="K123" i="48" s="1"/>
  <c r="H113" i="40"/>
  <c r="J113" i="40" s="1"/>
  <c r="H67" i="22"/>
  <c r="J67" i="22" s="1"/>
  <c r="H103" i="42"/>
  <c r="J103" i="42" s="1"/>
  <c r="H58" i="43"/>
  <c r="J58" i="43" s="1"/>
  <c r="H61" i="42"/>
  <c r="J61" i="42" s="1"/>
  <c r="H36" i="42"/>
  <c r="J36" i="42" s="1"/>
  <c r="H14" i="22"/>
  <c r="J14" i="22" s="1"/>
  <c r="I40" i="48"/>
  <c r="K40" i="48" s="1"/>
  <c r="H82" i="32"/>
  <c r="J82" i="32" s="1"/>
  <c r="I3" i="48"/>
  <c r="K3" i="48" s="1"/>
  <c r="H63" i="42"/>
  <c r="J63" i="42" s="1"/>
  <c r="H63" i="43"/>
  <c r="J63" i="43" s="1"/>
  <c r="I75" i="48"/>
  <c r="K75" i="48" s="1"/>
  <c r="H159" i="42"/>
  <c r="J159" i="42" s="1"/>
  <c r="H106" i="40"/>
  <c r="J106" i="40" s="1"/>
  <c r="H22" i="35"/>
  <c r="J22" i="35" s="1"/>
  <c r="H125" i="43"/>
  <c r="J125" i="43" s="1"/>
  <c r="H101" i="35"/>
  <c r="J101" i="35" s="1"/>
  <c r="H41" i="40"/>
  <c r="J41" i="40" s="1"/>
  <c r="H145" i="32"/>
  <c r="J145" i="32" s="1"/>
  <c r="H54" i="42"/>
  <c r="J54" i="42" s="1"/>
  <c r="H133" i="27"/>
  <c r="J133" i="27" s="1"/>
  <c r="H25" i="43"/>
  <c r="J25" i="43" s="1"/>
  <c r="H151" i="27"/>
  <c r="J151" i="27" s="1"/>
  <c r="I100" i="48"/>
  <c r="K100" i="48" s="1"/>
  <c r="L9" i="26"/>
  <c r="M9" i="26" s="1"/>
  <c r="H53" i="27"/>
  <c r="J53" i="27" s="1"/>
  <c r="I42" i="48"/>
  <c r="K42" i="48" s="1"/>
  <c r="I88" i="48"/>
  <c r="K88" i="48" s="1"/>
  <c r="H29" i="42"/>
  <c r="J29" i="42" s="1"/>
  <c r="H142" i="32"/>
  <c r="J142" i="32" s="1"/>
  <c r="H82" i="27"/>
  <c r="J82" i="27" s="1"/>
  <c r="H81" i="43"/>
  <c r="J81" i="43" s="1"/>
  <c r="H137" i="35"/>
  <c r="J137" i="35" s="1"/>
  <c r="H64" i="32"/>
  <c r="J64" i="32" s="1"/>
  <c r="H76" i="27"/>
  <c r="J76" i="27" s="1"/>
  <c r="H53" i="43"/>
  <c r="J53" i="43" s="1"/>
  <c r="H33" i="43"/>
  <c r="J33" i="43" s="1"/>
  <c r="H126" i="22"/>
  <c r="J126" i="22" s="1"/>
  <c r="H18" i="22"/>
  <c r="J18" i="22" s="1"/>
  <c r="I139" i="48"/>
  <c r="K139" i="48" s="1"/>
  <c r="I115" i="48"/>
  <c r="K115" i="48" s="1"/>
  <c r="I31" i="48"/>
  <c r="K31" i="48" s="1"/>
  <c r="I58" i="48"/>
  <c r="K58" i="48" s="1"/>
  <c r="H27" i="40"/>
  <c r="J27" i="40" s="1"/>
  <c r="H60" i="40"/>
  <c r="J60" i="40" s="1"/>
  <c r="H125" i="42"/>
  <c r="J125" i="42" s="1"/>
  <c r="I48" i="48"/>
  <c r="K48" i="48" s="1"/>
  <c r="H81" i="42"/>
  <c r="J81" i="42" s="1"/>
  <c r="H16" i="43"/>
  <c r="J16" i="43" s="1"/>
  <c r="H30" i="40"/>
  <c r="J30" i="40" s="1"/>
  <c r="H19" i="42"/>
  <c r="J19" i="42" s="1"/>
  <c r="H7" i="40"/>
  <c r="J7" i="40" s="1"/>
  <c r="H54" i="35"/>
  <c r="J54" i="35" s="1"/>
  <c r="H148" i="32"/>
  <c r="J148" i="32" s="1"/>
  <c r="H84" i="32"/>
  <c r="J84" i="32" s="1"/>
  <c r="H104" i="27"/>
  <c r="J104" i="27" s="1"/>
  <c r="H98" i="42"/>
  <c r="J98" i="42" s="1"/>
  <c r="H93" i="43"/>
  <c r="J93" i="43" s="1"/>
  <c r="H31" i="43"/>
  <c r="J31" i="43" s="1"/>
  <c r="H147" i="35"/>
  <c r="J147" i="35" s="1"/>
  <c r="H115" i="35"/>
  <c r="J115" i="35" s="1"/>
  <c r="H83" i="35"/>
  <c r="J83" i="35" s="1"/>
  <c r="H50" i="32"/>
  <c r="J50" i="32" s="1"/>
  <c r="H18" i="32"/>
  <c r="J18" i="32" s="1"/>
  <c r="H62" i="27"/>
  <c r="J62" i="27" s="1"/>
  <c r="H118" i="43"/>
  <c r="J118" i="43" s="1"/>
  <c r="H29" i="43"/>
  <c r="J29" i="43" s="1"/>
  <c r="H65" i="40"/>
  <c r="J65" i="40" s="1"/>
  <c r="H158" i="35"/>
  <c r="J158" i="35" s="1"/>
  <c r="H109" i="32"/>
  <c r="J109" i="32" s="1"/>
  <c r="H54" i="27"/>
  <c r="J54" i="27" s="1"/>
  <c r="H22" i="27"/>
  <c r="J22" i="27" s="1"/>
  <c r="H134" i="42"/>
  <c r="J134" i="42" s="1"/>
  <c r="H124" i="35"/>
  <c r="J124" i="35" s="1"/>
  <c r="H61" i="35"/>
  <c r="J61" i="35" s="1"/>
  <c r="H69" i="32"/>
  <c r="J69" i="32" s="1"/>
  <c r="H5" i="32"/>
  <c r="J5" i="32" s="1"/>
  <c r="H97" i="27"/>
  <c r="J97" i="27" s="1"/>
  <c r="H106" i="35"/>
  <c r="J106" i="35" s="1"/>
  <c r="H107" i="27"/>
  <c r="J107" i="27" s="1"/>
  <c r="H31" i="32"/>
  <c r="J31" i="32" s="1"/>
  <c r="H110" i="35"/>
  <c r="J110" i="35" s="1"/>
  <c r="H59" i="32"/>
  <c r="J59" i="32" s="1"/>
  <c r="H123" i="22"/>
  <c r="J123" i="22" s="1"/>
  <c r="H45" i="22"/>
  <c r="J45" i="22" s="1"/>
  <c r="H116" i="22"/>
  <c r="J116" i="22" s="1"/>
  <c r="I65" i="48"/>
  <c r="K65" i="48" s="1"/>
  <c r="H154" i="40"/>
  <c r="J154" i="40" s="1"/>
  <c r="H151" i="42"/>
  <c r="J151" i="42" s="1"/>
  <c r="H132" i="42"/>
  <c r="J132" i="42" s="1"/>
  <c r="H81" i="40"/>
  <c r="J81" i="40" s="1"/>
  <c r="H139" i="43"/>
  <c r="J139" i="43" s="1"/>
  <c r="H30" i="35"/>
  <c r="J30" i="35" s="1"/>
  <c r="H146" i="27"/>
  <c r="J146" i="27" s="1"/>
  <c r="H160" i="43"/>
  <c r="J160" i="43" s="1"/>
  <c r="H27" i="43"/>
  <c r="J27" i="43" s="1"/>
  <c r="H113" i="35"/>
  <c r="J113" i="35" s="1"/>
  <c r="H56" i="32"/>
  <c r="J56" i="32" s="1"/>
  <c r="H68" i="27"/>
  <c r="J68" i="27" s="1"/>
  <c r="H82" i="43"/>
  <c r="J82" i="43" s="1"/>
  <c r="H88" i="43"/>
  <c r="J88" i="43" s="1"/>
  <c r="I155" i="48"/>
  <c r="K155" i="48" s="1"/>
  <c r="H150" i="40"/>
  <c r="J150" i="40" s="1"/>
  <c r="H160" i="42"/>
  <c r="J160" i="42" s="1"/>
  <c r="H153" i="43"/>
  <c r="J153" i="43" s="1"/>
  <c r="I113" i="48"/>
  <c r="K113" i="48" s="1"/>
  <c r="H14" i="43"/>
  <c r="J14" i="43" s="1"/>
  <c r="H90" i="42"/>
  <c r="J90" i="42" s="1"/>
  <c r="H83" i="22"/>
  <c r="J83" i="22" s="1"/>
  <c r="H40" i="42"/>
  <c r="J40" i="42" s="1"/>
  <c r="H17" i="22"/>
  <c r="J17" i="22" s="1"/>
  <c r="H137" i="40"/>
  <c r="J137" i="40" s="1"/>
  <c r="H95" i="42"/>
  <c r="J95" i="42" s="1"/>
  <c r="H53" i="42"/>
  <c r="J53" i="42" s="1"/>
  <c r="H118" i="32"/>
  <c r="J118" i="32" s="1"/>
  <c r="H71" i="43"/>
  <c r="J71" i="43" s="1"/>
  <c r="H68" i="32"/>
  <c r="J68" i="32" s="1"/>
  <c r="H90" i="43"/>
  <c r="J90" i="43" s="1"/>
  <c r="H81" i="32"/>
  <c r="J81" i="32" s="1"/>
  <c r="H96" i="35"/>
  <c r="J96" i="35" s="1"/>
  <c r="H158" i="43"/>
  <c r="J158" i="43" s="1"/>
  <c r="H39" i="32"/>
  <c r="J39" i="32" s="1"/>
  <c r="H21" i="35"/>
  <c r="J21" i="35" s="1"/>
  <c r="H63" i="32"/>
  <c r="J63" i="32" s="1"/>
  <c r="H19" i="32"/>
  <c r="J19" i="32" s="1"/>
  <c r="I132" i="48"/>
  <c r="K132" i="48" s="1"/>
  <c r="H16" i="40"/>
  <c r="J16" i="40" s="1"/>
  <c r="H100" i="42"/>
  <c r="J100" i="42" s="1"/>
  <c r="H45" i="40"/>
  <c r="J45" i="40" s="1"/>
  <c r="H110" i="32"/>
  <c r="J110" i="32" s="1"/>
  <c r="H138" i="42"/>
  <c r="J138" i="42" s="1"/>
  <c r="H43" i="43"/>
  <c r="J43" i="43" s="1"/>
  <c r="H121" i="35"/>
  <c r="J121" i="35" s="1"/>
  <c r="H48" i="32"/>
  <c r="J48" i="32" s="1"/>
  <c r="H160" i="22"/>
  <c r="J160" i="22" s="1"/>
  <c r="H160" i="35"/>
  <c r="J160" i="35" s="1"/>
  <c r="H140" i="22"/>
  <c r="J140" i="22" s="1"/>
  <c r="H69" i="22"/>
  <c r="J69" i="22" s="1"/>
  <c r="H8" i="22"/>
  <c r="J8" i="22" s="1"/>
  <c r="H140" i="40"/>
  <c r="J140" i="40" s="1"/>
  <c r="I95" i="48"/>
  <c r="K95" i="48" s="1"/>
  <c r="I9" i="48"/>
  <c r="K9" i="48" s="1"/>
  <c r="I14" i="48"/>
  <c r="K14" i="48" s="1"/>
  <c r="H139" i="22"/>
  <c r="J139" i="22" s="1"/>
  <c r="H28" i="40"/>
  <c r="J28" i="40" s="1"/>
  <c r="H109" i="42"/>
  <c r="J109" i="42" s="1"/>
  <c r="H18" i="40"/>
  <c r="J18" i="40" s="1"/>
  <c r="H64" i="43"/>
  <c r="J64" i="43" s="1"/>
  <c r="H159" i="40"/>
  <c r="J159" i="40" s="1"/>
  <c r="H67" i="42"/>
  <c r="J67" i="42" s="1"/>
  <c r="H3" i="42"/>
  <c r="J3" i="42" s="1"/>
  <c r="H48" i="42"/>
  <c r="J48" i="42" s="1"/>
  <c r="H38" i="35"/>
  <c r="J38" i="35" s="1"/>
  <c r="H132" i="32"/>
  <c r="J132" i="32" s="1"/>
  <c r="H152" i="27"/>
  <c r="J152" i="27" s="1"/>
  <c r="H88" i="27"/>
  <c r="J88" i="27" s="1"/>
  <c r="H140" i="43"/>
  <c r="J140" i="43" s="1"/>
  <c r="H83" i="43"/>
  <c r="J83" i="43" s="1"/>
  <c r="H15" i="43"/>
  <c r="J15" i="43" s="1"/>
  <c r="H139" i="35"/>
  <c r="J139" i="35" s="1"/>
  <c r="H107" i="35"/>
  <c r="J107" i="35" s="1"/>
  <c r="H74" i="32"/>
  <c r="J74" i="32" s="1"/>
  <c r="H42" i="32"/>
  <c r="J42" i="32" s="1"/>
  <c r="H10" i="32"/>
  <c r="J10" i="32" s="1"/>
  <c r="H123" i="40"/>
  <c r="J123" i="40" s="1"/>
  <c r="H102" i="43"/>
  <c r="J102" i="43" s="1"/>
  <c r="H5" i="43"/>
  <c r="J5" i="43" s="1"/>
  <c r="H128" i="43"/>
  <c r="J128" i="43" s="1"/>
  <c r="H157" i="32"/>
  <c r="J157" i="32" s="1"/>
  <c r="H93" i="32"/>
  <c r="J93" i="32" s="1"/>
  <c r="H46" i="27"/>
  <c r="J46" i="27" s="1"/>
  <c r="H14" i="27"/>
  <c r="J14" i="27" s="1"/>
  <c r="H78" i="42"/>
  <c r="J78" i="42" s="1"/>
  <c r="H108" i="35"/>
  <c r="J108" i="35" s="1"/>
  <c r="H45" i="35"/>
  <c r="J45" i="35" s="1"/>
  <c r="H53" i="32"/>
  <c r="J53" i="32" s="1"/>
  <c r="H145" i="27"/>
  <c r="J145" i="27" s="1"/>
  <c r="H81" i="27"/>
  <c r="J81" i="27" s="1"/>
  <c r="H159" i="32"/>
  <c r="J159" i="32" s="1"/>
  <c r="H80" i="42"/>
  <c r="J80" i="42" s="1"/>
  <c r="H51" i="27"/>
  <c r="J51" i="27" s="1"/>
  <c r="H91" i="32"/>
  <c r="J91" i="32" s="1"/>
  <c r="H61" i="27"/>
  <c r="J61" i="27" s="1"/>
  <c r="H61" i="22"/>
  <c r="J61" i="22" s="1"/>
  <c r="H117" i="22"/>
  <c r="J117" i="22" s="1"/>
  <c r="H124" i="40"/>
  <c r="J124" i="40" s="1"/>
  <c r="I43" i="48"/>
  <c r="K43" i="48" s="1"/>
  <c r="H51" i="40"/>
  <c r="J51" i="40" s="1"/>
  <c r="H119" i="42"/>
  <c r="J119" i="42" s="1"/>
  <c r="H74" i="43"/>
  <c r="J74" i="43" s="1"/>
  <c r="I54" i="48"/>
  <c r="K54" i="48" s="1"/>
  <c r="H17" i="42"/>
  <c r="J17" i="42" s="1"/>
  <c r="H49" i="22"/>
  <c r="J49" i="22" s="1"/>
  <c r="H105" i="42"/>
  <c r="J105" i="42" s="1"/>
  <c r="H128" i="32"/>
  <c r="J128" i="32" s="1"/>
  <c r="I144" i="48"/>
  <c r="K144" i="48" s="1"/>
  <c r="H134" i="40"/>
  <c r="J134" i="40" s="1"/>
  <c r="H148" i="42"/>
  <c r="J148" i="42" s="1"/>
  <c r="H147" i="43"/>
  <c r="J147" i="43" s="1"/>
  <c r="H138" i="27"/>
  <c r="J138" i="27" s="1"/>
  <c r="H8" i="43"/>
  <c r="J8" i="43" s="1"/>
  <c r="H36" i="32"/>
  <c r="J36" i="32" s="1"/>
  <c r="H152" i="35"/>
  <c r="J152" i="35" s="1"/>
  <c r="H40" i="27"/>
  <c r="J40" i="27" s="1"/>
  <c r="H33" i="35"/>
  <c r="J33" i="35" s="1"/>
  <c r="H135" i="32"/>
  <c r="J135" i="32" s="1"/>
  <c r="H23" i="27"/>
  <c r="J23" i="27" s="1"/>
  <c r="H11" i="43"/>
  <c r="J11" i="43" s="1"/>
  <c r="H154" i="35"/>
  <c r="J154" i="35" s="1"/>
  <c r="H13" i="27"/>
  <c r="J13" i="27" s="1"/>
  <c r="H43" i="22"/>
  <c r="J43" i="22" s="1"/>
  <c r="H78" i="40"/>
  <c r="J78" i="40" s="1"/>
  <c r="H26" i="43"/>
  <c r="J26" i="43" s="1"/>
  <c r="H64" i="35"/>
  <c r="J64" i="35" s="1"/>
  <c r="H161" i="27"/>
  <c r="J161" i="27" s="1"/>
  <c r="H133" i="43"/>
  <c r="J133" i="43" s="1"/>
  <c r="H12" i="43"/>
  <c r="J12" i="43" s="1"/>
  <c r="H97" i="35"/>
  <c r="J97" i="35" s="1"/>
  <c r="H32" i="32"/>
  <c r="J32" i="32" s="1"/>
  <c r="H130" i="43"/>
  <c r="J130" i="43" s="1"/>
  <c r="H144" i="22"/>
  <c r="J144" i="22" s="1"/>
  <c r="H88" i="22"/>
  <c r="J88" i="22" s="1"/>
  <c r="H5" i="22"/>
  <c r="J5" i="22" s="1"/>
  <c r="I140" i="48"/>
  <c r="K140" i="48" s="1"/>
  <c r="H100" i="40"/>
  <c r="J100" i="40" s="1"/>
  <c r="I73" i="48"/>
  <c r="K73" i="48" s="1"/>
  <c r="H129" i="40"/>
  <c r="J129" i="40" s="1"/>
  <c r="H130" i="40"/>
  <c r="J130" i="40" s="1"/>
  <c r="I137" i="48"/>
  <c r="K137" i="48" s="1"/>
  <c r="H157" i="42"/>
  <c r="J157" i="42" s="1"/>
  <c r="H93" i="42"/>
  <c r="J93" i="42" s="1"/>
  <c r="H144" i="42"/>
  <c r="J144" i="42" s="1"/>
  <c r="H48" i="43"/>
  <c r="J48" i="43" s="1"/>
  <c r="H97" i="40"/>
  <c r="J97" i="40" s="1"/>
  <c r="H51" i="42"/>
  <c r="J51" i="42" s="1"/>
  <c r="H145" i="43"/>
  <c r="J145" i="43" s="1"/>
  <c r="H16" i="42"/>
  <c r="J16" i="42" s="1"/>
  <c r="H20" i="35"/>
  <c r="J20" i="35" s="1"/>
  <c r="H116" i="32"/>
  <c r="J116" i="32" s="1"/>
  <c r="H136" i="27"/>
  <c r="J136" i="27" s="1"/>
  <c r="I108" i="48"/>
  <c r="K108" i="48" s="1"/>
  <c r="H123" i="43"/>
  <c r="J123" i="43" s="1"/>
  <c r="H67" i="43"/>
  <c r="J67" i="43" s="1"/>
  <c r="H6" i="43"/>
  <c r="J6" i="43" s="1"/>
  <c r="H131" i="35"/>
  <c r="J131" i="35" s="1"/>
  <c r="H99" i="35"/>
  <c r="J99" i="35" s="1"/>
  <c r="H66" i="32"/>
  <c r="J66" i="32" s="1"/>
  <c r="H34" i="32"/>
  <c r="J34" i="32" s="1"/>
  <c r="H78" i="27"/>
  <c r="J78" i="27" s="1"/>
  <c r="H11" i="40"/>
  <c r="J11" i="40" s="1"/>
  <c r="H86" i="43"/>
  <c r="J86" i="43" s="1"/>
  <c r="H148" i="35"/>
  <c r="J148" i="35" s="1"/>
  <c r="H96" i="43"/>
  <c r="J96" i="43" s="1"/>
  <c r="H141" i="32"/>
  <c r="J141" i="32" s="1"/>
  <c r="H79" i="27"/>
  <c r="J79" i="27" s="1"/>
  <c r="H38" i="27"/>
  <c r="J38" i="27" s="1"/>
  <c r="H6" i="27"/>
  <c r="J6" i="27" s="1"/>
  <c r="H46" i="42"/>
  <c r="J46" i="42" s="1"/>
  <c r="H92" i="35"/>
  <c r="J92" i="35" s="1"/>
  <c r="H27" i="35"/>
  <c r="J27" i="35" s="1"/>
  <c r="H37" i="32"/>
  <c r="J37" i="32" s="1"/>
  <c r="H129" i="27"/>
  <c r="J129" i="27" s="1"/>
  <c r="H132" i="43"/>
  <c r="J132" i="43" s="1"/>
  <c r="H127" i="32"/>
  <c r="J127" i="32" s="1"/>
  <c r="H18" i="42"/>
  <c r="J18" i="42" s="1"/>
  <c r="H3" i="27"/>
  <c r="J3" i="27" s="1"/>
  <c r="H111" i="27"/>
  <c r="J111" i="27" s="1"/>
  <c r="H41" i="27"/>
  <c r="J41" i="27" s="1"/>
  <c r="H156" i="22"/>
  <c r="J156" i="22" s="1"/>
  <c r="H57" i="22"/>
  <c r="J57" i="22" s="1"/>
  <c r="H84" i="40"/>
  <c r="J84" i="40" s="1"/>
  <c r="H157" i="40"/>
  <c r="J157" i="40" s="1"/>
  <c r="H110" i="40"/>
  <c r="J110" i="40" s="1"/>
  <c r="H87" i="42"/>
  <c r="J87" i="42" s="1"/>
  <c r="H42" i="43"/>
  <c r="J42" i="43" s="1"/>
  <c r="H45" i="42"/>
  <c r="J45" i="42" s="1"/>
  <c r="H4" i="42"/>
  <c r="J4" i="42" s="1"/>
  <c r="H126" i="32"/>
  <c r="J126" i="32" s="1"/>
  <c r="H98" i="27"/>
  <c r="J98" i="27" s="1"/>
  <c r="H91" i="43"/>
  <c r="J91" i="43" s="1"/>
  <c r="H145" i="35"/>
  <c r="J145" i="35" s="1"/>
  <c r="H89" i="35"/>
  <c r="J89" i="35" s="1"/>
  <c r="H24" i="32"/>
  <c r="J24" i="32" s="1"/>
  <c r="H154" i="43"/>
  <c r="J154" i="43" s="1"/>
  <c r="H144" i="35"/>
  <c r="J144" i="35" s="1"/>
  <c r="H114" i="22"/>
  <c r="J114" i="22" s="1"/>
  <c r="I83" i="48"/>
  <c r="K83" i="48" s="1"/>
  <c r="H13" i="40"/>
  <c r="J13" i="40" s="1"/>
  <c r="H127" i="40"/>
  <c r="J127" i="40" s="1"/>
  <c r="H28" i="35"/>
  <c r="J28" i="35" s="1"/>
  <c r="H56" i="40"/>
  <c r="J56" i="40" s="1"/>
  <c r="H84" i="27"/>
  <c r="J84" i="27" s="1"/>
  <c r="H20" i="42"/>
  <c r="J20" i="42" s="1"/>
  <c r="H104" i="43"/>
  <c r="J104" i="43" s="1"/>
  <c r="H118" i="35"/>
  <c r="J118" i="35" s="1"/>
  <c r="I23" i="48"/>
  <c r="K23" i="48" s="1"/>
  <c r="H114" i="27"/>
  <c r="J114" i="27" s="1"/>
  <c r="H16" i="32"/>
  <c r="J16" i="32" s="1"/>
  <c r="H82" i="22"/>
  <c r="J82" i="22" s="1"/>
  <c r="I102" i="48"/>
  <c r="K102" i="48" s="1"/>
  <c r="I112" i="48"/>
  <c r="K112" i="48" s="1"/>
  <c r="H35" i="42"/>
  <c r="J35" i="42" s="1"/>
  <c r="H100" i="32"/>
  <c r="J100" i="32" s="1"/>
  <c r="H47" i="43"/>
  <c r="J47" i="43" s="1"/>
  <c r="H58" i="32"/>
  <c r="J58" i="32" s="1"/>
  <c r="H61" i="43"/>
  <c r="J61" i="43" s="1"/>
  <c r="H63" i="27"/>
  <c r="J63" i="27" s="1"/>
  <c r="H77" i="35"/>
  <c r="J77" i="35" s="1"/>
  <c r="H146" i="35"/>
  <c r="J146" i="35" s="1"/>
  <c r="H71" i="35"/>
  <c r="J71" i="35" s="1"/>
  <c r="I107" i="48"/>
  <c r="K107" i="48" s="1"/>
  <c r="H47" i="22"/>
  <c r="J47" i="22" s="1"/>
  <c r="H48" i="35"/>
  <c r="J48" i="35" s="1"/>
  <c r="I60" i="48"/>
  <c r="K60" i="48" s="1"/>
  <c r="H129" i="35"/>
  <c r="J129" i="35" s="1"/>
  <c r="H8" i="32"/>
  <c r="J8" i="32" s="1"/>
  <c r="H33" i="40"/>
  <c r="J33" i="40" s="1"/>
  <c r="H153" i="40"/>
  <c r="J153" i="40" s="1"/>
  <c r="H59" i="42"/>
  <c r="J59" i="42" s="1"/>
  <c r="H80" i="27"/>
  <c r="J80" i="27" s="1"/>
  <c r="H135" i="35"/>
  <c r="J135" i="35" s="1"/>
  <c r="H6" i="32"/>
  <c r="J6" i="32" s="1"/>
  <c r="H112" i="43"/>
  <c r="J112" i="43" s="1"/>
  <c r="H60" i="27"/>
  <c r="J60" i="27" s="1"/>
  <c r="H118" i="42"/>
  <c r="J118" i="42" s="1"/>
  <c r="H57" i="35"/>
  <c r="J57" i="35" s="1"/>
  <c r="H157" i="27"/>
  <c r="J157" i="27" s="1"/>
  <c r="H98" i="35"/>
  <c r="J98" i="35" s="1"/>
  <c r="H161" i="43"/>
  <c r="J161" i="43" s="1"/>
  <c r="H31" i="27"/>
  <c r="J31" i="27" s="1"/>
  <c r="H115" i="32"/>
  <c r="J115" i="32" s="1"/>
  <c r="H43" i="32"/>
  <c r="J43" i="32" s="1"/>
  <c r="H79" i="35"/>
  <c r="J79" i="35" s="1"/>
  <c r="I19" i="48"/>
  <c r="K19" i="48" s="1"/>
  <c r="H15" i="22"/>
  <c r="J15" i="22" s="1"/>
  <c r="H89" i="43"/>
  <c r="J89" i="43" s="1"/>
  <c r="H13" i="43"/>
  <c r="J13" i="43" s="1"/>
  <c r="H18" i="27"/>
  <c r="J18" i="27" s="1"/>
  <c r="H45" i="32"/>
  <c r="J45" i="32" s="1"/>
  <c r="H50" i="42"/>
  <c r="J50" i="42" s="1"/>
  <c r="H126" i="35"/>
  <c r="J126" i="35" s="1"/>
  <c r="H58" i="22"/>
  <c r="J58" i="22" s="1"/>
  <c r="I63" i="48"/>
  <c r="K63" i="48" s="1"/>
  <c r="H149" i="42"/>
  <c r="J149" i="42" s="1"/>
  <c r="H79" i="40"/>
  <c r="J79" i="40" s="1"/>
  <c r="H12" i="35"/>
  <c r="J12" i="35" s="1"/>
  <c r="H115" i="43"/>
  <c r="J115" i="43" s="1"/>
  <c r="H95" i="35"/>
  <c r="J95" i="35" s="1"/>
  <c r="H146" i="43"/>
  <c r="J146" i="43" s="1"/>
  <c r="H149" i="32"/>
  <c r="J149" i="32" s="1"/>
  <c r="H42" i="27"/>
  <c r="J42" i="27" s="1"/>
  <c r="H102" i="42"/>
  <c r="J102" i="42" s="1"/>
  <c r="H53" i="35"/>
  <c r="J53" i="35" s="1"/>
  <c r="H153" i="27"/>
  <c r="J153" i="27" s="1"/>
  <c r="H90" i="35"/>
  <c r="J90" i="35" s="1"/>
  <c r="H57" i="43"/>
  <c r="J57" i="43" s="1"/>
  <c r="H27" i="27"/>
  <c r="J27" i="27" s="1"/>
  <c r="H127" i="27"/>
  <c r="J127" i="27" s="1"/>
  <c r="H158" i="42"/>
  <c r="J158" i="42" s="1"/>
  <c r="H73" i="43"/>
  <c r="J73" i="43" s="1"/>
  <c r="H35" i="22"/>
  <c r="J35" i="22" s="1"/>
  <c r="H75" i="40"/>
  <c r="J75" i="40" s="1"/>
  <c r="H24" i="43"/>
  <c r="J24" i="43" s="1"/>
  <c r="H62" i="35"/>
  <c r="J62" i="35" s="1"/>
  <c r="H130" i="42"/>
  <c r="J130" i="42" s="1"/>
  <c r="H119" i="35"/>
  <c r="J119" i="35" s="1"/>
  <c r="H66" i="27"/>
  <c r="J66" i="27" s="1"/>
  <c r="H17" i="43"/>
  <c r="J17" i="43" s="1"/>
  <c r="H52" i="27"/>
  <c r="J52" i="27" s="1"/>
  <c r="I52" i="48"/>
  <c r="K52" i="48" s="1"/>
  <c r="H73" i="35"/>
  <c r="J73" i="35" s="1"/>
  <c r="H17" i="32"/>
  <c r="J17" i="32" s="1"/>
  <c r="H130" i="35"/>
  <c r="J130" i="35" s="1"/>
  <c r="I36" i="48"/>
  <c r="K36" i="48" s="1"/>
  <c r="H23" i="32"/>
  <c r="J23" i="32" s="1"/>
  <c r="H147" i="32"/>
  <c r="J147" i="32" s="1"/>
  <c r="H63" i="35"/>
  <c r="J63" i="35" s="1"/>
  <c r="H134" i="22"/>
  <c r="J134" i="22" s="1"/>
  <c r="H44" i="40"/>
  <c r="J44" i="40" s="1"/>
  <c r="H46" i="35"/>
  <c r="J46" i="35" s="1"/>
  <c r="H111" i="35"/>
  <c r="J111" i="35" s="1"/>
  <c r="H150" i="43"/>
  <c r="J150" i="43" s="1"/>
  <c r="H161" i="7"/>
  <c r="J161" i="7" s="1"/>
  <c r="H77" i="32"/>
  <c r="J77" i="32" s="1"/>
  <c r="H122" i="35"/>
  <c r="J122" i="35" s="1"/>
  <c r="H43" i="27"/>
  <c r="J43" i="27" s="1"/>
  <c r="H51" i="32"/>
  <c r="J51" i="32" s="1"/>
  <c r="I158" i="48"/>
  <c r="K158" i="48" s="1"/>
  <c r="H12" i="22"/>
  <c r="J12" i="22" s="1"/>
  <c r="I34" i="48"/>
  <c r="K34" i="48" s="1"/>
  <c r="I61" i="48"/>
  <c r="K61" i="48" s="1"/>
  <c r="H160" i="40"/>
  <c r="J160" i="40" s="1"/>
  <c r="H53" i="22"/>
  <c r="J53" i="22" s="1"/>
  <c r="H36" i="22"/>
  <c r="J36" i="22" s="1"/>
  <c r="H77" i="40"/>
  <c r="J77" i="40" s="1"/>
  <c r="H111" i="22"/>
  <c r="J111" i="22" s="1"/>
  <c r="H89" i="22"/>
  <c r="J89" i="22" s="1"/>
  <c r="H138" i="22"/>
  <c r="J138" i="22" s="1"/>
  <c r="I85" i="48"/>
  <c r="K85" i="48" s="1"/>
  <c r="H110" i="22"/>
  <c r="J110" i="22" s="1"/>
  <c r="H50" i="22"/>
  <c r="J50" i="22" s="1"/>
  <c r="H120" i="22"/>
  <c r="J120" i="22" s="1"/>
  <c r="I114" i="48"/>
  <c r="K114" i="48" s="1"/>
  <c r="I101" i="48"/>
  <c r="K101" i="48" s="1"/>
  <c r="I126" i="48"/>
  <c r="K126" i="48" s="1"/>
  <c r="H9" i="22"/>
  <c r="J9" i="22" s="1"/>
  <c r="H118" i="22"/>
  <c r="J118" i="22" s="1"/>
  <c r="H137" i="22"/>
  <c r="J137" i="22" s="1"/>
  <c r="I109" i="48"/>
  <c r="K109" i="48" s="1"/>
  <c r="H25" i="22"/>
  <c r="J25" i="22" s="1"/>
  <c r="H52" i="22"/>
  <c r="J52" i="22" s="1"/>
  <c r="H133" i="40"/>
  <c r="J133" i="40" s="1"/>
  <c r="I142" i="48"/>
  <c r="K142" i="48" s="1"/>
  <c r="H143" i="22"/>
  <c r="J143" i="22" s="1"/>
  <c r="H143" i="7"/>
  <c r="J143" i="7" s="1"/>
  <c r="H149" i="7"/>
  <c r="H42" i="7"/>
  <c r="H123" i="7"/>
  <c r="J123" i="7" s="1"/>
  <c r="H157" i="7"/>
  <c r="J157" i="7" s="1"/>
  <c r="H146" i="7"/>
  <c r="J146" i="7" s="1"/>
  <c r="H60" i="7"/>
  <c r="J60" i="7" s="1"/>
  <c r="H34" i="7"/>
  <c r="J34" i="7" s="1"/>
  <c r="H63" i="7"/>
  <c r="J63" i="7" s="1"/>
  <c r="H9" i="7"/>
  <c r="J9" i="7" s="1"/>
  <c r="H159" i="7"/>
  <c r="J159" i="7" s="1"/>
  <c r="H147" i="7"/>
  <c r="J147" i="7" s="1"/>
  <c r="H73" i="7"/>
  <c r="J73" i="7" s="1"/>
  <c r="H16" i="7"/>
  <c r="J16" i="7" s="1"/>
  <c r="H142" i="7"/>
  <c r="J142" i="7" s="1"/>
  <c r="H61" i="7"/>
  <c r="J61" i="7" s="1"/>
  <c r="H111" i="7"/>
  <c r="J111" i="7" s="1"/>
  <c r="H144" i="7"/>
  <c r="J144" i="7" s="1"/>
  <c r="H24" i="7"/>
  <c r="J24" i="7" s="1"/>
  <c r="H17" i="7"/>
  <c r="J17" i="7" s="1"/>
  <c r="H88" i="7"/>
  <c r="J88" i="7" s="1"/>
  <c r="H67" i="7"/>
  <c r="J67" i="7" s="1"/>
  <c r="H48" i="7"/>
  <c r="J48" i="7" s="1"/>
  <c r="H53" i="7"/>
  <c r="J53" i="7" s="1"/>
  <c r="H40" i="7"/>
  <c r="J40" i="7" s="1"/>
  <c r="H109" i="7"/>
  <c r="H35" i="7"/>
  <c r="J35" i="7" s="1"/>
  <c r="H84" i="7"/>
  <c r="J84" i="7" s="1"/>
  <c r="H47" i="7"/>
  <c r="J47" i="7" s="1"/>
  <c r="H26" i="7"/>
  <c r="J26" i="7" s="1"/>
  <c r="H77" i="7"/>
  <c r="J77" i="7" s="1"/>
  <c r="H21" i="7"/>
  <c r="J21" i="7" s="1"/>
  <c r="H108" i="7"/>
  <c r="J108" i="7" s="1"/>
  <c r="H75" i="7"/>
  <c r="J75" i="7" s="1"/>
  <c r="H36" i="7"/>
  <c r="J36" i="7" s="1"/>
  <c r="H98" i="7"/>
  <c r="J98" i="7" s="1"/>
  <c r="H78" i="7"/>
  <c r="J78" i="7" s="1"/>
  <c r="H134" i="7"/>
  <c r="J134" i="7" s="1"/>
  <c r="H117" i="7"/>
  <c r="J117" i="7" s="1"/>
  <c r="H125" i="7"/>
  <c r="J125" i="7" s="1"/>
  <c r="H99" i="7"/>
  <c r="J99" i="7" s="1"/>
  <c r="H7" i="7"/>
  <c r="J7" i="7" s="1"/>
  <c r="H115" i="7"/>
  <c r="J115" i="7" s="1"/>
  <c r="H87" i="7"/>
  <c r="J87" i="7" s="1"/>
  <c r="H71" i="7"/>
  <c r="J71" i="7" s="1"/>
  <c r="H52" i="35"/>
  <c r="J52" i="35" s="1"/>
  <c r="H104" i="40"/>
  <c r="J104" i="40" s="1"/>
  <c r="I125" i="48"/>
  <c r="K125" i="48" s="1"/>
  <c r="H8" i="27"/>
  <c r="J8" i="27" s="1"/>
  <c r="H17" i="27"/>
  <c r="J17" i="27" s="1"/>
  <c r="H135" i="42"/>
  <c r="J135" i="42" s="1"/>
  <c r="H101" i="43"/>
  <c r="J101" i="43" s="1"/>
  <c r="H98" i="43"/>
  <c r="J98" i="43" s="1"/>
  <c r="I120" i="48"/>
  <c r="K120" i="48" s="1"/>
  <c r="H67" i="40"/>
  <c r="J67" i="40" s="1"/>
  <c r="H112" i="42"/>
  <c r="J112" i="42" s="1"/>
  <c r="H69" i="40"/>
  <c r="J69" i="40" s="1"/>
  <c r="H120" i="27"/>
  <c r="J120" i="27" s="1"/>
  <c r="H155" i="35"/>
  <c r="J155" i="35" s="1"/>
  <c r="H26" i="32"/>
  <c r="J26" i="32" s="1"/>
  <c r="H132" i="35"/>
  <c r="J132" i="35" s="1"/>
  <c r="H30" i="27"/>
  <c r="J30" i="27" s="1"/>
  <c r="H11" i="35"/>
  <c r="J11" i="35" s="1"/>
  <c r="H139" i="27"/>
  <c r="J139" i="27" s="1"/>
  <c r="H27" i="32"/>
  <c r="J27" i="32" s="1"/>
  <c r="I86" i="48"/>
  <c r="K86" i="48" s="1"/>
  <c r="H77" i="42"/>
  <c r="J77" i="42" s="1"/>
  <c r="H158" i="32"/>
  <c r="J158" i="32" s="1"/>
  <c r="H117" i="43"/>
  <c r="J117" i="43" s="1"/>
  <c r="H105" i="35"/>
  <c r="J105" i="35" s="1"/>
  <c r="H73" i="40"/>
  <c r="J73" i="40" s="1"/>
  <c r="H150" i="35"/>
  <c r="J150" i="35" s="1"/>
  <c r="H39" i="22"/>
  <c r="J39" i="22" s="1"/>
  <c r="H32" i="42"/>
  <c r="J32" i="42" s="1"/>
  <c r="H131" i="43"/>
  <c r="J131" i="43" s="1"/>
  <c r="H103" i="35"/>
  <c r="J103" i="35" s="1"/>
  <c r="H57" i="40"/>
  <c r="J57" i="40" s="1"/>
  <c r="H153" i="32"/>
  <c r="J153" i="32" s="1"/>
  <c r="H44" i="27"/>
  <c r="J44" i="27" s="1"/>
  <c r="H38" i="42"/>
  <c r="J38" i="42" s="1"/>
  <c r="H23" i="35"/>
  <c r="J23" i="35" s="1"/>
  <c r="H125" i="27"/>
  <c r="J125" i="27" s="1"/>
  <c r="H119" i="32"/>
  <c r="J119" i="32" s="1"/>
  <c r="H43" i="35"/>
  <c r="J43" i="35" s="1"/>
  <c r="L5" i="26"/>
  <c r="M5" i="26" s="1"/>
  <c r="H135" i="27"/>
  <c r="J135" i="27" s="1"/>
  <c r="I4" i="48"/>
  <c r="K4" i="48" s="1"/>
  <c r="H94" i="42"/>
  <c r="J94" i="42" s="1"/>
  <c r="H12" i="40"/>
  <c r="J12" i="40" s="1"/>
  <c r="H64" i="42"/>
  <c r="J64" i="42" s="1"/>
  <c r="H143" i="35"/>
  <c r="J143" i="35" s="1"/>
  <c r="H142" i="35"/>
  <c r="J142" i="35" s="1"/>
  <c r="I20" i="48"/>
  <c r="K20" i="48" s="1"/>
  <c r="H137" i="27"/>
  <c r="J137" i="27" s="1"/>
  <c r="H79" i="32"/>
  <c r="J79" i="32" s="1"/>
  <c r="H159" i="27"/>
  <c r="J159" i="27" s="1"/>
  <c r="H113" i="22"/>
  <c r="J113" i="22" s="1"/>
  <c r="H76" i="22"/>
  <c r="J76" i="22" s="1"/>
  <c r="H85" i="42"/>
  <c r="J85" i="42" s="1"/>
  <c r="H43" i="42"/>
  <c r="J43" i="42" s="1"/>
  <c r="H108" i="32"/>
  <c r="J108" i="32" s="1"/>
  <c r="H55" i="43"/>
  <c r="J55" i="43" s="1"/>
  <c r="H62" i="32"/>
  <c r="J62" i="32" s="1"/>
  <c r="H77" i="43"/>
  <c r="J77" i="43" s="1"/>
  <c r="H117" i="32"/>
  <c r="J117" i="32" s="1"/>
  <c r="H26" i="27"/>
  <c r="J26" i="27" s="1"/>
  <c r="H30" i="42"/>
  <c r="J30" i="42" s="1"/>
  <c r="H19" i="35"/>
  <c r="J19" i="35" s="1"/>
  <c r="H121" i="27"/>
  <c r="J121" i="27" s="1"/>
  <c r="H111" i="32"/>
  <c r="J111" i="32" s="1"/>
  <c r="H35" i="35"/>
  <c r="J35" i="35" s="1"/>
  <c r="H108" i="43"/>
  <c r="J108" i="43" s="1"/>
  <c r="H39" i="35"/>
  <c r="J39" i="35" s="1"/>
  <c r="H19" i="40"/>
  <c r="J19" i="40" s="1"/>
  <c r="H150" i="22"/>
  <c r="J150" i="22" s="1"/>
  <c r="I41" i="48"/>
  <c r="K41" i="48" s="1"/>
  <c r="H133" i="42"/>
  <c r="J133" i="42" s="1"/>
  <c r="H46" i="40"/>
  <c r="J46" i="40" s="1"/>
  <c r="H156" i="32"/>
  <c r="J156" i="32" s="1"/>
  <c r="H99" i="43"/>
  <c r="J99" i="43" s="1"/>
  <c r="H87" i="35"/>
  <c r="J87" i="35" s="1"/>
  <c r="H126" i="43"/>
  <c r="J126" i="43" s="1"/>
  <c r="H137" i="32"/>
  <c r="J137" i="32" s="1"/>
  <c r="H36" i="27"/>
  <c r="J36" i="27" s="1"/>
  <c r="H70" i="42"/>
  <c r="J70" i="42" s="1"/>
  <c r="H41" i="35"/>
  <c r="J41" i="35" s="1"/>
  <c r="H141" i="27"/>
  <c r="J141" i="27" s="1"/>
  <c r="H151" i="32"/>
  <c r="J151" i="32" s="1"/>
  <c r="H66" i="42"/>
  <c r="J66" i="42" s="1"/>
  <c r="H47" i="27"/>
  <c r="J47" i="27" s="1"/>
  <c r="H83" i="32"/>
  <c r="J83" i="32" s="1"/>
  <c r="H37" i="27"/>
  <c r="J37" i="27" s="1"/>
  <c r="H161" i="40"/>
  <c r="J161" i="40" s="1"/>
  <c r="I16" i="48"/>
  <c r="K16" i="48" s="1"/>
  <c r="H160" i="27"/>
  <c r="J160" i="27" s="1"/>
  <c r="H46" i="32"/>
  <c r="J46" i="32" s="1"/>
  <c r="H133" i="32"/>
  <c r="J133" i="32" s="1"/>
  <c r="H62" i="42"/>
  <c r="J62" i="42" s="1"/>
  <c r="H13" i="32"/>
  <c r="J13" i="32" s="1"/>
  <c r="H155" i="27"/>
  <c r="J155" i="27" s="1"/>
  <c r="H139" i="40"/>
  <c r="J139" i="40" s="1"/>
  <c r="H29" i="35"/>
  <c r="J29" i="35" s="1"/>
  <c r="H30" i="22"/>
  <c r="J30" i="22" s="1"/>
  <c r="H94" i="22"/>
  <c r="J94" i="22" s="1"/>
  <c r="I98" i="48"/>
  <c r="K98" i="48" s="1"/>
  <c r="I93" i="48"/>
  <c r="K93" i="48" s="1"/>
  <c r="H152" i="22"/>
  <c r="J152" i="22" s="1"/>
  <c r="H161" i="22"/>
  <c r="J161" i="22" s="1"/>
  <c r="H98" i="22"/>
  <c r="J98" i="22" s="1"/>
  <c r="I66" i="48"/>
  <c r="K66" i="48" s="1"/>
  <c r="I147" i="48"/>
  <c r="K147" i="48" s="1"/>
  <c r="H64" i="22"/>
  <c r="J64" i="22" s="1"/>
  <c r="H157" i="22"/>
  <c r="J157" i="22" s="1"/>
  <c r="H80" i="40"/>
  <c r="J80" i="40" s="1"/>
  <c r="H102" i="22"/>
  <c r="J102" i="22" s="1"/>
  <c r="H13" i="22"/>
  <c r="J13" i="22" s="1"/>
  <c r="H59" i="40"/>
  <c r="J59" i="40" s="1"/>
  <c r="I5" i="48"/>
  <c r="K5" i="48" s="1"/>
  <c r="H71" i="22"/>
  <c r="J71" i="22" s="1"/>
  <c r="I157" i="48"/>
  <c r="K157" i="48" s="1"/>
  <c r="H75" i="22"/>
  <c r="J75" i="22" s="1"/>
  <c r="H122" i="22"/>
  <c r="J122" i="22" s="1"/>
  <c r="H158" i="40"/>
  <c r="J158" i="40" s="1"/>
  <c r="H128" i="40"/>
  <c r="J128" i="40" s="1"/>
  <c r="H153" i="22"/>
  <c r="J153" i="22" s="1"/>
  <c r="H72" i="22"/>
  <c r="J72" i="22" s="1"/>
  <c r="I53" i="48"/>
  <c r="K53" i="48" s="1"/>
  <c r="H38" i="22"/>
  <c r="J38" i="22" s="1"/>
  <c r="H83" i="7"/>
  <c r="J83" i="7" s="1"/>
  <c r="H68" i="7"/>
  <c r="J68" i="7" s="1"/>
  <c r="H91" i="7"/>
  <c r="J91" i="7" s="1"/>
  <c r="H29" i="7"/>
  <c r="J29" i="7" s="1"/>
  <c r="H19" i="7"/>
  <c r="J19" i="7" s="1"/>
  <c r="H45" i="7"/>
  <c r="J45" i="7" s="1"/>
  <c r="H27" i="7"/>
  <c r="J27" i="7" s="1"/>
  <c r="H90" i="7"/>
  <c r="J90" i="7" s="1"/>
  <c r="H3" i="7"/>
  <c r="J3" i="7" s="1"/>
  <c r="H69" i="7"/>
  <c r="J69" i="7" s="1"/>
  <c r="H44" i="7"/>
  <c r="J44" i="7" s="1"/>
  <c r="H82" i="7"/>
  <c r="J82" i="7" s="1"/>
  <c r="H97" i="7"/>
  <c r="J97" i="7" s="1"/>
  <c r="H129" i="7"/>
  <c r="J129" i="7" s="1"/>
  <c r="H112" i="7"/>
  <c r="H58" i="7"/>
  <c r="J58" i="7" s="1"/>
  <c r="H154" i="7"/>
  <c r="J154" i="7" s="1"/>
  <c r="H10" i="7"/>
  <c r="J10" i="7" s="1"/>
  <c r="H38" i="7"/>
  <c r="J38" i="7" s="1"/>
  <c r="H74" i="7"/>
  <c r="H56" i="7"/>
  <c r="J56" i="7" s="1"/>
  <c r="H12" i="7"/>
  <c r="J12" i="7" s="1"/>
  <c r="H51" i="7"/>
  <c r="J51" i="7" s="1"/>
  <c r="H65" i="7"/>
  <c r="J65" i="7" s="1"/>
  <c r="H130" i="7"/>
  <c r="J130" i="7" s="1"/>
  <c r="H150" i="7"/>
  <c r="J150" i="7" s="1"/>
  <c r="H33" i="7"/>
  <c r="J33" i="7" s="1"/>
  <c r="H155" i="7"/>
  <c r="J155" i="7" s="1"/>
  <c r="H94" i="7"/>
  <c r="J94" i="7" s="1"/>
  <c r="H132" i="40"/>
  <c r="J132" i="40" s="1"/>
  <c r="I145" i="48"/>
  <c r="K145" i="48" s="1"/>
  <c r="H133" i="35"/>
  <c r="J133" i="35" s="1"/>
  <c r="H41" i="32"/>
  <c r="J41" i="32" s="1"/>
  <c r="H123" i="32"/>
  <c r="J123" i="32" s="1"/>
  <c r="H50" i="40"/>
  <c r="J50" i="40" s="1"/>
  <c r="H153" i="35"/>
  <c r="J153" i="35" s="1"/>
  <c r="H120" i="43"/>
  <c r="J120" i="43" s="1"/>
  <c r="H93" i="22"/>
  <c r="J93" i="22" s="1"/>
  <c r="H91" i="40"/>
  <c r="J91" i="40" s="1"/>
  <c r="H32" i="43"/>
  <c r="J32" i="43" s="1"/>
  <c r="H70" i="35"/>
  <c r="J70" i="35" s="1"/>
  <c r="H82" i="40"/>
  <c r="J82" i="40" s="1"/>
  <c r="H123" i="35"/>
  <c r="J123" i="35" s="1"/>
  <c r="H70" i="27"/>
  <c r="J70" i="27" s="1"/>
  <c r="H49" i="43"/>
  <c r="J49" i="43" s="1"/>
  <c r="I84" i="48"/>
  <c r="K84" i="48" s="1"/>
  <c r="H21" i="32"/>
  <c r="J21" i="32" s="1"/>
  <c r="H51" i="35"/>
  <c r="J51" i="35" s="1"/>
  <c r="H99" i="22"/>
  <c r="J99" i="22" s="1"/>
  <c r="H48" i="40"/>
  <c r="J48" i="40" s="1"/>
  <c r="H13" i="42"/>
  <c r="J13" i="42" s="1"/>
  <c r="H94" i="32"/>
  <c r="J94" i="32" s="1"/>
  <c r="H59" i="43"/>
  <c r="J59" i="43" s="1"/>
  <c r="H72" i="32"/>
  <c r="J72" i="32" s="1"/>
  <c r="H114" i="43"/>
  <c r="J114" i="43" s="1"/>
  <c r="H37" i="22"/>
  <c r="J37" i="22" s="1"/>
  <c r="H101" i="42"/>
  <c r="J101" i="42" s="1"/>
  <c r="H124" i="32"/>
  <c r="J124" i="32" s="1"/>
  <c r="H75" i="43"/>
  <c r="J75" i="43" s="1"/>
  <c r="H70" i="32"/>
  <c r="J70" i="32" s="1"/>
  <c r="H94" i="43"/>
  <c r="J94" i="43" s="1"/>
  <c r="H121" i="32"/>
  <c r="J121" i="32" s="1"/>
  <c r="H28" i="27"/>
  <c r="J28" i="27" s="1"/>
  <c r="H120" i="35"/>
  <c r="J120" i="35" s="1"/>
  <c r="H65" i="32"/>
  <c r="J65" i="32" s="1"/>
  <c r="H93" i="27"/>
  <c r="J93" i="27" s="1"/>
  <c r="H131" i="27"/>
  <c r="J131" i="27" s="1"/>
  <c r="H55" i="32"/>
  <c r="J55" i="32" s="1"/>
  <c r="H124" i="43"/>
  <c r="J124" i="43" s="1"/>
  <c r="H55" i="35"/>
  <c r="J55" i="35" s="1"/>
  <c r="I68" i="48"/>
  <c r="K68" i="48" s="1"/>
  <c r="H69" i="27"/>
  <c r="J69" i="27" s="1"/>
  <c r="H117" i="42"/>
  <c r="J117" i="42" s="1"/>
  <c r="H140" i="32"/>
  <c r="J140" i="32" s="1"/>
  <c r="H78" i="32"/>
  <c r="J78" i="32" s="1"/>
  <c r="H101" i="32"/>
  <c r="J101" i="32" s="1"/>
  <c r="H161" i="35"/>
  <c r="J161" i="35" s="1"/>
  <c r="H143" i="32"/>
  <c r="J143" i="32" s="1"/>
  <c r="H15" i="32"/>
  <c r="J15" i="32" s="1"/>
  <c r="H58" i="42"/>
  <c r="J58" i="42" s="1"/>
  <c r="I130" i="48"/>
  <c r="K130" i="48" s="1"/>
  <c r="H101" i="40"/>
  <c r="J101" i="40" s="1"/>
  <c r="H128" i="42"/>
  <c r="J128" i="42" s="1"/>
  <c r="H147" i="40"/>
  <c r="J147" i="40" s="1"/>
  <c r="H128" i="27"/>
  <c r="J128" i="27" s="1"/>
  <c r="H159" i="35"/>
  <c r="J159" i="35" s="1"/>
  <c r="H30" i="32"/>
  <c r="J30" i="32" s="1"/>
  <c r="H140" i="35"/>
  <c r="J140" i="35" s="1"/>
  <c r="H85" i="32"/>
  <c r="J85" i="32" s="1"/>
  <c r="H10" i="27"/>
  <c r="J10" i="27" s="1"/>
  <c r="H116" i="35"/>
  <c r="J116" i="35" s="1"/>
  <c r="H61" i="32"/>
  <c r="J61" i="32" s="1"/>
  <c r="H89" i="27"/>
  <c r="J89" i="27" s="1"/>
  <c r="H123" i="27"/>
  <c r="J123" i="27" s="1"/>
  <c r="H47" i="32"/>
  <c r="J47" i="32" s="1"/>
  <c r="H94" i="35"/>
  <c r="J94" i="35" s="1"/>
  <c r="H74" i="42"/>
  <c r="J74" i="42" s="1"/>
  <c r="H25" i="27"/>
  <c r="J25" i="27" s="1"/>
  <c r="H46" i="22"/>
  <c r="J46" i="22" s="1"/>
  <c r="I78" i="48"/>
  <c r="K78" i="48" s="1"/>
  <c r="I80" i="48"/>
  <c r="K80" i="48" s="1"/>
  <c r="H27" i="42"/>
  <c r="J27" i="42" s="1"/>
  <c r="H92" i="32"/>
  <c r="J92" i="32" s="1"/>
  <c r="H39" i="43"/>
  <c r="J39" i="43" s="1"/>
  <c r="H54" i="32"/>
  <c r="J54" i="32" s="1"/>
  <c r="H45" i="43"/>
  <c r="J45" i="43" s="1"/>
  <c r="H105" i="32"/>
  <c r="J105" i="32" s="1"/>
  <c r="H20" i="27"/>
  <c r="J20" i="27" s="1"/>
  <c r="H6" i="42"/>
  <c r="J6" i="42" s="1"/>
  <c r="H6" i="35"/>
  <c r="J6" i="35" s="1"/>
  <c r="H109" i="27"/>
  <c r="J109" i="27" s="1"/>
  <c r="H87" i="32"/>
  <c r="J87" i="32" s="1"/>
  <c r="H75" i="35"/>
  <c r="J75" i="35" s="1"/>
  <c r="H15" i="27"/>
  <c r="J15" i="27" s="1"/>
  <c r="H103" i="27"/>
  <c r="J103" i="27" s="1"/>
  <c r="H45" i="27"/>
  <c r="J45" i="27" s="1"/>
  <c r="I105" i="48"/>
  <c r="K105" i="48" s="1"/>
  <c r="H75" i="42"/>
  <c r="J75" i="42" s="1"/>
  <c r="H156" i="43"/>
  <c r="J156" i="43" s="1"/>
  <c r="H107" i="22"/>
  <c r="J107" i="22" s="1"/>
  <c r="H71" i="27"/>
  <c r="J71" i="27" s="1"/>
  <c r="H100" i="35"/>
  <c r="J100" i="35" s="1"/>
  <c r="H105" i="27"/>
  <c r="J105" i="27" s="1"/>
  <c r="H105" i="40"/>
  <c r="J105" i="40" s="1"/>
  <c r="H139" i="32"/>
  <c r="J139" i="32" s="1"/>
  <c r="H29" i="27"/>
  <c r="J29" i="27" s="1"/>
  <c r="H145" i="22"/>
  <c r="J145" i="22" s="1"/>
  <c r="H43" i="40"/>
  <c r="J43" i="40" s="1"/>
  <c r="H149" i="40"/>
  <c r="J149" i="40" s="1"/>
  <c r="H27" i="22"/>
  <c r="J27" i="22" s="1"/>
  <c r="I150" i="48"/>
  <c r="K150" i="48" s="1"/>
  <c r="H55" i="22"/>
  <c r="J55" i="22" s="1"/>
  <c r="H77" i="22"/>
  <c r="J77" i="22" s="1"/>
  <c r="I13" i="48"/>
  <c r="K13" i="48" s="1"/>
  <c r="H3" i="22"/>
  <c r="J3" i="22" s="1"/>
  <c r="I148" i="48"/>
  <c r="K148" i="48" s="1"/>
  <c r="I18" i="48"/>
  <c r="K18" i="48" s="1"/>
  <c r="H60" i="22"/>
  <c r="J60" i="22" s="1"/>
  <c r="H84" i="22"/>
  <c r="J84" i="22" s="1"/>
  <c r="H95" i="22"/>
  <c r="J95" i="22" s="1"/>
  <c r="H142" i="40"/>
  <c r="J142" i="40" s="1"/>
  <c r="I37" i="48"/>
  <c r="K37" i="48" s="1"/>
  <c r="H112" i="40"/>
  <c r="J112" i="40" s="1"/>
  <c r="H154" i="22"/>
  <c r="J154" i="22" s="1"/>
  <c r="H135" i="22"/>
  <c r="J135" i="22" s="1"/>
  <c r="H33" i="22"/>
  <c r="J33" i="22" s="1"/>
  <c r="H117" i="40"/>
  <c r="J117" i="40" s="1"/>
  <c r="I134" i="48"/>
  <c r="K134" i="48" s="1"/>
  <c r="H128" i="22"/>
  <c r="J128" i="22" s="1"/>
  <c r="H109" i="40"/>
  <c r="J109" i="40" s="1"/>
  <c r="I117" i="48"/>
  <c r="K117" i="48" s="1"/>
  <c r="H41" i="22"/>
  <c r="J41" i="22" s="1"/>
  <c r="H72" i="7"/>
  <c r="J72" i="7" s="1"/>
  <c r="H118" i="7"/>
  <c r="J118" i="7" s="1"/>
  <c r="H132" i="7"/>
  <c r="J132" i="7" s="1"/>
  <c r="H156" i="7"/>
  <c r="J156" i="7" s="1"/>
  <c r="H18" i="7"/>
  <c r="J18" i="7" s="1"/>
  <c r="H81" i="7"/>
  <c r="J81" i="7" s="1"/>
  <c r="H59" i="7"/>
  <c r="J59" i="7" s="1"/>
  <c r="H127" i="7"/>
  <c r="J127" i="7" s="1"/>
  <c r="H30" i="7"/>
  <c r="J30" i="7" s="1"/>
  <c r="H32" i="7"/>
  <c r="J32" i="7" s="1"/>
  <c r="H145" i="7"/>
  <c r="J145" i="7" s="1"/>
  <c r="H14" i="7"/>
  <c r="J14" i="7" s="1"/>
  <c r="H153" i="7"/>
  <c r="J153" i="7" s="1"/>
  <c r="H20" i="7"/>
  <c r="J20" i="7" s="1"/>
  <c r="H41" i="7"/>
  <c r="J41" i="7" s="1"/>
  <c r="H55" i="7"/>
  <c r="J55" i="7" s="1"/>
  <c r="H46" i="7"/>
  <c r="J46" i="7" s="1"/>
  <c r="H15" i="7"/>
  <c r="J15" i="7" s="1"/>
  <c r="H39" i="7"/>
  <c r="J39" i="7" s="1"/>
  <c r="H102" i="7"/>
  <c r="J102" i="7" s="1"/>
  <c r="H80" i="7"/>
  <c r="J80" i="7" s="1"/>
  <c r="H133" i="7"/>
  <c r="J133" i="7" s="1"/>
  <c r="H92" i="7"/>
  <c r="J92" i="7" s="1"/>
  <c r="H124" i="7"/>
  <c r="J124" i="7" s="1"/>
  <c r="H107" i="7"/>
  <c r="J107" i="7" s="1"/>
  <c r="H141" i="7"/>
  <c r="J141" i="7" s="1"/>
  <c r="H158" i="7"/>
  <c r="J158" i="7" s="1"/>
  <c r="H76" i="7"/>
  <c r="J76" i="7" s="1"/>
  <c r="H62" i="7"/>
  <c r="J62" i="7" s="1"/>
  <c r="H5" i="7"/>
  <c r="J5" i="7" s="1"/>
  <c r="H101" i="7"/>
  <c r="J101" i="7" s="1"/>
  <c r="H128" i="7"/>
  <c r="J128" i="7" s="1"/>
  <c r="H139" i="7"/>
  <c r="J139" i="7" s="1"/>
  <c r="H86" i="7"/>
  <c r="J86" i="7" s="1"/>
  <c r="H52" i="7"/>
  <c r="J52" i="7" s="1"/>
  <c r="H96" i="7"/>
  <c r="J96" i="7" s="1"/>
  <c r="H11" i="7"/>
  <c r="J11" i="7" s="1"/>
  <c r="H93" i="7"/>
  <c r="J93" i="7" s="1"/>
  <c r="H120" i="7"/>
  <c r="J120" i="7" s="1"/>
  <c r="H37" i="7"/>
  <c r="J37" i="7" s="1"/>
  <c r="H57" i="7"/>
  <c r="J57" i="7" s="1"/>
  <c r="H22" i="7"/>
  <c r="J22" i="7" s="1"/>
  <c r="H121" i="7"/>
  <c r="J121" i="7" s="1"/>
  <c r="H136" i="7"/>
  <c r="J136" i="7" s="1"/>
  <c r="H23" i="7"/>
  <c r="J23" i="7" s="1"/>
  <c r="H28" i="7"/>
  <c r="J28" i="7" s="1"/>
  <c r="H138" i="7"/>
  <c r="J138" i="7" s="1"/>
  <c r="H126" i="7"/>
  <c r="J126" i="7" s="1"/>
  <c r="H6" i="7"/>
  <c r="J6" i="7" s="1"/>
  <c r="H135" i="7"/>
  <c r="J135" i="7" s="1"/>
  <c r="H70" i="7"/>
  <c r="J70" i="7" s="1"/>
  <c r="H20" i="22"/>
  <c r="J20" i="22" s="1"/>
  <c r="H22" i="22"/>
  <c r="J22" i="22" s="1"/>
  <c r="H70" i="22"/>
  <c r="J70" i="22" s="1"/>
  <c r="H32" i="22"/>
  <c r="J32" i="22" s="1"/>
  <c r="H101" i="22"/>
  <c r="J101" i="22" s="1"/>
  <c r="H115" i="22"/>
  <c r="J115" i="22" s="1"/>
  <c r="H126" i="40"/>
  <c r="J126" i="40" s="1"/>
  <c r="H67" i="35"/>
  <c r="J67" i="35" s="1"/>
  <c r="H110" i="43"/>
  <c r="J110" i="43" s="1"/>
  <c r="H92" i="22"/>
  <c r="J92" i="22" s="1"/>
  <c r="H99" i="27"/>
  <c r="J99" i="27" s="1"/>
  <c r="H4" i="27"/>
  <c r="J4" i="27" s="1"/>
  <c r="H151" i="35"/>
  <c r="J151" i="35" s="1"/>
  <c r="H47" i="40"/>
  <c r="J47" i="40" s="1"/>
  <c r="H107" i="32"/>
  <c r="J107" i="32" s="1"/>
  <c r="H29" i="32"/>
  <c r="J29" i="32" s="1"/>
  <c r="H80" i="43"/>
  <c r="J80" i="43" s="1"/>
  <c r="H78" i="35"/>
  <c r="J78" i="35" s="1"/>
  <c r="H57" i="27"/>
  <c r="J57" i="27" s="1"/>
  <c r="H50" i="27"/>
  <c r="J50" i="27" s="1"/>
  <c r="L3" i="26"/>
  <c r="M3" i="26" s="1"/>
  <c r="H65" i="27"/>
  <c r="J65" i="27" s="1"/>
  <c r="H88" i="35"/>
  <c r="J88" i="35" s="1"/>
  <c r="H38" i="32"/>
  <c r="J38" i="32" s="1"/>
  <c r="H120" i="40"/>
  <c r="J120" i="40" s="1"/>
  <c r="H130" i="27"/>
  <c r="J130" i="27" s="1"/>
  <c r="H142" i="43"/>
  <c r="J142" i="43" s="1"/>
  <c r="H134" i="43"/>
  <c r="J134" i="43" s="1"/>
  <c r="H62" i="40"/>
  <c r="J62" i="40" s="1"/>
  <c r="H81" i="35"/>
  <c r="J81" i="35" s="1"/>
  <c r="H4" i="32"/>
  <c r="J4" i="32" s="1"/>
  <c r="H151" i="7"/>
  <c r="J151" i="7" s="1"/>
  <c r="H13" i="7"/>
  <c r="J13" i="7" s="1"/>
  <c r="H148" i="7"/>
  <c r="J148" i="7" s="1"/>
  <c r="H110" i="7"/>
  <c r="J110" i="7" s="1"/>
  <c r="H144" i="40"/>
  <c r="J144" i="40" s="1"/>
  <c r="I131" i="48"/>
  <c r="K131" i="48" s="1"/>
  <c r="H90" i="22"/>
  <c r="J90" i="22" s="1"/>
  <c r="H78" i="22"/>
  <c r="J78" i="22" s="1"/>
  <c r="H23" i="43"/>
  <c r="J23" i="43" s="1"/>
  <c r="H67" i="32"/>
  <c r="J67" i="32" s="1"/>
  <c r="L7" i="26"/>
  <c r="M7" i="26" s="1"/>
  <c r="H75" i="27"/>
  <c r="J75" i="27" s="1"/>
  <c r="H112" i="27"/>
  <c r="J112" i="27" s="1"/>
  <c r="H56" i="22"/>
  <c r="J56" i="22" s="1"/>
  <c r="H59" i="27"/>
  <c r="J59" i="27" s="1"/>
  <c r="H84" i="35"/>
  <c r="J84" i="35" s="1"/>
  <c r="H74" i="27"/>
  <c r="J74" i="27" s="1"/>
  <c r="H40" i="43"/>
  <c r="J40" i="43" s="1"/>
  <c r="H11" i="27"/>
  <c r="J11" i="27" s="1"/>
  <c r="H14" i="32"/>
  <c r="J14" i="32" s="1"/>
  <c r="H33" i="27"/>
  <c r="J33" i="27" s="1"/>
  <c r="H49" i="40"/>
  <c r="J49" i="40" s="1"/>
  <c r="H12" i="27"/>
  <c r="J12" i="27" s="1"/>
  <c r="H10" i="43"/>
  <c r="J10" i="43" s="1"/>
  <c r="H21" i="43"/>
  <c r="J21" i="43" s="1"/>
  <c r="H68" i="42"/>
  <c r="J68" i="42" s="1"/>
  <c r="H113" i="27"/>
  <c r="J113" i="27" s="1"/>
  <c r="H91" i="35"/>
  <c r="J91" i="35" s="1"/>
  <c r="H141" i="42"/>
  <c r="J141" i="42" s="1"/>
  <c r="H14" i="35"/>
  <c r="J14" i="35" s="1"/>
  <c r="H50" i="43"/>
  <c r="J50" i="43" s="1"/>
  <c r="H105" i="7"/>
  <c r="J105" i="7" s="1"/>
  <c r="H106" i="7"/>
  <c r="J106" i="7" s="1"/>
  <c r="H8" i="7"/>
  <c r="J8" i="7" s="1"/>
  <c r="H122" i="7"/>
  <c r="J122" i="7" s="1"/>
  <c r="H103" i="7"/>
  <c r="J103" i="7" s="1"/>
  <c r="H114" i="7"/>
  <c r="J114" i="7" s="1"/>
  <c r="H160" i="7"/>
  <c r="J160" i="7" s="1"/>
  <c r="I45" i="48"/>
  <c r="K45" i="48" s="1"/>
  <c r="H59" i="22"/>
  <c r="J59" i="22" s="1"/>
  <c r="H130" i="22"/>
  <c r="J130" i="22" s="1"/>
  <c r="L6" i="26"/>
  <c r="M6" i="26" s="1"/>
  <c r="H113" i="7"/>
  <c r="J113" i="7" s="1"/>
  <c r="H119" i="7"/>
  <c r="J119" i="7" s="1"/>
  <c r="H131" i="7"/>
  <c r="J131" i="7" s="1"/>
  <c r="H140" i="7"/>
  <c r="J140" i="7" s="1"/>
  <c r="H85" i="7"/>
  <c r="J85" i="7" s="1"/>
  <c r="H79" i="7"/>
  <c r="J79" i="7" s="1"/>
  <c r="H43" i="7"/>
  <c r="J43" i="7" s="1"/>
  <c r="H50" i="7"/>
  <c r="J50" i="7" s="1"/>
  <c r="H100" i="7"/>
  <c r="J100" i="7" s="1"/>
  <c r="H104" i="7"/>
  <c r="J104" i="7" s="1"/>
  <c r="H49" i="7"/>
  <c r="J49" i="7" s="1"/>
  <c r="I82" i="48"/>
  <c r="K82" i="48" s="1"/>
  <c r="H54" i="22"/>
  <c r="J54" i="22" s="1"/>
  <c r="I69" i="48"/>
  <c r="K69" i="48" s="1"/>
  <c r="H79" i="22"/>
  <c r="J79" i="22" s="1"/>
  <c r="I77" i="48"/>
  <c r="K77" i="48" s="1"/>
  <c r="H96" i="40"/>
  <c r="J96" i="40" s="1"/>
  <c r="H5" i="27"/>
  <c r="J5" i="27" s="1"/>
  <c r="H37" i="35"/>
  <c r="J37" i="35" s="1"/>
  <c r="H11" i="42"/>
  <c r="J11" i="42" s="1"/>
  <c r="H138" i="35"/>
  <c r="J138" i="35" s="1"/>
  <c r="H49" i="32"/>
  <c r="J49" i="32" s="1"/>
  <c r="H141" i="22"/>
  <c r="J141" i="22" s="1"/>
  <c r="H37" i="40"/>
  <c r="J37" i="40" s="1"/>
  <c r="H47" i="35"/>
  <c r="J47" i="35" s="1"/>
  <c r="H142" i="42"/>
  <c r="J142" i="42" s="1"/>
  <c r="H159" i="22"/>
  <c r="J159" i="22" s="1"/>
  <c r="H127" i="35"/>
  <c r="J127" i="35" s="1"/>
  <c r="H107" i="40"/>
  <c r="J107" i="40" s="1"/>
  <c r="H91" i="27"/>
  <c r="J91" i="27" s="1"/>
  <c r="H96" i="27"/>
  <c r="J96" i="27" s="1"/>
  <c r="H3" i="32"/>
  <c r="J3" i="32" s="1"/>
  <c r="H116" i="43"/>
  <c r="J116" i="43" s="1"/>
  <c r="H89" i="32"/>
  <c r="J89" i="32" s="1"/>
  <c r="H144" i="27"/>
  <c r="J144" i="27" s="1"/>
  <c r="H40" i="32"/>
  <c r="J40" i="32" s="1"/>
  <c r="I24" i="48"/>
  <c r="K24" i="48" s="1"/>
  <c r="H14" i="42"/>
  <c r="J14" i="42" s="1"/>
  <c r="H107" i="43"/>
  <c r="J107" i="43" s="1"/>
  <c r="I51" i="48"/>
  <c r="K51" i="48" s="1"/>
  <c r="H9" i="27"/>
  <c r="J9" i="27" s="1"/>
  <c r="H60" i="43"/>
  <c r="J60" i="43" s="1"/>
  <c r="J112" i="7"/>
  <c r="J74" i="7"/>
  <c r="J149" i="7"/>
  <c r="J137" i="7"/>
  <c r="J54" i="7"/>
  <c r="K7" i="26"/>
  <c r="K3" i="26"/>
  <c r="K4" i="26"/>
  <c r="K6" i="26"/>
  <c r="K9" i="26"/>
  <c r="K5" i="26"/>
  <c r="K8" i="26"/>
  <c r="J42" i="7"/>
  <c r="J109" i="7"/>
  <c r="J89" i="7"/>
  <c r="J66" i="7"/>
  <c r="J122" i="32"/>
  <c r="J144" i="32"/>
  <c r="J12" i="32"/>
  <c r="J161" i="32"/>
  <c r="N7" i="26" l="1"/>
  <c r="N9" i="26"/>
  <c r="N4" i="26"/>
  <c r="N3" i="26"/>
  <c r="C155" i="50"/>
  <c r="N5" i="26"/>
  <c r="N8" i="26"/>
  <c r="N6" i="26"/>
  <c r="IS161" i="32"/>
  <c r="C164" i="50" l="1"/>
  <c r="C20" i="50"/>
  <c r="C13" i="50"/>
  <c r="C63" i="50"/>
  <c r="C121" i="50"/>
  <c r="C67" i="50"/>
  <c r="C41" i="50"/>
  <c r="C86" i="50"/>
  <c r="C99" i="50"/>
  <c r="C101" i="50"/>
  <c r="C14" i="50"/>
  <c r="C157" i="50"/>
  <c r="C168" i="50"/>
  <c r="C43" i="50"/>
  <c r="C103" i="50"/>
  <c r="C78" i="50"/>
  <c r="C151" i="50"/>
  <c r="C141" i="50"/>
  <c r="C35" i="50"/>
  <c r="C56" i="50"/>
  <c r="C93" i="50"/>
  <c r="C104" i="50"/>
  <c r="C134" i="50"/>
  <c r="C131" i="50"/>
  <c r="C68" i="50"/>
  <c r="C23" i="50"/>
  <c r="C124" i="50"/>
  <c r="C107" i="50"/>
  <c r="C40" i="50"/>
  <c r="C75" i="50"/>
  <c r="C127" i="50"/>
  <c r="C5" i="50"/>
  <c r="C111" i="50"/>
  <c r="C119" i="50"/>
  <c r="C61" i="50"/>
  <c r="C53" i="50"/>
  <c r="C11" i="50"/>
  <c r="C28" i="50"/>
  <c r="C128" i="50"/>
  <c r="C48" i="50"/>
  <c r="C160" i="50"/>
  <c r="C148" i="50"/>
  <c r="C158" i="50"/>
  <c r="C79" i="50"/>
  <c r="C71" i="50"/>
  <c r="C143" i="50"/>
  <c r="C42" i="50"/>
  <c r="C153" i="50"/>
  <c r="C87" i="50"/>
  <c r="C58" i="50"/>
  <c r="C136" i="50"/>
  <c r="C82" i="50"/>
  <c r="C19" i="50"/>
  <c r="C31" i="50"/>
  <c r="C37" i="50"/>
  <c r="C145" i="50"/>
  <c r="C9" i="50"/>
  <c r="C47" i="50"/>
  <c r="C102" i="50"/>
  <c r="C69" i="50"/>
  <c r="C90" i="50"/>
  <c r="C133" i="50"/>
  <c r="C149" i="50"/>
  <c r="C7" i="50"/>
  <c r="C85" i="50"/>
  <c r="C156" i="50"/>
  <c r="C60" i="50"/>
  <c r="C115" i="50"/>
  <c r="C108" i="50"/>
  <c r="C17" i="50"/>
  <c r="C59" i="50"/>
  <c r="C144" i="50"/>
  <c r="C106" i="50"/>
  <c r="C44" i="50"/>
  <c r="C97" i="50"/>
  <c r="C30" i="50"/>
  <c r="C18" i="50"/>
  <c r="C137" i="50"/>
  <c r="C52" i="50"/>
  <c r="C73" i="50"/>
  <c r="C25" i="50"/>
  <c r="C166" i="50"/>
  <c r="C163" i="50"/>
  <c r="C29" i="50"/>
  <c r="C89" i="50"/>
  <c r="C120" i="50"/>
  <c r="C72" i="50"/>
  <c r="C27" i="50"/>
  <c r="C10" i="50"/>
  <c r="C74" i="50"/>
  <c r="C66" i="50"/>
  <c r="C130" i="50"/>
  <c r="C135" i="50"/>
  <c r="C51" i="50"/>
  <c r="C113" i="50"/>
  <c r="C8" i="50"/>
  <c r="C129" i="50"/>
  <c r="C105" i="50"/>
  <c r="C114" i="50"/>
  <c r="C167" i="50"/>
  <c r="C91" i="50"/>
  <c r="C162" i="50"/>
  <c r="C84" i="50"/>
  <c r="C165" i="50"/>
  <c r="C24" i="50"/>
  <c r="C117" i="50"/>
  <c r="C92" i="50"/>
  <c r="C26" i="50"/>
  <c r="C110" i="50"/>
  <c r="C100" i="50"/>
  <c r="C88" i="50"/>
  <c r="C112" i="50"/>
  <c r="C80" i="50"/>
  <c r="C54" i="50"/>
  <c r="C38" i="50"/>
  <c r="C12" i="50"/>
  <c r="C116" i="50"/>
  <c r="C109" i="50"/>
  <c r="C57" i="50"/>
  <c r="C46" i="50"/>
  <c r="C122" i="50"/>
  <c r="C125" i="50"/>
  <c r="C34" i="50"/>
  <c r="C139" i="50"/>
  <c r="C50" i="50"/>
  <c r="C161" i="50"/>
  <c r="C49" i="50"/>
  <c r="C95" i="50"/>
  <c r="C152" i="50"/>
  <c r="C96" i="50"/>
  <c r="C154" i="50"/>
  <c r="C146" i="50"/>
  <c r="C65" i="50"/>
  <c r="C45" i="50"/>
  <c r="C70" i="50"/>
  <c r="C94" i="50"/>
  <c r="C76" i="50"/>
  <c r="C32" i="50"/>
  <c r="C77" i="50"/>
  <c r="C62" i="50"/>
  <c r="C83" i="50"/>
  <c r="C55" i="50"/>
  <c r="C142" i="50"/>
  <c r="C118" i="50"/>
  <c r="C147" i="50"/>
  <c r="C150" i="50"/>
  <c r="C126" i="50"/>
  <c r="C132" i="50"/>
  <c r="C64" i="50"/>
  <c r="C6" i="50"/>
  <c r="C22" i="50"/>
  <c r="C39" i="50"/>
  <c r="C140" i="50"/>
  <c r="C21" i="50"/>
  <c r="C36" i="50"/>
  <c r="C98" i="50"/>
  <c r="C33" i="50"/>
  <c r="C16" i="50"/>
  <c r="C138" i="50"/>
  <c r="C15" i="50"/>
  <c r="C159" i="50"/>
  <c r="C81" i="50"/>
  <c r="C123" i="50"/>
  <c r="C4" i="50"/>
</calcChain>
</file>

<file path=xl/sharedStrings.xml><?xml version="1.0" encoding="utf-8"?>
<sst xmlns="http://schemas.openxmlformats.org/spreadsheetml/2006/main" count="4636" uniqueCount="655">
  <si>
    <t>Будинок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</si>
  <si>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</si>
  <si>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</si>
  <si>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</si>
  <si>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</si>
  <si>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</si>
  <si>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</si>
  <si>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</si>
  <si>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</si>
  <si>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</si>
  <si>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Середній тариф</t>
  </si>
  <si>
    <t>ЗАТВЕРДЖУЮ</t>
  </si>
  <si>
    <t>ШТАТНИЙ РОЗКЛАД</t>
  </si>
  <si>
    <t>з 1 січня 2016 року</t>
  </si>
  <si>
    <t>№</t>
  </si>
  <si>
    <t>код КП</t>
  </si>
  <si>
    <t>Баланс робочого часу (місячн.) год</t>
  </si>
  <si>
    <t>%</t>
  </si>
  <si>
    <t>грн.</t>
  </si>
  <si>
    <t>ДІЛЬНИЦЯ БЛАГОУСТРОЮ</t>
  </si>
  <si>
    <t>-</t>
  </si>
  <si>
    <t>ДІЛЬНИЦЯ ТЕПЛО-, ВОДОПОСТАЧАННЯ</t>
  </si>
  <si>
    <t>ВСЬОГО:</t>
  </si>
  <si>
    <t>ДІЛЬНИЦЯ  РЕМОНТНО-БУДІВЕЛЬНИХ РОБІТ</t>
  </si>
  <si>
    <t>Економіст</t>
  </si>
  <si>
    <t>Усатенко О.В.</t>
  </si>
  <si>
    <t>ДИРЕКТОР КП "ЛАДЖИТЛОСЕРВІС"</t>
  </si>
  <si>
    <t>_________________ В.В.РИБАЛКО</t>
  </si>
  <si>
    <t>31 грудня 2015 року</t>
  </si>
  <si>
    <t>Посада</t>
  </si>
  <si>
    <t xml:space="preserve">К-сть штатних одиниць  </t>
  </si>
  <si>
    <t>Посадовий оклад, грн.</t>
  </si>
  <si>
    <t>Надбавки</t>
  </si>
  <si>
    <t>Місячний</t>
  </si>
  <si>
    <t xml:space="preserve">фонд </t>
  </si>
  <si>
    <t>заробітної</t>
  </si>
  <si>
    <t>плати, грн</t>
  </si>
  <si>
    <t>Директор підприємства</t>
  </si>
  <si>
    <t>1210.1</t>
  </si>
  <si>
    <t>Головний бухгалтер</t>
  </si>
  <si>
    <t>Майстер</t>
  </si>
  <si>
    <t>ВСЬОГО</t>
  </si>
  <si>
    <t>Витрати управління</t>
  </si>
  <si>
    <t>Разом</t>
  </si>
  <si>
    <t xml:space="preserve">З/плата робітники (66)                                                                           </t>
  </si>
  <si>
    <t>Інші витрати</t>
  </si>
  <si>
    <t>Ремонтні роботи (рах.231 мешканці)</t>
  </si>
  <si>
    <t>Ремонтні роботи (231)</t>
  </si>
  <si>
    <t>З/плата робітників (66)</t>
  </si>
  <si>
    <t>Матеріали для ремонту (20)</t>
  </si>
  <si>
    <t>Всього по статтях витрат:</t>
  </si>
  <si>
    <t>Показники</t>
  </si>
  <si>
    <t>Адміністративні витрати всього, у т.ч.:</t>
  </si>
  <si>
    <t>Витрати на оплату праці з відрахуваннями всього, у т.ч.:</t>
  </si>
  <si>
    <t>заробітна плата</t>
  </si>
  <si>
    <t>внески на загальнообов'язкове державне соціальне страхування</t>
  </si>
  <si>
    <t>Амортизація  основних засобів, інших  необоротних матеріальних і нематеріальних активів загальногосподарського використання</t>
  </si>
  <si>
    <t>Інші витрати, у т.ч.:</t>
  </si>
  <si>
    <t xml:space="preserve">службові відрядження </t>
  </si>
  <si>
    <t>Загальновиробничі витрати всього, у т.ч.:</t>
  </si>
  <si>
    <t>Загальновиробничі витрати</t>
  </si>
  <si>
    <t>За місяць</t>
  </si>
  <si>
    <t>За рік</t>
  </si>
  <si>
    <t>Фонд ЗП основних робітників</t>
  </si>
  <si>
    <t>Витрати</t>
  </si>
  <si>
    <t>Всього, у т.ч.:</t>
  </si>
  <si>
    <t xml:space="preserve">Прямі витрати </t>
  </si>
  <si>
    <t>Прямі витрати</t>
  </si>
  <si>
    <t>ЗАГАЛЬНОВИРОБНИЧІ ВИТРАТИ, %</t>
  </si>
  <si>
    <t xml:space="preserve">Єдиний внесок на соц. Страхування 22%                                                </t>
  </si>
  <si>
    <t>Адміністративні витрати, %</t>
  </si>
  <si>
    <t>НАКЛАДНІ ВИТРАТИ, %</t>
  </si>
  <si>
    <t>Загальна площа квартир, м2</t>
  </si>
  <si>
    <t>Кількість димових або вентиляційних каналів, шт.</t>
  </si>
  <si>
    <t>Тариф на послуги, грн/1м2</t>
  </si>
  <si>
    <t>Накладні витрати, %</t>
  </si>
  <si>
    <t>Витрати з дератизації, грн/м2</t>
  </si>
  <si>
    <t>Площа прибудинкової території, м2</t>
  </si>
  <si>
    <t>Площа підвалу житлового будинку, м2</t>
  </si>
  <si>
    <t>Кількість двірників, чол.</t>
  </si>
  <si>
    <t>Заробітна плата, грн</t>
  </si>
  <si>
    <t>Матеріальні витрати, грн</t>
  </si>
  <si>
    <t>Витрати на прибирання прибудинкової території, грн/м2</t>
  </si>
  <si>
    <t>Вартість ТО ліфтів, грн</t>
  </si>
  <si>
    <t>Протяжність мереж теплопостачання, м</t>
  </si>
  <si>
    <t>Чисельність основних працівників, чол</t>
  </si>
  <si>
    <t>Заробітна плата, грн, грн</t>
  </si>
  <si>
    <t>Тариф на електроенергію, грн</t>
  </si>
  <si>
    <t>Вартість електроенергії, грн.</t>
  </si>
  <si>
    <t>Кількість електроенергії для освітлення місць заг. корист. за 1міс, кВт/год</t>
  </si>
  <si>
    <t>Вартість робіт по дератизації, грн</t>
  </si>
  <si>
    <t>Вартість робіт по дезінсекції, грн</t>
  </si>
  <si>
    <t>Витрати на освітлення місць загального користування, грн/м2</t>
  </si>
  <si>
    <t>Загальна площа прибирання, м2</t>
  </si>
  <si>
    <t>Од.вим.</t>
  </si>
  <si>
    <t>Кількість</t>
  </si>
  <si>
    <t>Ціна</t>
  </si>
  <si>
    <t>Сума</t>
  </si>
  <si>
    <t>м2</t>
  </si>
  <si>
    <t>1.1</t>
  </si>
  <si>
    <t>1.2</t>
  </si>
  <si>
    <t>люд/год</t>
  </si>
  <si>
    <t>Витрати праці робітника з комплексного прибирання та утримання будинків з прилеглими територіями на 100 м2</t>
  </si>
  <si>
    <t>грн</t>
  </si>
  <si>
    <t>3.1</t>
  </si>
  <si>
    <t>ФОП двірників</t>
  </si>
  <si>
    <t>3.2</t>
  </si>
  <si>
    <t>год</t>
  </si>
  <si>
    <t>3.3</t>
  </si>
  <si>
    <t>Кількість двірників</t>
  </si>
  <si>
    <t>чол</t>
  </si>
  <si>
    <t>Витрати ЗП 1 люд/год</t>
  </si>
  <si>
    <t>4.1</t>
  </si>
  <si>
    <t>4.2</t>
  </si>
  <si>
    <t>Витрати на одного робітника</t>
  </si>
  <si>
    <t>Матеріали на 1 чол</t>
  </si>
  <si>
    <t>Обслуговування житлового фонду (рах.232,233, 237, 238 мешканці)</t>
  </si>
  <si>
    <t>Витрати на електроенергію, грн/м2</t>
  </si>
  <si>
    <t>Спецінвентар:</t>
  </si>
  <si>
    <t>Вінник</t>
  </si>
  <si>
    <t>шт</t>
  </si>
  <si>
    <t>Совок</t>
  </si>
  <si>
    <t>Лопата совкова</t>
  </si>
  <si>
    <t>Відро</t>
  </si>
  <si>
    <t>Мотузка</t>
  </si>
  <si>
    <t>Мило</t>
  </si>
  <si>
    <t>Хлорне вапно</t>
  </si>
  <si>
    <t>Шланг гумовий поливальний</t>
  </si>
  <si>
    <t>Граблі металеві</t>
  </si>
  <si>
    <t>Лопата металева</t>
  </si>
  <si>
    <t>Молоток</t>
  </si>
  <si>
    <t>Кирка</t>
  </si>
  <si>
    <t>Лопата деревяна</t>
  </si>
  <si>
    <t>Мітли із синтетичного волокна</t>
  </si>
  <si>
    <t>Спецодяг:</t>
  </si>
  <si>
    <t>Рукавиці комбіновані</t>
  </si>
  <si>
    <t>Чоботи гумові</t>
  </si>
  <si>
    <t>Всього</t>
  </si>
  <si>
    <t>Витрати на одного працівника</t>
  </si>
  <si>
    <t xml:space="preserve">Протяжність інженерних мереж </t>
  </si>
  <si>
    <t>м/п</t>
  </si>
  <si>
    <t>Чисельність працівників</t>
  </si>
  <si>
    <t>Ізольовані обценьки</t>
  </si>
  <si>
    <t>Ізольовані викрутка</t>
  </si>
  <si>
    <t>Ізольовані круглогубці</t>
  </si>
  <si>
    <t>Тестер (вольтметр)</t>
  </si>
  <si>
    <t>Ліхтар</t>
  </si>
  <si>
    <t>Електропаяльник</t>
  </si>
  <si>
    <t>Окуляри захисні</t>
  </si>
  <si>
    <t>Ключ розвідний №2</t>
  </si>
  <si>
    <t>Ключ гайковий двосторонній 10/12</t>
  </si>
  <si>
    <t>Ключ гайковий двосторонній 10/14</t>
  </si>
  <si>
    <t>Ключ гайковий двосторонній 14/17</t>
  </si>
  <si>
    <t>Ключ гайковий двосторонній 19/22</t>
  </si>
  <si>
    <t>Ключ гайковий двосторонній 24/27</t>
  </si>
  <si>
    <t>Ключ гайковий двосторонній 27/30</t>
  </si>
  <si>
    <t>Молоток слюсарний</t>
  </si>
  <si>
    <t>Зубило слюсарне</t>
  </si>
  <si>
    <t>Викрутки( набір 3 шт)</t>
  </si>
  <si>
    <t>Метр сталевий</t>
  </si>
  <si>
    <t>Напилок плоский</t>
  </si>
  <si>
    <t>Напилок круглий</t>
  </si>
  <si>
    <t>Набір свердел</t>
  </si>
  <si>
    <t>Обценьки комбіновані</t>
  </si>
  <si>
    <t>Різак</t>
  </si>
  <si>
    <t>Редуктор кисневий</t>
  </si>
  <si>
    <t>Редуктор ацетиленовий</t>
  </si>
  <si>
    <t>Шланги кисневі</t>
  </si>
  <si>
    <t>Шланги ацителенові</t>
  </si>
  <si>
    <t>Черевики шкіряні</t>
  </si>
  <si>
    <t>Окуляри для зварювальників</t>
  </si>
  <si>
    <t>2.1</t>
  </si>
  <si>
    <t>2.2</t>
  </si>
  <si>
    <t>2.3</t>
  </si>
  <si>
    <t>2.4</t>
  </si>
  <si>
    <t>2.5</t>
  </si>
  <si>
    <t>2.6</t>
  </si>
  <si>
    <t>2.7</t>
  </si>
  <si>
    <t>2.8</t>
  </si>
  <si>
    <t>Рувавиці діелектричні з повіркою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</si>
  <si>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</si>
  <si>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</si>
  <si>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</si>
  <si>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</si>
  <si>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</si>
  <si>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</si>
  <si>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</si>
  <si>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</si>
  <si>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</si>
  <si>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</si>
  <si>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</si>
  <si>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</si>
  <si>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</si>
  <si>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</si>
  <si>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</si>
  <si>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</si>
  <si>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</si>
  <si>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</si>
  <si>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Витрати на обслуговування внутрішньобудинкових систем теплопостачання, грн/м2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</si>
  <si>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</si>
  <si>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</si>
  <si>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</si>
  <si>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</si>
  <si>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</si>
  <si>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</si>
  <si>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</si>
  <si>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</si>
  <si>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</si>
  <si>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</si>
  <si>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</si>
  <si>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</si>
  <si>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</si>
  <si>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</si>
  <si>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</si>
  <si>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</si>
  <si>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</si>
  <si>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Протяжність зливових водостоків, м</t>
  </si>
  <si>
    <t>Протяжність електромереж, м</t>
  </si>
  <si>
    <t>Протяжність мереж водопостачання та водовідведення, м</t>
  </si>
  <si>
    <t>1.3</t>
  </si>
  <si>
    <t>Заплановано до ремонту</t>
  </si>
  <si>
    <t>Кисть малярна</t>
  </si>
  <si>
    <t>Відро 15л</t>
  </si>
  <si>
    <t>Кельма</t>
  </si>
  <si>
    <t>Ковш</t>
  </si>
  <si>
    <t>Шпатель</t>
  </si>
  <si>
    <t>Валік</t>
  </si>
  <si>
    <t>Площа покрівлі, м2</t>
  </si>
  <si>
    <t>Кількість працівників, чол.</t>
  </si>
  <si>
    <t>Матеріал покрівлі</t>
  </si>
  <si>
    <t>Шиферна покрівля</t>
  </si>
  <si>
    <t>Мяка покрівля</t>
  </si>
  <si>
    <t>Площа покрівлі</t>
  </si>
  <si>
    <t>Витрати на поточний ремонт конструктивних елементів, грн/м2</t>
  </si>
  <si>
    <t>Виконавець</t>
  </si>
  <si>
    <t>Заробітна плата, грн,</t>
  </si>
  <si>
    <t>Єдиний соціальний внесок , грн</t>
  </si>
  <si>
    <t>Витрати на послуги, грн/м2</t>
  </si>
  <si>
    <t>Єдиний соціальний внесок, грн</t>
  </si>
  <si>
    <t>Витрати на поточний ремонт систем водопостачання та водовідведення, грн/м2</t>
  </si>
  <si>
    <t>Горєлка газова</t>
  </si>
  <si>
    <t>Строп</t>
  </si>
  <si>
    <t>Шнур поліамідний</t>
  </si>
  <si>
    <t>Пояс страхувальний</t>
  </si>
  <si>
    <t>Рулетка</t>
  </si>
  <si>
    <t>4.7</t>
  </si>
  <si>
    <t>Розмір планових витрат, грн./м кв</t>
  </si>
  <si>
    <t>План на 2018 рік</t>
  </si>
  <si>
    <t>Планові витрати на 2018 рік, грн</t>
  </si>
  <si>
    <t>Утримання житлового фонду КП"Ладжитлосервіс" за 2016 рік</t>
  </si>
  <si>
    <t>Всього за рік грн., без ПДВ</t>
  </si>
  <si>
    <t>З/плата 91 рахунок</t>
  </si>
  <si>
    <t>92  рахунок</t>
  </si>
  <si>
    <t>Нарахування на з/плату 91 рах.</t>
  </si>
  <si>
    <t>92  рах.</t>
  </si>
  <si>
    <t>Відрядження, під звіт 91 рах.</t>
  </si>
  <si>
    <t>Амортизація 91 рах.</t>
  </si>
  <si>
    <t>Інші 91 рах.</t>
  </si>
  <si>
    <t>Обслуговування житлового фонду (232, 233, 237, 238)</t>
  </si>
  <si>
    <t xml:space="preserve">З/плата (66 рах.)                                                             </t>
  </si>
  <si>
    <t xml:space="preserve">Нарахування на з/плату (65 рах.)                                     </t>
  </si>
  <si>
    <t xml:space="preserve">Інструменти (22 рах.)                           </t>
  </si>
  <si>
    <t>Інші</t>
  </si>
  <si>
    <t xml:space="preserve">Автопослуги (631 рах.)                           </t>
  </si>
  <si>
    <t xml:space="preserve">Дератизація, дезинсекція (631 рах.)         </t>
  </si>
  <si>
    <t xml:space="preserve">Електроенергія (631 рах.)                </t>
  </si>
  <si>
    <t xml:space="preserve">Матеріали (20 рах.)                       </t>
  </si>
  <si>
    <t xml:space="preserve">Амортизація (13 рах.)                </t>
  </si>
  <si>
    <t>З/плата (66 рах.)</t>
  </si>
  <si>
    <t>Нарахування на з/плату (65 рах.)</t>
  </si>
  <si>
    <t>Матеріали (20 рах.)</t>
  </si>
  <si>
    <t>Інші витрати операційної діяльності</t>
  </si>
  <si>
    <t>Всього:</t>
  </si>
  <si>
    <t>ЭСВ, грн</t>
  </si>
  <si>
    <t>Всього кВт за 2017 рік</t>
  </si>
  <si>
    <t>ТОВ "Цидило и К" м. Слов'янськ</t>
  </si>
  <si>
    <t>ЄСВ, грн</t>
  </si>
  <si>
    <t>Інспектор кадрів</t>
  </si>
  <si>
    <t>Всього кВт на користування ліфтами за 2017 рік</t>
  </si>
  <si>
    <t>Прийнята до розрахунку чисельність працівників</t>
  </si>
  <si>
    <t>Фактична чисельність працівників</t>
  </si>
  <si>
    <t>1.4</t>
  </si>
  <si>
    <t>Витрати праці на виконання робіт з утримання внутрiшньобудинкових систем  централізованого опалення на 100 пог.м</t>
  </si>
  <si>
    <t>Насос дренажний</t>
  </si>
  <si>
    <t>Сварочний апарат</t>
  </si>
  <si>
    <t>3.22</t>
  </si>
  <si>
    <t>Набір головок вінторізних</t>
  </si>
  <si>
    <t>3.23</t>
  </si>
  <si>
    <t>Набіртрубних ключів</t>
  </si>
  <si>
    <t>Витрати праці слюсаря-сантехніка на 100 пог.м</t>
  </si>
  <si>
    <t>Трос каналізаційний ф.10м</t>
  </si>
  <si>
    <t>Трос каналізаційний ф.15м</t>
  </si>
  <si>
    <t>Електродрель</t>
  </si>
  <si>
    <t>Перфоратор</t>
  </si>
  <si>
    <t>3.24</t>
  </si>
  <si>
    <t>Шліфувальна машина</t>
  </si>
  <si>
    <t>Прийнята до розрахунку чисельність двірників</t>
  </si>
  <si>
    <t>1.5</t>
  </si>
  <si>
    <t>Баланс робочого часу (місячн.) на 2018 рік</t>
  </si>
  <si>
    <t>Площа території для посипання, м2</t>
  </si>
  <si>
    <t>Пісок природний рядовий</t>
  </si>
  <si>
    <t>0,017м3</t>
  </si>
  <si>
    <t>Зола</t>
  </si>
  <si>
    <t>м3</t>
  </si>
  <si>
    <t>ТО ліфтів  грн/м2</t>
  </si>
  <si>
    <t>Загальні витрати на обслуговування ліфтів, грн/м2</t>
  </si>
  <si>
    <t>Протяжність електромереж</t>
  </si>
  <si>
    <t>м</t>
  </si>
  <si>
    <t>Витрати праці електромонтерів з ремонту та обслуговування електроустаткування</t>
  </si>
  <si>
    <t>1.6</t>
  </si>
  <si>
    <t xml:space="preserve">Набір ізоляційного інструменту </t>
  </si>
  <si>
    <t>Коврик діелектричний</t>
  </si>
  <si>
    <t>Витрати праці покрівельника</t>
  </si>
  <si>
    <t>Площа стін підїзду під побілку та покраску</t>
  </si>
  <si>
    <t>Витрати праці робітників муляра, столяра, скляра, бетоняра</t>
  </si>
  <si>
    <t>Ножниці по металу</t>
  </si>
  <si>
    <t>Склоріз</t>
  </si>
  <si>
    <t>Фен будівельний</t>
  </si>
  <si>
    <t>Шуруповерт</t>
  </si>
  <si>
    <t>Площа підїзду під побілку та покраску, м3</t>
  </si>
  <si>
    <t>шиферна</t>
  </si>
  <si>
    <t xml:space="preserve">Димовентиляційні канали (631 рах.)          </t>
  </si>
  <si>
    <t xml:space="preserve">технічне обслуговування ліфтів </t>
  </si>
  <si>
    <t>Інструменти (22 рах.)</t>
  </si>
  <si>
    <t>Автотранспорт(631)</t>
  </si>
  <si>
    <t>Інші (наладка) (631) решта, без РЕМ</t>
  </si>
  <si>
    <t xml:space="preserve">Обслуговування  (631)              </t>
  </si>
  <si>
    <t>Амортизація (13 рах.)</t>
  </si>
  <si>
    <t>Столяр</t>
  </si>
  <si>
    <t>Є.М. Черняк</t>
  </si>
  <si>
    <t>Площа асфальтного покриття, м2</t>
  </si>
  <si>
    <t xml:space="preserve"> вул. Деповська,1  </t>
  </si>
  <si>
    <t xml:space="preserve"> вул. Деповська,4  </t>
  </si>
  <si>
    <t xml:space="preserve"> вул. Ів.Лейка,10  </t>
  </si>
  <si>
    <t xml:space="preserve"> вул. Ів.Лейка,6  </t>
  </si>
  <si>
    <t xml:space="preserve"> вул. Ів.Лейка,8  </t>
  </si>
  <si>
    <t xml:space="preserve"> вул. Привокзальна,18  </t>
  </si>
  <si>
    <t xml:space="preserve"> вул. Привокзальна,19  </t>
  </si>
  <si>
    <t xml:space="preserve"> вул. Привокзальна,38  </t>
  </si>
  <si>
    <t xml:space="preserve"> вул. Комунальна,12  </t>
  </si>
  <si>
    <t xml:space="preserve"> вул. Комунальна,14  </t>
  </si>
  <si>
    <t xml:space="preserve"> вул. Комунальна,5 а </t>
  </si>
  <si>
    <t xml:space="preserve"> вул. Комунальна,6 а </t>
  </si>
  <si>
    <t xml:space="preserve"> вул. Матросова,1 а </t>
  </si>
  <si>
    <t xml:space="preserve"> вул. Оборони,5  </t>
  </si>
  <si>
    <t xml:space="preserve"> вул. Оборони,5 а </t>
  </si>
  <si>
    <t xml:space="preserve"> вул. Оборони,7  </t>
  </si>
  <si>
    <t xml:space="preserve"> вул. Оборони,8  </t>
  </si>
  <si>
    <t xml:space="preserve"> вул. Л. Українки,2  </t>
  </si>
  <si>
    <t xml:space="preserve"> вул. Л. Українки,4  </t>
  </si>
  <si>
    <t xml:space="preserve"> вул. Л. Українки,8  </t>
  </si>
  <si>
    <t xml:space="preserve"> вул. Пушкіна,10 а </t>
  </si>
  <si>
    <t xml:space="preserve"> вул. Пушкіна,4 а </t>
  </si>
  <si>
    <t xml:space="preserve"> вул. Пушкіна,5 а </t>
  </si>
  <si>
    <t xml:space="preserve"> вул. Пушкіна,6 а </t>
  </si>
  <si>
    <t xml:space="preserve"> вул. Пушкіна,7 а </t>
  </si>
  <si>
    <t xml:space="preserve"> вул. Пушкіна,8 а </t>
  </si>
  <si>
    <t xml:space="preserve"> вул. Грушевського,1  </t>
  </si>
  <si>
    <t xml:space="preserve"> вул. Грушевського,3  </t>
  </si>
  <si>
    <t xml:space="preserve"> вул. Театральна,1  </t>
  </si>
  <si>
    <t xml:space="preserve"> вул. Театральна,2  </t>
  </si>
  <si>
    <t xml:space="preserve"> вул. Театральна,3  </t>
  </si>
  <si>
    <t xml:space="preserve">вул. Бикова,4 а </t>
  </si>
  <si>
    <t xml:space="preserve"> вул. К.Гасієва,15  </t>
  </si>
  <si>
    <t xml:space="preserve"> вул. К.Гасієва,16  </t>
  </si>
  <si>
    <t xml:space="preserve"> вул. К.Гасієва,18  </t>
  </si>
  <si>
    <t xml:space="preserve"> вул. К.Гасієва,24  </t>
  </si>
  <si>
    <t xml:space="preserve"> пров. Восточний,2  </t>
  </si>
  <si>
    <t xml:space="preserve"> пров. Восточний,4  </t>
  </si>
  <si>
    <t xml:space="preserve"> пров. Восточний,6  </t>
  </si>
  <si>
    <t xml:space="preserve"> пров. Восточний,8  </t>
  </si>
  <si>
    <t xml:space="preserve">пров. Л. Українки,7  </t>
  </si>
  <si>
    <t xml:space="preserve">пров. Л. Українки,8  </t>
  </si>
  <si>
    <t xml:space="preserve">пров. Л. Українки,9  </t>
  </si>
  <si>
    <t xml:space="preserve">пров. Привокзальний,4  </t>
  </si>
  <si>
    <t xml:space="preserve">пров. Привокзальний,5  </t>
  </si>
  <si>
    <t xml:space="preserve"> пров. Матросова,1  </t>
  </si>
  <si>
    <t xml:space="preserve"> пров. Матросова,2  </t>
  </si>
  <si>
    <t xml:space="preserve">пр-т Щасливий,7  </t>
  </si>
  <si>
    <t xml:space="preserve"> вул. Ів.Лейка,2  </t>
  </si>
  <si>
    <t xml:space="preserve"> вул. Ів.Лейка,5  </t>
  </si>
  <si>
    <t xml:space="preserve"> вул. Комунальна,16  </t>
  </si>
  <si>
    <t xml:space="preserve"> вул. Комунальна,18  </t>
  </si>
  <si>
    <t xml:space="preserve"> вул. Л. Українки,6  </t>
  </si>
  <si>
    <t xml:space="preserve"> вул. Переїздна,1 а </t>
  </si>
  <si>
    <t xml:space="preserve"> вул. Пушкіна,1 а </t>
  </si>
  <si>
    <t xml:space="preserve"> вул. Пушкіна,2 а </t>
  </si>
  <si>
    <t xml:space="preserve"> вул. Пушкіна,9 а </t>
  </si>
  <si>
    <t xml:space="preserve"> вул. К.Гасієва,10  </t>
  </si>
  <si>
    <t xml:space="preserve"> вул. К.Гасієва,11  </t>
  </si>
  <si>
    <t xml:space="preserve"> вул. К.Гасієва,12  </t>
  </si>
  <si>
    <t xml:space="preserve"> вул. К.Гасієва,13  </t>
  </si>
  <si>
    <t xml:space="preserve"> вул. К.Гасієва,14  </t>
  </si>
  <si>
    <t xml:space="preserve"> вул. К.Гасієва,15 а </t>
  </si>
  <si>
    <t xml:space="preserve"> вул. К.Гасієва,24 а </t>
  </si>
  <si>
    <t xml:space="preserve"> вул. К.Гасієва,3  </t>
  </si>
  <si>
    <t xml:space="preserve"> вул. К.Гасієва,4  </t>
  </si>
  <si>
    <t xml:space="preserve"> вул. К.Гасієва,7  </t>
  </si>
  <si>
    <t xml:space="preserve"> вул. К.Гасієва,8  </t>
  </si>
  <si>
    <t xml:space="preserve"> вул. К.Гасієва,9  </t>
  </si>
  <si>
    <t xml:space="preserve">пров. Л. Українки,6  </t>
  </si>
  <si>
    <t xml:space="preserve">пров. Привокзальний,3  </t>
  </si>
  <si>
    <t xml:space="preserve">пров. Привокзальний,6  </t>
  </si>
  <si>
    <t xml:space="preserve"> пров. Матросова,5  </t>
  </si>
  <si>
    <t xml:space="preserve"> пр-т Гагаріна,1  </t>
  </si>
  <si>
    <t xml:space="preserve"> пр-т Гагаріна,3  </t>
  </si>
  <si>
    <t xml:space="preserve"> пр-т Гагаріна,4 а </t>
  </si>
  <si>
    <t xml:space="preserve"> пр-т Гагаріна,5  </t>
  </si>
  <si>
    <t xml:space="preserve"> пр-т Гагаріна,7 -7а </t>
  </si>
  <si>
    <t xml:space="preserve">пр-т Щасливий,11  </t>
  </si>
  <si>
    <t xml:space="preserve">пр-т Щасливий,12  </t>
  </si>
  <si>
    <t xml:space="preserve"> вул. Ів.Лейка,1 а </t>
  </si>
  <si>
    <t xml:space="preserve"> вул. Ів.Лейка,10 а </t>
  </si>
  <si>
    <t xml:space="preserve"> вул. Ів.Лейка,13  </t>
  </si>
  <si>
    <t xml:space="preserve"> вул. Ів.Лейка,2 а </t>
  </si>
  <si>
    <t xml:space="preserve"> вул. Ів.Лейка,3  </t>
  </si>
  <si>
    <t xml:space="preserve"> вул. Ів.Лейка,4  </t>
  </si>
  <si>
    <t xml:space="preserve"> вул. Привокзальна,21  </t>
  </si>
  <si>
    <t xml:space="preserve"> вул. Привокзальна,31  </t>
  </si>
  <si>
    <t xml:space="preserve"> вул. Привокзальна,32  </t>
  </si>
  <si>
    <t xml:space="preserve"> вул. Комунальна,13  </t>
  </si>
  <si>
    <t xml:space="preserve"> вул. Матросова,1 б </t>
  </si>
  <si>
    <t xml:space="preserve"> вул. Матросова,2 а </t>
  </si>
  <si>
    <t xml:space="preserve"> вул. Матросова,49  </t>
  </si>
  <si>
    <t xml:space="preserve"> вул. К.Гасієва,1  </t>
  </si>
  <si>
    <t xml:space="preserve"> вул. К.Гасієва,2  </t>
  </si>
  <si>
    <t xml:space="preserve"> вул. К.Гасієва,39  </t>
  </si>
  <si>
    <t xml:space="preserve"> вул. К.Гасієва,39 а </t>
  </si>
  <si>
    <t xml:space="preserve"> пров. Матросова,3  </t>
  </si>
  <si>
    <t xml:space="preserve"> пров. Грушевського,24  </t>
  </si>
  <si>
    <t xml:space="preserve"> пров. Грушевського,26  </t>
  </si>
  <si>
    <t xml:space="preserve"> пр-т Гагаріна,4 б </t>
  </si>
  <si>
    <t xml:space="preserve"> вул. Деповська,17  </t>
  </si>
  <si>
    <t xml:space="preserve"> вул. Ів.Лейка,12  </t>
  </si>
  <si>
    <t xml:space="preserve"> вул. Ів.Лейка,14  </t>
  </si>
  <si>
    <t xml:space="preserve"> вул. Ів.Лейка,15  </t>
  </si>
  <si>
    <t xml:space="preserve"> вул. Ів.Лейка,16  </t>
  </si>
  <si>
    <t xml:space="preserve"> вул. Ів.Лейка,18  </t>
  </si>
  <si>
    <t xml:space="preserve"> вул. Ів.Лейка,20  </t>
  </si>
  <si>
    <t xml:space="preserve"> вул. Привокзальна,10 а </t>
  </si>
  <si>
    <t xml:space="preserve"> вул. Привокзальна,23  </t>
  </si>
  <si>
    <t xml:space="preserve"> вул. Привокзальна,24  </t>
  </si>
  <si>
    <t xml:space="preserve"> вул. Привокзальна,3 а </t>
  </si>
  <si>
    <t xml:space="preserve"> вул. Привокзальна,33  </t>
  </si>
  <si>
    <t xml:space="preserve"> вул. Привокзальна,5  </t>
  </si>
  <si>
    <t xml:space="preserve"> вул. Привокзальна,6  </t>
  </si>
  <si>
    <t xml:space="preserve"> вул. Студентська,1  </t>
  </si>
  <si>
    <t xml:space="preserve"> вул. Студентська,10  </t>
  </si>
  <si>
    <t xml:space="preserve"> вул. Студентська,11  </t>
  </si>
  <si>
    <t xml:space="preserve"> вул. Студентська,13  </t>
  </si>
  <si>
    <t xml:space="preserve"> вул. Студентська,16  </t>
  </si>
  <si>
    <t xml:space="preserve"> вул. Студентська,2  </t>
  </si>
  <si>
    <t xml:space="preserve"> вул. Матросова,36  </t>
  </si>
  <si>
    <t xml:space="preserve"> вул. Матросова,38  </t>
  </si>
  <si>
    <t xml:space="preserve"> вул. Матросова,39  </t>
  </si>
  <si>
    <t xml:space="preserve"> вул. Матросова,40  </t>
  </si>
  <si>
    <t xml:space="preserve"> вул. Мічурина,32  </t>
  </si>
  <si>
    <t xml:space="preserve"> вул. Оборони,1 а </t>
  </si>
  <si>
    <t xml:space="preserve"> вул. Оборони,3 а </t>
  </si>
  <si>
    <t xml:space="preserve"> вул. Оборони,4 а </t>
  </si>
  <si>
    <t xml:space="preserve"> вул. Оборони,6 а </t>
  </si>
  <si>
    <t xml:space="preserve"> вул. Оборони,9  </t>
  </si>
  <si>
    <t xml:space="preserve"> вул. Переїздна,2 а </t>
  </si>
  <si>
    <t xml:space="preserve"> вул. Переїздна,3 б </t>
  </si>
  <si>
    <t xml:space="preserve"> вул. К.Гасієва,17  </t>
  </si>
  <si>
    <t xml:space="preserve"> вул. К.Гасієва,19  </t>
  </si>
  <si>
    <t xml:space="preserve"> вул. К.Гасієва,2 а </t>
  </si>
  <si>
    <t xml:space="preserve"> вул. К.Гасієва,21  </t>
  </si>
  <si>
    <t xml:space="preserve"> вул. К.Гасієва,28  </t>
  </si>
  <si>
    <t xml:space="preserve"> вул. К.Гасієва,30  </t>
  </si>
  <si>
    <t xml:space="preserve"> вул. К.Гасієва,37  </t>
  </si>
  <si>
    <t xml:space="preserve"> вул. К.Гасієва,37 а </t>
  </si>
  <si>
    <t xml:space="preserve"> вул. К.Гасієва,43  </t>
  </si>
  <si>
    <t xml:space="preserve"> вул. К.Гасієва,5  </t>
  </si>
  <si>
    <t xml:space="preserve"> пров. Бригадний,5  </t>
  </si>
  <si>
    <t xml:space="preserve"> пров. Бригадний,5 а </t>
  </si>
  <si>
    <t xml:space="preserve"> пров. Бригадний,7 а </t>
  </si>
  <si>
    <t xml:space="preserve"> пров. Бригадний,9  </t>
  </si>
  <si>
    <t xml:space="preserve">пров. Привокзальний,2  </t>
  </si>
  <si>
    <t xml:space="preserve">пров. Привокзальний,5 а </t>
  </si>
  <si>
    <t xml:space="preserve"> пров. Грушевського,22 а </t>
  </si>
  <si>
    <t xml:space="preserve"> пров. Грушевського,22 б </t>
  </si>
  <si>
    <t xml:space="preserve"> пр-т Гагаріна,1 а </t>
  </si>
  <si>
    <t xml:space="preserve"> вул. Студентська,12  </t>
  </si>
  <si>
    <t xml:space="preserve"> вул. Словянська,1  </t>
  </si>
  <si>
    <t xml:space="preserve"> вул. Словянська,3  </t>
  </si>
  <si>
    <t xml:space="preserve"> вул. Словянська,5  </t>
  </si>
  <si>
    <t xml:space="preserve"> вул. К.Гасієва,32  </t>
  </si>
  <si>
    <t xml:space="preserve"> пров. Бригадний,11  </t>
  </si>
  <si>
    <t xml:space="preserve"> КОМУНАЛЬНЕ ПІДПРИЄМСТВО "ЛИМАНСЬКА СЛУЖБА ЄДИНОГО ЗАМОВНИКА"</t>
  </si>
  <si>
    <t>Затверджую:</t>
  </si>
  <si>
    <t xml:space="preserve">наказом по підприємству від "____" ___________ 2017р. №______ </t>
  </si>
  <si>
    <t>штату кількості</t>
  </si>
  <si>
    <t>одиниць</t>
  </si>
  <si>
    <t>з місячним фондом оплати праці</t>
  </si>
  <si>
    <t>один мільйон  сто вісімдесят  дві тисяч двісті двадцять шість гривень 54 копійки</t>
  </si>
  <si>
    <t>Директор КП "Лиманська СЄЗ"</t>
  </si>
  <si>
    <t>______________ Д.О. Неклеса</t>
  </si>
  <si>
    <t>"___" ________ 2017р.</t>
  </si>
  <si>
    <t>ШТАТНИЙ РОЗПИС НА 2018 РІК</t>
  </si>
  <si>
    <t>Код за КП ДК003:2010</t>
  </si>
  <si>
    <t>розряд</t>
  </si>
  <si>
    <t>Кіл-ть штат. одиниць</t>
  </si>
  <si>
    <t>Посадовий оклад</t>
  </si>
  <si>
    <t>шкідливість</t>
  </si>
  <si>
    <t>нічні</t>
  </si>
  <si>
    <t>класність</t>
  </si>
  <si>
    <t>доплати</t>
  </si>
  <si>
    <t>премія</t>
  </si>
  <si>
    <t>ненормованість</t>
  </si>
  <si>
    <t>Місячний фонд, грн.</t>
  </si>
  <si>
    <t>Керівництво та Апарат управління керівника</t>
  </si>
  <si>
    <t>Директор</t>
  </si>
  <si>
    <t>1210.1(5)</t>
  </si>
  <si>
    <t>контракт</t>
  </si>
  <si>
    <t>Заступник директор</t>
  </si>
  <si>
    <t>1210.1(67)</t>
  </si>
  <si>
    <t>Головний інженер</t>
  </si>
  <si>
    <t>1229.7(42)</t>
  </si>
  <si>
    <t>1231(2)</t>
  </si>
  <si>
    <t>Бухгалтерія</t>
  </si>
  <si>
    <t>2441.2(3)</t>
  </si>
  <si>
    <t>Бухгалтер</t>
  </si>
  <si>
    <t>2411.2(3)</t>
  </si>
  <si>
    <t>Юрист</t>
  </si>
  <si>
    <t>2421.2(15)</t>
  </si>
  <si>
    <t>Абонентська служба</t>
  </si>
  <si>
    <t>Прес-секретар</t>
  </si>
  <si>
    <t>1234(3)</t>
  </si>
  <si>
    <t>Відділ кадрів</t>
  </si>
  <si>
    <t>Інспектор з кадрів</t>
  </si>
  <si>
    <t>3423(2)</t>
  </si>
  <si>
    <t>Техничний відділ</t>
  </si>
  <si>
    <t>Інженер (кошторисник)</t>
  </si>
  <si>
    <t>2149.2(48)</t>
  </si>
  <si>
    <t>Інженер з Охорони Праці</t>
  </si>
  <si>
    <t>2149.2(51)</t>
  </si>
  <si>
    <t>1222.2(17)</t>
  </si>
  <si>
    <t>Реєстратор</t>
  </si>
  <si>
    <t>4222(9)</t>
  </si>
  <si>
    <t>Секретар</t>
  </si>
  <si>
    <t>4115(3)</t>
  </si>
  <si>
    <t>Автогараж</t>
  </si>
  <si>
    <t>Водій автотранспортних засобів</t>
  </si>
  <si>
    <t>8322.2</t>
  </si>
  <si>
    <t>Диспетчерська служба</t>
  </si>
  <si>
    <t>оператор диспетчерської служби</t>
  </si>
  <si>
    <t>4133(23)</t>
  </si>
  <si>
    <t>Транспортний цех</t>
  </si>
  <si>
    <t>Головний механік</t>
  </si>
  <si>
    <t>1222.1(3)</t>
  </si>
  <si>
    <t>механік по випуску</t>
  </si>
  <si>
    <t>3115(5)</t>
  </si>
  <si>
    <t>ИТОГО по АУРу</t>
  </si>
  <si>
    <t>Виробничий персонал</t>
  </si>
  <si>
    <t>Двірник</t>
  </si>
  <si>
    <t>Прибиральник службових приміщень</t>
  </si>
  <si>
    <t>9132(7)</t>
  </si>
  <si>
    <t>Слюсар-сантехнік</t>
  </si>
  <si>
    <t>7136.2(16)</t>
  </si>
  <si>
    <t>Газозварник</t>
  </si>
  <si>
    <t>7212.1(7)</t>
  </si>
  <si>
    <t>Електромонтер контактної мережі</t>
  </si>
  <si>
    <t>7241.1(40)</t>
  </si>
  <si>
    <t>7422.2(11)</t>
  </si>
  <si>
    <t>Покрівельник рулонних покрівель</t>
  </si>
  <si>
    <t>7131.2</t>
  </si>
  <si>
    <t>Муляр</t>
  </si>
  <si>
    <t>7122.2</t>
  </si>
  <si>
    <t>Штукатур</t>
  </si>
  <si>
    <t>7133.2(4)</t>
  </si>
  <si>
    <t>Підсобний робітник</t>
  </si>
  <si>
    <t>9322(177)</t>
  </si>
  <si>
    <t>Тесляр</t>
  </si>
  <si>
    <t>7124.2(2)</t>
  </si>
  <si>
    <t>електромеханік з ліфтів</t>
  </si>
  <si>
    <t>7241.2(28)</t>
  </si>
  <si>
    <t>сестра медична</t>
  </si>
  <si>
    <t>3231(2)</t>
  </si>
  <si>
    <t>водій автомобіля 2, 1 класу (автобуси)</t>
  </si>
  <si>
    <t>8323.2(2)</t>
  </si>
  <si>
    <t>Авторемонтник</t>
  </si>
  <si>
    <t>7575(1)</t>
  </si>
  <si>
    <t>Сторож</t>
  </si>
  <si>
    <t>9152(4)</t>
  </si>
  <si>
    <t>Всього по виробничому персоналу</t>
  </si>
  <si>
    <t>Загалом по штату</t>
  </si>
  <si>
    <t>Економіст КП "Лиманська СЄЗ"                                                                                                        Н.М.Помятун</t>
  </si>
  <si>
    <t xml:space="preserve"> вул. Студентська,12 (для мешканців 1-го поверху)</t>
  </si>
  <si>
    <t xml:space="preserve"> вул. Словянська,1 (для мешканців 1-го поверху)</t>
  </si>
  <si>
    <t xml:space="preserve"> вул. Словянська,3 (для мешканців 1-го поверху)</t>
  </si>
  <si>
    <t xml:space="preserve"> вул. Словянська,5 (для мешканців 1-го поверху)</t>
  </si>
  <si>
    <t xml:space="preserve"> вул. К.Гасієва,32 (для мешканців 1-го поверху)</t>
  </si>
  <si>
    <t xml:space="preserve"> пров. Бригадний,11 (для мешканців 1-го поверху)</t>
  </si>
  <si>
    <t>Розрахунок витрат на прибирання і вивезення снігу, посипання частини прибудинкової території призначеної для проходу та проїзду, протиожеледними сумішами по КП "Краснолиманська житлово-експлуатаційна контора"</t>
  </si>
  <si>
    <t>Розрахунок витрат на ТО внутрішньобудинковихї систем зливової каналізації по КП "Краснолиманська житлово-експлуатаційна контора"</t>
  </si>
  <si>
    <t>рулонна</t>
  </si>
  <si>
    <t>Тариф на обслуговування димовентканалів, грн</t>
  </si>
  <si>
    <t>Вартість робіт, грн</t>
  </si>
  <si>
    <t>Кількість ліфтів</t>
  </si>
  <si>
    <t>Планові загальновиробничі витрати</t>
  </si>
  <si>
    <t>Планові адміністративні витрати</t>
  </si>
  <si>
    <t>Планові витрати на 2018 рік на послуги з утримання будинків і споруд та прибудинкової території будинків, які знаходяться на балансі КП "Лиманська служба єдиного замовника".</t>
  </si>
  <si>
    <t>т.в.о. директора</t>
  </si>
  <si>
    <t>С.В.Миронюк</t>
  </si>
  <si>
    <t>Розрахунок матеріальних витрат на прибирання прибудинкової території КП "Лиманська служба єдиного замовника".</t>
  </si>
  <si>
    <t xml:space="preserve">Розрахунок витрат на прибирання прибудинкової території по КП "Лиманська служба єдиного замовника".                                                                                                                                      </t>
  </si>
  <si>
    <t>Розрахунок витрат на прибирання і вивезення снігу, посипання частини прибудинкової території призначеної для проходу та проїзду, протиожеледними сумішами по КП "Лиманська служба єдиного замовника".</t>
  </si>
  <si>
    <t>Розрахунок витрат на технічне обслуговування ліфтів по КП "Лиманська служба єдиного замовника".</t>
  </si>
  <si>
    <t>Розрахунок матеріальних витрат на технічне обслуговування мереж теплопостачання по КП "Лиманська служба єдиного замовника".</t>
  </si>
  <si>
    <t>Розрахунок витрат на ТО внутрішньобудинкових систем централізованого опалення по КП "Лиманська служба єдиного замовника".</t>
  </si>
  <si>
    <t>Розрахунок матеріальних витрат на технічне обслуговування мереж водопостачання та водовідведення по КП "Лиманська служба єдиного замовника".</t>
  </si>
  <si>
    <t>Розрахунок матеріальних витрат на технічне обслуговування мереж зливової каналізації по КП "Лиманська служба єдиного замовника".</t>
  </si>
  <si>
    <t>Розрахунок витрат з дератизації по КП "Лиманська служба єдиного замовника".</t>
  </si>
  <si>
    <t>Розрахунок витрат з дезінсекції по КП "Лиманська служба єдиного замовника".</t>
  </si>
  <si>
    <t>С.В. Миронюк</t>
  </si>
  <si>
    <t>Розрахунок витрат на обслуговування димових та вентиляційних каналів по КП "Лиманська служба єдиного замовника".</t>
  </si>
  <si>
    <t>Розрахунок матеріальних витрат на поточний ремонт мереж водопостачання та водовідведення по КП "Лиманська служба єдиного замовника".</t>
  </si>
  <si>
    <t>Розрахунок матеріальних витрат на поточний ремонт мереж теплопостачання по КП "Лиманська служба єдиного замовника".</t>
  </si>
  <si>
    <t>Розрахунок витрат на поточний ремонт внутрішньобудинкових систем централізованого опалення по КП "Лиманська служба єдиного замовника".</t>
  </si>
  <si>
    <t>Розрахунок матеріальних витрат на поточний ремонт електричних мереж по КП "Лиманська служба єдиного замовника".</t>
  </si>
  <si>
    <t>Розрахунок витрат на поточний ремонт внутрішньобудинкових  систем електричних мереж по КП "Лиманська служба єдиного замовника".</t>
  </si>
  <si>
    <t>Розрахунок матеріальних витрат на поточний ремонт шиферної та рулонної покрівель по КП "Лиманська служба єдиного замовника".</t>
  </si>
  <si>
    <t>Розрахунок витрат на поточний ремонт рулонної та шиферної покрівлі по КП "Лиманська служба єдиного замовника".</t>
  </si>
  <si>
    <t>Розрахунок матеріальних витрат на поточний ремонт конструктивних елементів по КП "Лиманська служба єдиного замовника".</t>
  </si>
  <si>
    <t>Розрахунок витрат на поточний ремонт конструктивних елементів по КП "Лиманська служба єдиного замовника".</t>
  </si>
  <si>
    <t>Розрахунок витрат на освітлення місць загального користування по КП "Лиманська служба єдиного замовника".</t>
  </si>
  <si>
    <t>КП "Лиманська служба єдиного замовника".</t>
  </si>
  <si>
    <t>Розрахунок витрат на ТО внутрішньобудинкових систем холодного водопостачання, водовідведення по КП "Лиманська служба єдиного замовника".</t>
  </si>
  <si>
    <t>Розрахунок витрат на поточний ремонт внутрішньобудинкових систем холодного водопостачання, водовідведення по КП "Лиманська служба єдиного замовника".</t>
  </si>
  <si>
    <t>Костюм бавовняний</t>
  </si>
  <si>
    <t xml:space="preserve">Сигнальний жилет </t>
  </si>
  <si>
    <t>Плащ з капюшоном</t>
  </si>
  <si>
    <t>Куртка утеплена</t>
  </si>
  <si>
    <t>Фартух</t>
  </si>
  <si>
    <t>* - В розрахунку враховані ціни 2018 року відповідно до прайсу фірми "Спецкомплект".</t>
  </si>
  <si>
    <t>Штани утеплені</t>
  </si>
  <si>
    <t>Рукавиці брзентові</t>
  </si>
  <si>
    <t>Калоші діелектричні</t>
  </si>
  <si>
    <t>Штани брезентові</t>
  </si>
  <si>
    <t>Наколінникки брезентові</t>
  </si>
  <si>
    <t>Куртка бавовняна</t>
  </si>
  <si>
    <t>Черевики зимові</t>
  </si>
  <si>
    <t>Комбінезон бавовняний</t>
  </si>
  <si>
    <t>Распіратор</t>
  </si>
  <si>
    <t>Тариф на електроенергію на 2018 рік, грн</t>
  </si>
  <si>
    <t>Матеріали нас суму факту 2017 року</t>
  </si>
  <si>
    <t>Викрутки ( набір 3 шт)</t>
  </si>
  <si>
    <t>Н.М. Помятун</t>
  </si>
  <si>
    <t>Н.М.Помятун</t>
  </si>
  <si>
    <t>Адреса</t>
  </si>
  <si>
    <t>м. Лиман, провул. Телеграфний</t>
  </si>
  <si>
    <t>Смт. Зарічне, вул. Довга,1а</t>
  </si>
  <si>
    <t>Смт. Новоселівка, вул.Українська</t>
  </si>
  <si>
    <t>Дані про розміщення громадських вбиралень Лиманська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</si>
</sst>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\ _₽"/>
  </numFmts>
  <fonts count="62" x14ac:knownFonts="1">
    <font>
      <sz val="10"/>
      <name val="Arial"/>
    </font>
    <font>
      <sz val="8"/>
      <color indexed="8"/>
      <name val="MS Sans Serif"/>
      <family val="2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MS Sans Serif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MS Sans Serif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MS Sans Serif"/>
      <family val="2"/>
      <charset val="204"/>
    </font>
    <font>
      <sz val="11"/>
      <color theme="1"/>
      <name val="Calibri"/>
      <family val="2"/>
      <scheme val="minor"/>
    </font>
    <font>
      <sz val="8"/>
      <color indexed="6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MS Sans Serif"/>
      <family val="2"/>
      <charset val="204"/>
    </font>
    <font>
      <sz val="7"/>
      <color indexed="64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59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color indexed="8"/>
      <name val="MS Sans Serif"/>
      <family val="2"/>
      <charset val="204"/>
    </font>
    <font>
      <b/>
      <sz val="13"/>
      <color indexed="8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36" fillId="0" borderId="0"/>
    <xf numFmtId="0" fontId="25" fillId="5" borderId="0">
      <alignment horizontal="right" vertical="top"/>
    </xf>
    <xf numFmtId="0" fontId="25" fillId="5" borderId="0">
      <alignment horizontal="right" vertical="top"/>
    </xf>
  </cellStyleXfs>
  <cellXfs count="553"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5" fillId="0" borderId="0" xfId="0" applyFont="1" applyFill="1"/>
    <xf numFmtId="2" fontId="19" fillId="0" borderId="3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2" fontId="18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center" vertical="center"/>
    </xf>
    <xf numFmtId="2" fontId="17" fillId="0" borderId="3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" fontId="16" fillId="0" borderId="0" xfId="0" applyNumberFormat="1" applyFont="1" applyFill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3" xfId="1" applyFont="1" applyBorder="1" applyAlignment="1">
      <alignment horizontal="left" vertical="center"/>
    </xf>
    <xf numFmtId="2" fontId="17" fillId="0" borderId="3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2" fontId="30" fillId="0" borderId="15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49" fontId="11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vertical="justify" wrapText="1"/>
    </xf>
    <xf numFmtId="4" fontId="6" fillId="0" borderId="3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 indent="1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justify" indent="1"/>
    </xf>
    <xf numFmtId="2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 indent="1"/>
    </xf>
    <xf numFmtId="2" fontId="5" fillId="0" borderId="0" xfId="0" applyNumberFormat="1" applyFont="1" applyFill="1" applyBorder="1" applyAlignment="1">
      <alignment horizontal="right" wrapText="1"/>
    </xf>
    <xf numFmtId="10" fontId="6" fillId="0" borderId="3" xfId="3" applyNumberFormat="1" applyFont="1" applyFill="1" applyBorder="1" applyAlignment="1">
      <alignment horizontal="left"/>
    </xf>
    <xf numFmtId="2" fontId="6" fillId="0" borderId="3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right"/>
    </xf>
    <xf numFmtId="10" fontId="23" fillId="0" borderId="0" xfId="3" applyNumberFormat="1" applyFont="1" applyFill="1" applyBorder="1" applyAlignment="1">
      <alignment horizontal="left"/>
    </xf>
    <xf numFmtId="10" fontId="23" fillId="0" borderId="0" xfId="3" applyNumberFormat="1" applyFont="1" applyFill="1" applyBorder="1" applyAlignment="1">
      <alignment horizontal="center"/>
    </xf>
    <xf numFmtId="10" fontId="23" fillId="0" borderId="0" xfId="3" applyNumberFormat="1" applyFont="1" applyFill="1" applyBorder="1" applyAlignment="1">
      <alignment horizontal="right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49" fontId="23" fillId="0" borderId="3" xfId="0" applyNumberFormat="1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 wrapText="1"/>
    </xf>
    <xf numFmtId="0" fontId="11" fillId="0" borderId="0" xfId="0" applyFont="1" applyBorder="1"/>
    <xf numFmtId="0" fontId="32" fillId="0" borderId="0" xfId="0" applyFont="1" applyFill="1" applyBorder="1" applyAlignment="1">
      <alignment horizontal="left"/>
    </xf>
    <xf numFmtId="4" fontId="32" fillId="0" borderId="0" xfId="0" applyNumberFormat="1" applyFont="1" applyBorder="1" applyAlignment="1">
      <alignment horizontal="center"/>
    </xf>
    <xf numFmtId="0" fontId="11" fillId="0" borderId="0" xfId="0" applyFont="1" applyFill="1"/>
    <xf numFmtId="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0" xfId="0" applyFont="1" applyFill="1" applyBorder="1" applyAlignment="1"/>
    <xf numFmtId="0" fontId="25" fillId="0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2" fillId="0" borderId="7" xfId="0" applyFont="1" applyFill="1" applyBorder="1" applyAlignment="1">
      <alignment horizont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/>
    <xf numFmtId="49" fontId="5" fillId="0" borderId="3" xfId="0" applyNumberFormat="1" applyFont="1" applyFill="1" applyBorder="1"/>
    <xf numFmtId="49" fontId="6" fillId="4" borderId="3" xfId="0" applyNumberFormat="1" applyFont="1" applyFill="1" applyBorder="1"/>
    <xf numFmtId="4" fontId="6" fillId="4" borderId="12" xfId="0" applyNumberFormat="1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vertical="center" wrapText="1"/>
    </xf>
    <xf numFmtId="4" fontId="33" fillId="4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2" fontId="20" fillId="0" borderId="0" xfId="0" applyNumberFormat="1" applyFont="1" applyAlignment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2" fontId="20" fillId="0" borderId="0" xfId="0" applyNumberFormat="1" applyFont="1" applyAlignment="1">
      <alignment horizontal="center" vertical="center" wrapText="1"/>
    </xf>
    <xf numFmtId="1" fontId="5" fillId="0" borderId="0" xfId="0" applyNumberFormat="1" applyFont="1"/>
    <xf numFmtId="1" fontId="10" fillId="0" borderId="0" xfId="0" applyNumberFormat="1" applyFont="1"/>
    <xf numFmtId="1" fontId="0" fillId="0" borderId="0" xfId="0" applyNumberFormat="1"/>
    <xf numFmtId="1" fontId="12" fillId="0" borderId="0" xfId="0" applyNumberFormat="1" applyFont="1" applyBorder="1"/>
    <xf numFmtId="1" fontId="13" fillId="0" borderId="0" xfId="0" applyNumberFormat="1" applyFont="1"/>
    <xf numFmtId="0" fontId="25" fillId="0" borderId="0" xfId="0" applyFont="1" applyAlignment="1">
      <alignment horizontal="left" vertical="center" wrapText="1"/>
    </xf>
    <xf numFmtId="2" fontId="26" fillId="0" borderId="3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0" fillId="0" borderId="0" xfId="0" applyNumberFormat="1"/>
    <xf numFmtId="1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2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2" fontId="26" fillId="0" borderId="3" xfId="0" applyNumberFormat="1" applyFont="1" applyBorder="1" applyAlignment="1">
      <alignment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2" fontId="28" fillId="0" borderId="3" xfId="0" applyNumberFormat="1" applyFont="1" applyFill="1" applyBorder="1" applyAlignment="1" applyProtection="1">
      <alignment horizontal="center" vertical="top" wrapText="1"/>
    </xf>
    <xf numFmtId="2" fontId="34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top" wrapText="1"/>
    </xf>
    <xf numFmtId="166" fontId="6" fillId="0" borderId="16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0" fillId="0" borderId="0" xfId="0" applyFont="1" applyFill="1" applyAlignment="1">
      <alignment horizontal="center"/>
    </xf>
    <xf numFmtId="0" fontId="4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66" fontId="2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9" fontId="41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4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3" fillId="0" borderId="3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6" fontId="0" fillId="6" borderId="0" xfId="0" applyNumberFormat="1" applyFill="1"/>
    <xf numFmtId="0" fontId="0" fillId="7" borderId="0" xfId="0" applyFill="1"/>
    <xf numFmtId="2" fontId="5" fillId="7" borderId="3" xfId="0" applyNumberFormat="1" applyFont="1" applyFill="1" applyBorder="1" applyAlignment="1">
      <alignment horizontal="center" vertical="center" wrapText="1"/>
    </xf>
    <xf numFmtId="166" fontId="5" fillId="7" borderId="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wrapText="1"/>
    </xf>
    <xf numFmtId="164" fontId="25" fillId="0" borderId="0" xfId="0" applyNumberFormat="1" applyFont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30" fillId="0" borderId="12" xfId="0" applyNumberFormat="1" applyFont="1" applyFill="1" applyBorder="1" applyAlignment="1" applyProtection="1">
      <alignment horizontal="center" vertical="center"/>
    </xf>
    <xf numFmtId="2" fontId="30" fillId="0" borderId="14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top" wrapText="1"/>
    </xf>
    <xf numFmtId="0" fontId="45" fillId="0" borderId="3" xfId="0" applyFont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left" vertical="center" wrapText="1"/>
    </xf>
    <xf numFmtId="2" fontId="45" fillId="0" borderId="3" xfId="0" applyNumberFormat="1" applyFont="1" applyBorder="1" applyAlignment="1">
      <alignment horizontal="center" vertical="center" wrapText="1"/>
    </xf>
    <xf numFmtId="165" fontId="45" fillId="0" borderId="3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5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1" fillId="0" borderId="3" xfId="0" applyNumberFormat="1" applyFont="1" applyFill="1" applyBorder="1" applyAlignment="1" applyProtection="1">
      <alignment horizontal="left" vertical="center" wrapText="1"/>
    </xf>
    <xf numFmtId="2" fontId="50" fillId="0" borderId="3" xfId="0" applyNumberFormat="1" applyFont="1" applyBorder="1" applyAlignment="1">
      <alignment horizontal="center" vertical="center" wrapText="1"/>
    </xf>
    <xf numFmtId="165" fontId="50" fillId="0" borderId="3" xfId="0" applyNumberFormat="1" applyFont="1" applyFill="1" applyBorder="1" applyAlignment="1">
      <alignment horizontal="center" vertical="center" wrapText="1"/>
    </xf>
    <xf numFmtId="164" fontId="50" fillId="0" borderId="3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2" fontId="45" fillId="0" borderId="0" xfId="0" applyNumberFormat="1" applyFont="1" applyAlignment="1">
      <alignment horizontal="center" vertical="center" wrapText="1"/>
    </xf>
    <xf numFmtId="165" fontId="45" fillId="0" borderId="0" xfId="0" applyNumberFormat="1" applyFont="1" applyFill="1" applyAlignment="1">
      <alignment horizontal="center" vertical="center" wrapText="1"/>
    </xf>
    <xf numFmtId="164" fontId="45" fillId="0" borderId="0" xfId="0" applyNumberFormat="1" applyFont="1" applyAlignment="1">
      <alignment horizontal="center" vertical="center" wrapText="1"/>
    </xf>
    <xf numFmtId="164" fontId="50" fillId="0" borderId="0" xfId="0" applyNumberFormat="1" applyFont="1" applyAlignment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left" vertical="top" wrapText="1"/>
    </xf>
    <xf numFmtId="0" fontId="45" fillId="0" borderId="3" xfId="0" applyFont="1" applyFill="1" applyBorder="1" applyAlignment="1">
      <alignment horizontal="center" vertical="center" wrapText="1"/>
    </xf>
    <xf numFmtId="164" fontId="45" fillId="0" borderId="3" xfId="0" applyNumberFormat="1" applyFont="1" applyFill="1" applyBorder="1" applyAlignment="1">
      <alignment horizontal="center" vertical="center" wrapText="1"/>
    </xf>
    <xf numFmtId="2" fontId="45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2" fontId="50" fillId="0" borderId="3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Alignment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vertical="top" wrapText="1"/>
    </xf>
    <xf numFmtId="164" fontId="19" fillId="0" borderId="3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4" fillId="0" borderId="3" xfId="0" applyFont="1" applyBorder="1" applyAlignment="1">
      <alignment horizontal="left" vertical="top" wrapText="1"/>
    </xf>
    <xf numFmtId="0" fontId="55" fillId="0" borderId="3" xfId="0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20" fillId="0" borderId="0" xfId="0" applyFont="1" applyAlignment="1">
      <alignment vertical="center"/>
    </xf>
    <xf numFmtId="164" fontId="19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1" fontId="45" fillId="0" borderId="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1" fontId="45" fillId="0" borderId="3" xfId="0" applyNumberFormat="1" applyFont="1" applyBorder="1" applyAlignment="1">
      <alignment horizontal="center" vertical="center" wrapText="1"/>
    </xf>
    <xf numFmtId="0" fontId="50" fillId="0" borderId="3" xfId="0" applyFont="1" applyBorder="1" applyAlignment="1">
      <alignment horizontal="left" vertical="center" wrapText="1"/>
    </xf>
    <xf numFmtId="2" fontId="50" fillId="0" borderId="3" xfId="0" applyNumberFormat="1" applyFont="1" applyBorder="1" applyAlignment="1">
      <alignment vertical="center" wrapText="1"/>
    </xf>
    <xf numFmtId="1" fontId="50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1" fontId="45" fillId="0" borderId="0" xfId="0" applyNumberFormat="1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2" fontId="20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vertical="center" wrapText="1"/>
    </xf>
    <xf numFmtId="1" fontId="50" fillId="0" borderId="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1" fontId="4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5" fillId="0" borderId="3" xfId="0" applyFont="1" applyBorder="1" applyAlignment="1">
      <alignment vertical="center" wrapText="1"/>
    </xf>
    <xf numFmtId="0" fontId="48" fillId="0" borderId="3" xfId="0" applyFont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" xfId="7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1" fontId="45" fillId="0" borderId="0" xfId="0" applyNumberFormat="1" applyFont="1" applyFill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56" fillId="0" borderId="3" xfId="0" applyFont="1" applyFill="1" applyBorder="1" applyAlignment="1">
      <alignment horizontal="left" wrapText="1"/>
    </xf>
    <xf numFmtId="2" fontId="56" fillId="0" borderId="3" xfId="0" applyNumberFormat="1" applyFont="1" applyBorder="1" applyAlignment="1">
      <alignment horizontal="center" vertical="center"/>
    </xf>
    <xf numFmtId="2" fontId="5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57" fillId="0" borderId="3" xfId="0" applyFont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 wrapText="1"/>
    </xf>
    <xf numFmtId="0" fontId="49" fillId="8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textRotation="90" wrapText="1"/>
    </xf>
    <xf numFmtId="0" fontId="16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6" fillId="0" borderId="10" xfId="0" applyNumberFormat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166" fontId="6" fillId="0" borderId="16" xfId="0" applyNumberFormat="1" applyFont="1" applyFill="1" applyBorder="1" applyAlignment="1">
      <alignment horizontal="center" vertical="center" wrapText="1"/>
    </xf>
    <xf numFmtId="166" fontId="39" fillId="0" borderId="16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0" fillId="0" borderId="3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vertical="center"/>
    </xf>
  </cellXfs>
  <cellStyles count="8">
    <cellStyle name="S6" xfId="7"/>
    <cellStyle name="S7" xfId="6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5;&#1077;&#1088;&#1076;&#1072;&#1082;&#1080;,%20&#1087;&#1086;&#1076;&#1074;&#1072;&#1083;&#1080;,%201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0;&#1056;&#1040;&#1043;&#1054;&#1056;&#1043;/&#1058;&#1072;&#1088;&#1080;&#1092;%20&#1040;&#1088;&#1072;&#1075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2;&#1080;&#1076;&#1080;&#1083;&#1086;/&#1062;&#1080;&#1076;&#1080;&#1083;&#10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3;&#1077;&#1082;&#1090;&#1086;&#1101;&#1085;&#1077;&#1088;&#1075;&#1080;&#1103;%20&#1083;&#1080;&#1092;&#1090;&#1086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86;&#1087;&#1083;&#1077;&#1085;&#1080;&#1077;,%20&#1082;&#1072;&#1085;&#1072;&#1083;&#1080;&#1079;&#1072;&#1094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0;&#1084;.&#1074;&#1077;&#1085;&#1082;158&#107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83;&#1077;&#1082;&#1090;&#1088;&#1086;&#1084;&#1077;&#1088;&#1077;&#1078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3;&#1077;&#1083;&#1082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83;&#1077;&#1082;&#1090;&#1088;&#1086;&#1077;&#1085;&#1077;&#1088;&#1075;&#1110;&#1103;%20&#1102;&#1078;&#1085;&#1072;&#1103;%20&#1089;&#1090;&#1086;&#1088;&#1086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S3">
            <v>426</v>
          </cell>
        </row>
        <row r="5">
          <cell r="S5">
            <v>703</v>
          </cell>
        </row>
        <row r="7">
          <cell r="S7">
            <v>2030.3</v>
          </cell>
        </row>
        <row r="8">
          <cell r="S8">
            <v>2380.3000000000002</v>
          </cell>
        </row>
        <row r="9">
          <cell r="S9">
            <v>3404.3</v>
          </cell>
        </row>
        <row r="11">
          <cell r="S11">
            <v>881.8</v>
          </cell>
        </row>
        <row r="12">
          <cell r="S12">
            <v>353</v>
          </cell>
        </row>
        <row r="13">
          <cell r="S13">
            <v>2172</v>
          </cell>
        </row>
        <row r="14">
          <cell r="S14">
            <v>529</v>
          </cell>
        </row>
        <row r="15">
          <cell r="S15">
            <v>1896.4</v>
          </cell>
        </row>
        <row r="16">
          <cell r="S16">
            <v>1687</v>
          </cell>
        </row>
        <row r="19">
          <cell r="S19">
            <v>152.5</v>
          </cell>
        </row>
        <row r="20">
          <cell r="S20">
            <v>171.5</v>
          </cell>
        </row>
        <row r="21">
          <cell r="S21">
            <v>1015</v>
          </cell>
        </row>
        <row r="23">
          <cell r="S23">
            <v>753.8</v>
          </cell>
        </row>
        <row r="26">
          <cell r="S26">
            <v>1177</v>
          </cell>
        </row>
        <row r="28">
          <cell r="S28">
            <v>939.2</v>
          </cell>
        </row>
        <row r="29">
          <cell r="S29">
            <v>401</v>
          </cell>
        </row>
        <row r="30">
          <cell r="S30">
            <v>383</v>
          </cell>
        </row>
        <row r="33">
          <cell r="S33">
            <v>700</v>
          </cell>
        </row>
        <row r="34">
          <cell r="S34">
            <v>1126.8</v>
          </cell>
        </row>
        <row r="35">
          <cell r="S35">
            <v>1126.8</v>
          </cell>
        </row>
        <row r="39">
          <cell r="S39">
            <v>588.29999999999995</v>
          </cell>
        </row>
        <row r="40">
          <cell r="S40">
            <v>828.4</v>
          </cell>
        </row>
        <row r="43">
          <cell r="S43">
            <v>1512.8</v>
          </cell>
        </row>
        <row r="44">
          <cell r="S44">
            <v>1090.9000000000001</v>
          </cell>
        </row>
        <row r="45">
          <cell r="S45">
            <v>1492</v>
          </cell>
        </row>
        <row r="46">
          <cell r="S46">
            <v>1093</v>
          </cell>
        </row>
        <row r="47">
          <cell r="S47">
            <v>1124.5</v>
          </cell>
        </row>
        <row r="48">
          <cell r="S48">
            <v>903</v>
          </cell>
        </row>
        <row r="49">
          <cell r="S49">
            <v>624</v>
          </cell>
        </row>
        <row r="53">
          <cell r="S53">
            <v>996.7</v>
          </cell>
        </row>
        <row r="55">
          <cell r="S55">
            <v>1686</v>
          </cell>
        </row>
        <row r="56">
          <cell r="S56">
            <v>1086.7</v>
          </cell>
        </row>
        <row r="57">
          <cell r="S57">
            <v>673.6</v>
          </cell>
        </row>
        <row r="58">
          <cell r="S58">
            <v>632</v>
          </cell>
        </row>
        <row r="59">
          <cell r="S59">
            <v>802</v>
          </cell>
        </row>
        <row r="60">
          <cell r="S60">
            <v>1183.5</v>
          </cell>
        </row>
        <row r="63">
          <cell r="S63">
            <v>1265</v>
          </cell>
        </row>
        <row r="65">
          <cell r="S65">
            <v>268</v>
          </cell>
        </row>
        <row r="66">
          <cell r="S66">
            <v>1554</v>
          </cell>
        </row>
        <row r="72">
          <cell r="S72">
            <v>381</v>
          </cell>
        </row>
        <row r="73">
          <cell r="S73">
            <v>869.6</v>
          </cell>
        </row>
        <row r="77">
          <cell r="S77">
            <v>944</v>
          </cell>
        </row>
        <row r="81">
          <cell r="S81">
            <v>945</v>
          </cell>
        </row>
        <row r="84">
          <cell r="S84">
            <v>632</v>
          </cell>
        </row>
        <row r="85">
          <cell r="S85">
            <v>3324.7</v>
          </cell>
        </row>
        <row r="89">
          <cell r="S89">
            <v>786</v>
          </cell>
        </row>
        <row r="94">
          <cell r="S94">
            <v>1249</v>
          </cell>
        </row>
        <row r="98">
          <cell r="S98">
            <v>676.2</v>
          </cell>
        </row>
        <row r="100">
          <cell r="S100">
            <v>2114</v>
          </cell>
        </row>
        <row r="102">
          <cell r="S102">
            <v>2235</v>
          </cell>
        </row>
        <row r="104">
          <cell r="S104">
            <v>1544.6</v>
          </cell>
        </row>
        <row r="107">
          <cell r="S107">
            <v>1317</v>
          </cell>
        </row>
        <row r="110">
          <cell r="S110">
            <v>1335.7</v>
          </cell>
        </row>
        <row r="111">
          <cell r="S111">
            <v>924</v>
          </cell>
        </row>
        <row r="112">
          <cell r="S112">
            <v>1686.3</v>
          </cell>
        </row>
        <row r="113">
          <cell r="S113">
            <v>1813.3</v>
          </cell>
        </row>
        <row r="117">
          <cell r="S117">
            <v>793</v>
          </cell>
        </row>
        <row r="118">
          <cell r="S118">
            <v>2398.1999999999998</v>
          </cell>
        </row>
        <row r="119">
          <cell r="S119">
            <v>1219.7</v>
          </cell>
        </row>
        <row r="120">
          <cell r="S120">
            <v>1219.7</v>
          </cell>
        </row>
        <row r="121">
          <cell r="S121">
            <v>1219.7</v>
          </cell>
        </row>
        <row r="122">
          <cell r="S122">
            <v>268.39999999999998</v>
          </cell>
        </row>
        <row r="124">
          <cell r="S124">
            <v>823</v>
          </cell>
        </row>
        <row r="125">
          <cell r="S125">
            <v>0</v>
          </cell>
        </row>
        <row r="126">
          <cell r="S126">
            <v>891</v>
          </cell>
        </row>
        <row r="128">
          <cell r="S128">
            <v>943</v>
          </cell>
        </row>
        <row r="129">
          <cell r="S129">
            <v>1128</v>
          </cell>
        </row>
        <row r="130">
          <cell r="S130">
            <v>744.25</v>
          </cell>
        </row>
        <row r="132">
          <cell r="S132">
            <v>1143</v>
          </cell>
        </row>
        <row r="133">
          <cell r="S133">
            <v>1116</v>
          </cell>
        </row>
        <row r="134">
          <cell r="S134">
            <v>770.9</v>
          </cell>
        </row>
        <row r="135">
          <cell r="S135">
            <v>827</v>
          </cell>
        </row>
        <row r="136">
          <cell r="S136">
            <v>1386</v>
          </cell>
        </row>
        <row r="145">
          <cell r="S145">
            <v>1019.3</v>
          </cell>
        </row>
        <row r="147">
          <cell r="S147">
            <v>116.5</v>
          </cell>
        </row>
        <row r="149">
          <cell r="S149">
            <v>585</v>
          </cell>
        </row>
        <row r="153">
          <cell r="S153">
            <v>1009</v>
          </cell>
        </row>
        <row r="154">
          <cell r="S154">
            <v>603</v>
          </cell>
        </row>
        <row r="156">
          <cell r="S156">
            <v>1159</v>
          </cell>
        </row>
        <row r="157">
          <cell r="S157">
            <v>1170</v>
          </cell>
        </row>
        <row r="158">
          <cell r="S158">
            <v>1024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г тариф"/>
      <sheetName val="матер1"/>
      <sheetName val="Прибуд. терит"/>
      <sheetName val="Розр.1людгод"/>
      <sheetName val="Приб. підвалів"/>
      <sheetName val="мат сіль"/>
      <sheetName val="сіль"/>
      <sheetName val="то ліфтів"/>
      <sheetName val="матер. тепло"/>
      <sheetName val="ТО тепло"/>
      <sheetName val="мат.вода"/>
      <sheetName val="ТО вода"/>
      <sheetName val="мат. канал"/>
      <sheetName val="ТО злив.кан"/>
      <sheetName val="Дератизац"/>
      <sheetName val="Дезінсекц"/>
      <sheetName val="матеріали дим"/>
      <sheetName val="Димовентканали"/>
      <sheetName val="мат вода"/>
      <sheetName val="ПР вода"/>
      <sheetName val="мат тепло"/>
      <sheetName val="ПР тепло"/>
      <sheetName val="мат елкт"/>
      <sheetName val="ПР елект"/>
      <sheetName val="мат. рул.шиф"/>
      <sheetName val="ПР шиф.рул."/>
      <sheetName val="мат.кон.елем"/>
      <sheetName val="ПР кон.елем"/>
      <sheetName val="Осв. місць заг.кор."/>
      <sheetName val="ЗП НОВ в-во"/>
      <sheetName val="ЗП 92"/>
      <sheetName val="91"/>
      <sheetName val="92"/>
      <sheetName val="Утрмання"/>
      <sheetName val="прямі в-ти"/>
    </sheetNames>
    <sheetDataSet>
      <sheetData sheetId="0" refreshError="1"/>
      <sheetData sheetId="1" refreshError="1"/>
      <sheetData sheetId="2">
        <row r="5">
          <cell r="D5">
            <v>10</v>
          </cell>
        </row>
      </sheetData>
      <sheetData sheetId="3">
        <row r="3">
          <cell r="J3">
            <v>0.73573915695623449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4">
          <cell r="Q14">
            <v>3355.6464000000001</v>
          </cell>
        </row>
        <row r="15">
          <cell r="D15">
            <v>166.08</v>
          </cell>
        </row>
      </sheetData>
      <sheetData sheetId="31" refreshError="1"/>
      <sheetData sheetId="32" refreshError="1"/>
      <sheetData sheetId="33">
        <row r="20">
          <cell r="C20">
            <v>39.786421015923388</v>
          </cell>
        </row>
      </sheetData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г тариф"/>
      <sheetName val="матер1"/>
      <sheetName val="Прибуд. терит"/>
      <sheetName val="Розр.1людгод"/>
      <sheetName val="Приб. підвалів"/>
      <sheetName val="мат сіль"/>
      <sheetName val="сыль"/>
      <sheetName val="то ліфтів"/>
      <sheetName val="матер. тепло"/>
      <sheetName val="ТО тепло"/>
      <sheetName val="мат.вода"/>
      <sheetName val="ТО вода"/>
      <sheetName val="мат. канал"/>
      <sheetName val="ТО злив.кан"/>
      <sheetName val="Дератизац"/>
      <sheetName val="Дезінсекц"/>
      <sheetName val="матДим"/>
      <sheetName val="Димовентканали"/>
      <sheetName val="мат вода"/>
      <sheetName val="ПР вода"/>
      <sheetName val="мат тепло"/>
      <sheetName val="ПР тепло"/>
      <sheetName val="мат елкт"/>
      <sheetName val="ПР елект"/>
      <sheetName val="мат. рул.шиф"/>
      <sheetName val="ПР шиф.рул."/>
      <sheetName val="мат.кон.елем"/>
      <sheetName val="ПР кон.елем"/>
      <sheetName val="Осв. місць заг.кор."/>
      <sheetName val="ЗП НОВ в-во"/>
      <sheetName val="ЗП 92"/>
      <sheetName val="91"/>
      <sheetName val="92"/>
      <sheetName val="Утрмання"/>
      <sheetName val="прямі в-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7">
          <cell r="D47">
            <v>6904</v>
          </cell>
        </row>
      </sheetData>
      <sheetData sheetId="19"/>
      <sheetData sheetId="20"/>
      <sheetData sheetId="21"/>
      <sheetData sheetId="22"/>
      <sheetData sheetId="23"/>
      <sheetData sheetId="24">
        <row r="47">
          <cell r="D47">
            <v>57886</v>
          </cell>
        </row>
      </sheetData>
      <sheetData sheetId="25"/>
      <sheetData sheetId="26">
        <row r="47">
          <cell r="D47">
            <v>43126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20">
          <cell r="C20">
            <v>34.955922127845589</v>
          </cell>
        </row>
      </sheetData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P3">
            <v>6123</v>
          </cell>
        </row>
        <row r="4">
          <cell r="P4">
            <v>2533</v>
          </cell>
        </row>
        <row r="5">
          <cell r="P5">
            <v>8507</v>
          </cell>
        </row>
        <row r="6">
          <cell r="P6">
            <v>2533</v>
          </cell>
        </row>
        <row r="7">
          <cell r="P7">
            <v>4080</v>
          </cell>
        </row>
        <row r="8">
          <cell r="P8">
            <v>4146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5">
          <cell r="D35">
            <v>428</v>
          </cell>
          <cell r="E35">
            <v>74</v>
          </cell>
          <cell r="F35">
            <v>60</v>
          </cell>
        </row>
        <row r="36">
          <cell r="D36">
            <v>333</v>
          </cell>
          <cell r="E36">
            <v>58</v>
          </cell>
          <cell r="F36">
            <v>54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H4">
            <v>16</v>
          </cell>
        </row>
        <row r="5">
          <cell r="H5">
            <v>96</v>
          </cell>
        </row>
        <row r="6">
          <cell r="H6">
            <v>120</v>
          </cell>
        </row>
        <row r="7">
          <cell r="H7">
            <v>96</v>
          </cell>
        </row>
        <row r="8">
          <cell r="H8">
            <v>200</v>
          </cell>
        </row>
        <row r="9">
          <cell r="H9">
            <v>200</v>
          </cell>
        </row>
        <row r="10">
          <cell r="H10">
            <v>270</v>
          </cell>
        </row>
        <row r="11">
          <cell r="H11">
            <v>192</v>
          </cell>
        </row>
        <row r="12">
          <cell r="H12">
            <v>144</v>
          </cell>
        </row>
        <row r="13">
          <cell r="H13">
            <v>10</v>
          </cell>
        </row>
        <row r="14">
          <cell r="H14">
            <v>300</v>
          </cell>
        </row>
        <row r="15">
          <cell r="H15">
            <v>96</v>
          </cell>
        </row>
        <row r="16">
          <cell r="H16">
            <v>138</v>
          </cell>
        </row>
        <row r="17">
          <cell r="H17">
            <v>86</v>
          </cell>
        </row>
        <row r="18">
          <cell r="H18">
            <v>20</v>
          </cell>
        </row>
        <row r="19">
          <cell r="H19">
            <v>12</v>
          </cell>
        </row>
        <row r="20">
          <cell r="H20">
            <v>16</v>
          </cell>
        </row>
        <row r="21">
          <cell r="H21">
            <v>8</v>
          </cell>
        </row>
        <row r="22">
          <cell r="H22">
            <v>120</v>
          </cell>
        </row>
        <row r="23">
          <cell r="H23">
            <v>4</v>
          </cell>
        </row>
        <row r="24">
          <cell r="H24">
            <v>60</v>
          </cell>
        </row>
        <row r="25">
          <cell r="H25">
            <v>12</v>
          </cell>
        </row>
        <row r="26">
          <cell r="H26">
            <v>24</v>
          </cell>
        </row>
        <row r="27">
          <cell r="H27">
            <v>108</v>
          </cell>
        </row>
        <row r="28">
          <cell r="H28">
            <v>240</v>
          </cell>
        </row>
        <row r="29">
          <cell r="H29">
            <v>240</v>
          </cell>
        </row>
        <row r="30">
          <cell r="H30">
            <v>36</v>
          </cell>
        </row>
        <row r="31">
          <cell r="H31">
            <v>36</v>
          </cell>
        </row>
        <row r="32">
          <cell r="H32">
            <v>40</v>
          </cell>
        </row>
        <row r="33">
          <cell r="H33">
            <v>12</v>
          </cell>
        </row>
        <row r="34">
          <cell r="H34">
            <v>80</v>
          </cell>
        </row>
        <row r="35">
          <cell r="H35">
            <v>60</v>
          </cell>
        </row>
        <row r="36">
          <cell r="H36">
            <v>60</v>
          </cell>
        </row>
        <row r="37">
          <cell r="H37">
            <v>48</v>
          </cell>
        </row>
        <row r="38">
          <cell r="H38">
            <v>64</v>
          </cell>
        </row>
        <row r="39">
          <cell r="H39">
            <v>32</v>
          </cell>
        </row>
        <row r="40">
          <cell r="H40">
            <v>72</v>
          </cell>
        </row>
        <row r="41">
          <cell r="H41">
            <v>72</v>
          </cell>
        </row>
        <row r="42">
          <cell r="H42">
            <v>16</v>
          </cell>
        </row>
        <row r="43">
          <cell r="H43">
            <v>48</v>
          </cell>
        </row>
        <row r="44">
          <cell r="H44">
            <v>240</v>
          </cell>
        </row>
        <row r="45">
          <cell r="H45">
            <v>130</v>
          </cell>
        </row>
        <row r="46">
          <cell r="H46">
            <v>100</v>
          </cell>
        </row>
        <row r="47">
          <cell r="H47">
            <v>210</v>
          </cell>
        </row>
        <row r="48">
          <cell r="H48">
            <v>140</v>
          </cell>
        </row>
        <row r="49">
          <cell r="H49">
            <v>200</v>
          </cell>
        </row>
        <row r="50">
          <cell r="H50">
            <v>60</v>
          </cell>
        </row>
        <row r="51">
          <cell r="H51">
            <v>28</v>
          </cell>
        </row>
        <row r="52">
          <cell r="H52">
            <v>36</v>
          </cell>
        </row>
        <row r="53">
          <cell r="H53">
            <v>48</v>
          </cell>
        </row>
        <row r="54">
          <cell r="H54">
            <v>90</v>
          </cell>
        </row>
        <row r="55">
          <cell r="H55">
            <v>80</v>
          </cell>
        </row>
        <row r="56">
          <cell r="H56">
            <v>174</v>
          </cell>
        </row>
        <row r="57">
          <cell r="H57">
            <v>60</v>
          </cell>
        </row>
        <row r="58">
          <cell r="H58">
            <v>132</v>
          </cell>
        </row>
        <row r="59">
          <cell r="H59">
            <v>210</v>
          </cell>
        </row>
        <row r="60">
          <cell r="H60">
            <v>270</v>
          </cell>
        </row>
        <row r="61">
          <cell r="H61">
            <v>210</v>
          </cell>
        </row>
        <row r="62">
          <cell r="H62">
            <v>54</v>
          </cell>
        </row>
        <row r="63">
          <cell r="H63">
            <v>54</v>
          </cell>
        </row>
        <row r="64">
          <cell r="H64">
            <v>210</v>
          </cell>
        </row>
        <row r="65">
          <cell r="H65">
            <v>24</v>
          </cell>
        </row>
        <row r="66">
          <cell r="H66">
            <v>24</v>
          </cell>
        </row>
        <row r="67">
          <cell r="H67">
            <v>195</v>
          </cell>
        </row>
        <row r="68">
          <cell r="H68">
            <v>12</v>
          </cell>
        </row>
        <row r="69">
          <cell r="H69">
            <v>12</v>
          </cell>
        </row>
        <row r="70">
          <cell r="H70">
            <v>48</v>
          </cell>
        </row>
        <row r="71">
          <cell r="H71">
            <v>24</v>
          </cell>
        </row>
        <row r="72">
          <cell r="H72">
            <v>36</v>
          </cell>
        </row>
        <row r="73">
          <cell r="H73">
            <v>60</v>
          </cell>
        </row>
        <row r="74">
          <cell r="H74">
            <v>80</v>
          </cell>
        </row>
        <row r="75">
          <cell r="H75">
            <v>48</v>
          </cell>
        </row>
        <row r="76">
          <cell r="H76">
            <v>48</v>
          </cell>
        </row>
        <row r="77">
          <cell r="H77">
            <v>48</v>
          </cell>
        </row>
        <row r="78">
          <cell r="H78">
            <v>93</v>
          </cell>
        </row>
        <row r="79">
          <cell r="H79">
            <v>96</v>
          </cell>
        </row>
        <row r="80">
          <cell r="H80">
            <v>48</v>
          </cell>
        </row>
        <row r="81">
          <cell r="H81">
            <v>48</v>
          </cell>
        </row>
        <row r="82">
          <cell r="H82">
            <v>54</v>
          </cell>
        </row>
        <row r="83">
          <cell r="H83">
            <v>12</v>
          </cell>
        </row>
        <row r="84">
          <cell r="H84">
            <v>12</v>
          </cell>
        </row>
        <row r="85">
          <cell r="H85">
            <v>72</v>
          </cell>
        </row>
        <row r="86">
          <cell r="H86">
            <v>214</v>
          </cell>
        </row>
        <row r="87">
          <cell r="H87">
            <v>72</v>
          </cell>
        </row>
        <row r="88">
          <cell r="H88">
            <v>8</v>
          </cell>
        </row>
        <row r="89">
          <cell r="H89">
            <v>8</v>
          </cell>
        </row>
        <row r="90">
          <cell r="H90">
            <v>18</v>
          </cell>
        </row>
        <row r="91">
          <cell r="H91">
            <v>12</v>
          </cell>
        </row>
        <row r="92">
          <cell r="H92">
            <v>96</v>
          </cell>
        </row>
        <row r="93">
          <cell r="H93">
            <v>72</v>
          </cell>
        </row>
        <row r="94">
          <cell r="H94">
            <v>72</v>
          </cell>
        </row>
        <row r="95">
          <cell r="H95">
            <v>60</v>
          </cell>
        </row>
        <row r="96">
          <cell r="H96">
            <v>30</v>
          </cell>
        </row>
        <row r="97">
          <cell r="H97">
            <v>16</v>
          </cell>
        </row>
        <row r="98">
          <cell r="H98">
            <v>25</v>
          </cell>
        </row>
        <row r="99">
          <cell r="H99">
            <v>56</v>
          </cell>
        </row>
        <row r="100">
          <cell r="H100">
            <v>16</v>
          </cell>
        </row>
        <row r="101">
          <cell r="H101">
            <v>180</v>
          </cell>
        </row>
        <row r="102">
          <cell r="H102">
            <v>24</v>
          </cell>
        </row>
        <row r="103">
          <cell r="H103">
            <v>110</v>
          </cell>
        </row>
        <row r="104">
          <cell r="H104">
            <v>96</v>
          </cell>
        </row>
        <row r="105">
          <cell r="H105">
            <v>100</v>
          </cell>
        </row>
        <row r="106">
          <cell r="H106">
            <v>24</v>
          </cell>
        </row>
        <row r="107">
          <cell r="H107">
            <v>72</v>
          </cell>
        </row>
        <row r="108">
          <cell r="H108">
            <v>80</v>
          </cell>
        </row>
        <row r="109">
          <cell r="H109">
            <v>210</v>
          </cell>
        </row>
        <row r="110">
          <cell r="H110">
            <v>72</v>
          </cell>
        </row>
        <row r="111">
          <cell r="H111">
            <v>70</v>
          </cell>
        </row>
        <row r="112">
          <cell r="H112">
            <v>144</v>
          </cell>
        </row>
        <row r="113">
          <cell r="H113">
            <v>50</v>
          </cell>
        </row>
        <row r="114">
          <cell r="H114">
            <v>120</v>
          </cell>
        </row>
        <row r="115">
          <cell r="H115">
            <v>24</v>
          </cell>
        </row>
        <row r="116">
          <cell r="H116">
            <v>24</v>
          </cell>
        </row>
        <row r="117">
          <cell r="H117">
            <v>72</v>
          </cell>
        </row>
        <row r="118">
          <cell r="H118">
            <v>60</v>
          </cell>
        </row>
        <row r="119">
          <cell r="H119">
            <v>270</v>
          </cell>
        </row>
        <row r="120">
          <cell r="H120">
            <v>72</v>
          </cell>
        </row>
        <row r="121">
          <cell r="H121">
            <v>72</v>
          </cell>
        </row>
        <row r="122">
          <cell r="H122">
            <v>72</v>
          </cell>
        </row>
        <row r="123">
          <cell r="H123">
            <v>24</v>
          </cell>
        </row>
        <row r="124">
          <cell r="H124">
            <v>210</v>
          </cell>
        </row>
        <row r="125">
          <cell r="H125">
            <v>30</v>
          </cell>
        </row>
        <row r="126">
          <cell r="H126">
            <v>36</v>
          </cell>
        </row>
        <row r="127">
          <cell r="H127">
            <v>96</v>
          </cell>
        </row>
        <row r="128">
          <cell r="H128">
            <v>24</v>
          </cell>
        </row>
        <row r="129">
          <cell r="H129">
            <v>72</v>
          </cell>
        </row>
        <row r="130">
          <cell r="H130">
            <v>84</v>
          </cell>
        </row>
        <row r="131">
          <cell r="H131">
            <v>69</v>
          </cell>
        </row>
        <row r="132">
          <cell r="H132">
            <v>46</v>
          </cell>
        </row>
        <row r="133">
          <cell r="H133">
            <v>144</v>
          </cell>
        </row>
        <row r="134">
          <cell r="H134">
            <v>60</v>
          </cell>
        </row>
        <row r="135">
          <cell r="H135">
            <v>40</v>
          </cell>
        </row>
        <row r="136">
          <cell r="H136">
            <v>60</v>
          </cell>
        </row>
        <row r="137">
          <cell r="H137">
            <v>100</v>
          </cell>
        </row>
        <row r="138">
          <cell r="H138">
            <v>4</v>
          </cell>
        </row>
        <row r="139">
          <cell r="H139">
            <v>4</v>
          </cell>
        </row>
        <row r="140">
          <cell r="H140">
            <v>4</v>
          </cell>
        </row>
        <row r="141">
          <cell r="H141">
            <v>4</v>
          </cell>
        </row>
        <row r="142">
          <cell r="H142">
            <v>24</v>
          </cell>
        </row>
        <row r="143">
          <cell r="H143">
            <v>48</v>
          </cell>
        </row>
        <row r="144">
          <cell r="H144">
            <v>48</v>
          </cell>
        </row>
        <row r="145">
          <cell r="H145">
            <v>24</v>
          </cell>
        </row>
        <row r="146">
          <cell r="H146">
            <v>90</v>
          </cell>
        </row>
        <row r="147">
          <cell r="H147">
            <v>24</v>
          </cell>
        </row>
        <row r="148">
          <cell r="H148">
            <v>16</v>
          </cell>
        </row>
        <row r="149">
          <cell r="H149">
            <v>16</v>
          </cell>
        </row>
        <row r="150">
          <cell r="H150">
            <v>40</v>
          </cell>
        </row>
        <row r="151">
          <cell r="H151">
            <v>54</v>
          </cell>
        </row>
        <row r="152">
          <cell r="H152">
            <v>32</v>
          </cell>
        </row>
        <row r="153">
          <cell r="H153">
            <v>48</v>
          </cell>
        </row>
        <row r="154">
          <cell r="H154">
            <v>144</v>
          </cell>
        </row>
        <row r="155">
          <cell r="H155">
            <v>72</v>
          </cell>
        </row>
        <row r="156">
          <cell r="H156">
            <v>60</v>
          </cell>
        </row>
        <row r="157">
          <cell r="H157">
            <v>60</v>
          </cell>
        </row>
        <row r="158">
          <cell r="H158">
            <v>64</v>
          </cell>
        </row>
        <row r="159">
          <cell r="H159">
            <v>64</v>
          </cell>
        </row>
        <row r="160">
          <cell r="H160">
            <v>80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F2">
            <v>7</v>
          </cell>
        </row>
        <row r="3">
          <cell r="F3">
            <v>7</v>
          </cell>
        </row>
        <row r="4">
          <cell r="F4">
            <v>14</v>
          </cell>
        </row>
        <row r="5">
          <cell r="F5">
            <v>7</v>
          </cell>
        </row>
        <row r="6">
          <cell r="F6">
            <v>7</v>
          </cell>
        </row>
        <row r="7">
          <cell r="F7">
            <v>28</v>
          </cell>
        </row>
        <row r="8">
          <cell r="F8">
            <v>14</v>
          </cell>
        </row>
        <row r="9">
          <cell r="F9">
            <v>14</v>
          </cell>
        </row>
        <row r="10">
          <cell r="F10">
            <v>14</v>
          </cell>
        </row>
        <row r="11">
          <cell r="F11">
            <v>14</v>
          </cell>
        </row>
        <row r="12">
          <cell r="F12">
            <v>14</v>
          </cell>
        </row>
        <row r="13">
          <cell r="F13">
            <v>14</v>
          </cell>
        </row>
        <row r="15">
          <cell r="F15">
            <v>7</v>
          </cell>
        </row>
        <row r="16">
          <cell r="F16">
            <v>21</v>
          </cell>
        </row>
        <row r="17">
          <cell r="F17">
            <v>21</v>
          </cell>
        </row>
        <row r="18">
          <cell r="F18">
            <v>14</v>
          </cell>
        </row>
        <row r="19">
          <cell r="F19">
            <v>14</v>
          </cell>
        </row>
        <row r="20">
          <cell r="F20">
            <v>21</v>
          </cell>
        </row>
        <row r="21">
          <cell r="F21">
            <v>21</v>
          </cell>
        </row>
        <row r="22">
          <cell r="F22">
            <v>21</v>
          </cell>
        </row>
        <row r="23">
          <cell r="F23">
            <v>21</v>
          </cell>
        </row>
        <row r="24">
          <cell r="F24">
            <v>28</v>
          </cell>
        </row>
        <row r="25">
          <cell r="F25">
            <v>28</v>
          </cell>
        </row>
        <row r="26">
          <cell r="F26">
            <v>21</v>
          </cell>
        </row>
        <row r="27">
          <cell r="F27">
            <v>21</v>
          </cell>
        </row>
        <row r="28">
          <cell r="F28">
            <v>21</v>
          </cell>
        </row>
        <row r="29">
          <cell r="F29">
            <v>21</v>
          </cell>
        </row>
        <row r="30">
          <cell r="F30">
            <v>14</v>
          </cell>
        </row>
        <row r="31">
          <cell r="F31">
            <v>14</v>
          </cell>
        </row>
        <row r="32">
          <cell r="F32">
            <v>21</v>
          </cell>
        </row>
        <row r="33">
          <cell r="F33">
            <v>14</v>
          </cell>
        </row>
        <row r="34">
          <cell r="F34">
            <v>7</v>
          </cell>
        </row>
        <row r="35">
          <cell r="F35">
            <v>14</v>
          </cell>
        </row>
        <row r="36">
          <cell r="F36">
            <v>7</v>
          </cell>
        </row>
        <row r="37">
          <cell r="F37">
            <v>21</v>
          </cell>
        </row>
        <row r="38">
          <cell r="F38">
            <v>7</v>
          </cell>
        </row>
        <row r="39">
          <cell r="F39">
            <v>7</v>
          </cell>
        </row>
        <row r="40">
          <cell r="F40">
            <v>7</v>
          </cell>
        </row>
        <row r="41">
          <cell r="F41">
            <v>7</v>
          </cell>
        </row>
        <row r="42">
          <cell r="F42">
            <v>14</v>
          </cell>
        </row>
        <row r="43">
          <cell r="F43">
            <v>14</v>
          </cell>
        </row>
        <row r="44">
          <cell r="F44">
            <v>14</v>
          </cell>
        </row>
        <row r="45">
          <cell r="F45">
            <v>14</v>
          </cell>
        </row>
        <row r="46">
          <cell r="F46">
            <v>28</v>
          </cell>
        </row>
        <row r="47">
          <cell r="F47">
            <v>7</v>
          </cell>
        </row>
        <row r="48">
          <cell r="F48">
            <v>14</v>
          </cell>
        </row>
        <row r="49">
          <cell r="F49">
            <v>21</v>
          </cell>
        </row>
        <row r="50">
          <cell r="F50">
            <v>31.5</v>
          </cell>
        </row>
        <row r="51">
          <cell r="F51">
            <v>10.5</v>
          </cell>
        </row>
        <row r="52">
          <cell r="F52">
            <v>31.5</v>
          </cell>
        </row>
        <row r="53">
          <cell r="F53">
            <v>31.5</v>
          </cell>
        </row>
        <row r="54">
          <cell r="F54">
            <v>21</v>
          </cell>
        </row>
        <row r="55">
          <cell r="F55">
            <v>10.5</v>
          </cell>
        </row>
        <row r="56">
          <cell r="F56">
            <v>21</v>
          </cell>
        </row>
        <row r="57">
          <cell r="F57">
            <v>21</v>
          </cell>
        </row>
        <row r="58">
          <cell r="F58">
            <v>31.5</v>
          </cell>
        </row>
        <row r="59">
          <cell r="F59">
            <v>42</v>
          </cell>
        </row>
        <row r="60">
          <cell r="F60">
            <v>42</v>
          </cell>
        </row>
        <row r="61">
          <cell r="F61">
            <v>21</v>
          </cell>
        </row>
        <row r="62">
          <cell r="F62">
            <v>10.5</v>
          </cell>
        </row>
        <row r="63">
          <cell r="F63">
            <v>21</v>
          </cell>
        </row>
        <row r="64">
          <cell r="F64">
            <v>21</v>
          </cell>
        </row>
        <row r="65">
          <cell r="F65">
            <v>21</v>
          </cell>
        </row>
        <row r="66">
          <cell r="F66">
            <v>42</v>
          </cell>
        </row>
        <row r="67">
          <cell r="F67">
            <v>42</v>
          </cell>
        </row>
        <row r="68">
          <cell r="F68">
            <v>42</v>
          </cell>
        </row>
        <row r="69">
          <cell r="F69">
            <v>42</v>
          </cell>
        </row>
        <row r="70">
          <cell r="F70">
            <v>42</v>
          </cell>
        </row>
        <row r="71">
          <cell r="F71">
            <v>10.5</v>
          </cell>
        </row>
        <row r="72">
          <cell r="F72">
            <v>10.5</v>
          </cell>
        </row>
        <row r="73">
          <cell r="F73">
            <v>21</v>
          </cell>
        </row>
        <row r="74">
          <cell r="F74">
            <v>21</v>
          </cell>
        </row>
        <row r="75">
          <cell r="F75">
            <v>21</v>
          </cell>
        </row>
        <row r="76">
          <cell r="F76">
            <v>52.5</v>
          </cell>
        </row>
        <row r="77">
          <cell r="F77">
            <v>10.5</v>
          </cell>
        </row>
        <row r="78">
          <cell r="F78">
            <v>21</v>
          </cell>
        </row>
        <row r="79">
          <cell r="F79">
            <v>31.5</v>
          </cell>
        </row>
        <row r="80">
          <cell r="F80">
            <v>31.5</v>
          </cell>
        </row>
        <row r="81">
          <cell r="F81">
            <v>31.5</v>
          </cell>
        </row>
        <row r="82">
          <cell r="F82">
            <v>28</v>
          </cell>
        </row>
        <row r="83">
          <cell r="F83">
            <v>28</v>
          </cell>
        </row>
        <row r="84">
          <cell r="F84">
            <v>42</v>
          </cell>
        </row>
        <row r="85">
          <cell r="F85">
            <v>28</v>
          </cell>
        </row>
        <row r="86">
          <cell r="F86">
            <v>84</v>
          </cell>
        </row>
        <row r="87">
          <cell r="F87">
            <v>70</v>
          </cell>
        </row>
        <row r="88">
          <cell r="F88">
            <v>42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42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42</v>
          </cell>
        </row>
        <row r="95">
          <cell r="F95">
            <v>28</v>
          </cell>
        </row>
        <row r="96">
          <cell r="F96">
            <v>28</v>
          </cell>
        </row>
        <row r="97">
          <cell r="F97">
            <v>14</v>
          </cell>
        </row>
        <row r="98">
          <cell r="F98">
            <v>14</v>
          </cell>
        </row>
        <row r="99">
          <cell r="F99">
            <v>42</v>
          </cell>
        </row>
        <row r="100">
          <cell r="F100">
            <v>42</v>
          </cell>
        </row>
        <row r="101">
          <cell r="F101">
            <v>42</v>
          </cell>
        </row>
        <row r="102">
          <cell r="F102">
            <v>28</v>
          </cell>
        </row>
        <row r="103">
          <cell r="F103">
            <v>70</v>
          </cell>
        </row>
        <row r="104">
          <cell r="F104">
            <v>35</v>
          </cell>
        </row>
        <row r="105">
          <cell r="F105">
            <v>105</v>
          </cell>
        </row>
        <row r="106">
          <cell r="F106">
            <v>105</v>
          </cell>
        </row>
        <row r="107">
          <cell r="F107">
            <v>105</v>
          </cell>
        </row>
        <row r="108">
          <cell r="F108">
            <v>70</v>
          </cell>
        </row>
        <row r="109">
          <cell r="F109">
            <v>105</v>
          </cell>
        </row>
        <row r="110">
          <cell r="F110">
            <v>35</v>
          </cell>
        </row>
        <row r="111">
          <cell r="F111">
            <v>70</v>
          </cell>
        </row>
        <row r="112">
          <cell r="F112">
            <v>70</v>
          </cell>
        </row>
        <row r="113">
          <cell r="F113">
            <v>35</v>
          </cell>
        </row>
        <row r="115">
          <cell r="F115">
            <v>35</v>
          </cell>
        </row>
        <row r="116">
          <cell r="F116">
            <v>35</v>
          </cell>
        </row>
        <row r="117">
          <cell r="F117">
            <v>70</v>
          </cell>
        </row>
        <row r="118">
          <cell r="F118">
            <v>87.5</v>
          </cell>
        </row>
        <row r="119">
          <cell r="F119">
            <v>70</v>
          </cell>
        </row>
        <row r="120">
          <cell r="F120">
            <v>105</v>
          </cell>
        </row>
        <row r="121">
          <cell r="F121">
            <v>175</v>
          </cell>
        </row>
        <row r="122">
          <cell r="F122">
            <v>52.5</v>
          </cell>
        </row>
        <row r="123">
          <cell r="F123">
            <v>35</v>
          </cell>
        </row>
        <row r="124">
          <cell r="F124">
            <v>52.5</v>
          </cell>
        </row>
        <row r="125">
          <cell r="F125">
            <v>52.5</v>
          </cell>
        </row>
        <row r="126">
          <cell r="F126">
            <v>35</v>
          </cell>
        </row>
        <row r="127">
          <cell r="F127">
            <v>35</v>
          </cell>
        </row>
        <row r="128">
          <cell r="F128">
            <v>70</v>
          </cell>
        </row>
        <row r="129">
          <cell r="F129">
            <v>105</v>
          </cell>
        </row>
        <row r="130">
          <cell r="F130">
            <v>105</v>
          </cell>
        </row>
        <row r="131">
          <cell r="F131">
            <v>105</v>
          </cell>
        </row>
        <row r="132">
          <cell r="F132">
            <v>87.5</v>
          </cell>
        </row>
        <row r="133">
          <cell r="F133">
            <v>17.5</v>
          </cell>
        </row>
        <row r="134">
          <cell r="F134">
            <v>52.5</v>
          </cell>
        </row>
        <row r="135">
          <cell r="F135">
            <v>105</v>
          </cell>
        </row>
        <row r="136">
          <cell r="F136">
            <v>87.5</v>
          </cell>
        </row>
        <row r="137">
          <cell r="F137">
            <v>70</v>
          </cell>
        </row>
        <row r="138">
          <cell r="F138">
            <v>52.5</v>
          </cell>
        </row>
        <row r="139">
          <cell r="F139">
            <v>70</v>
          </cell>
        </row>
        <row r="140">
          <cell r="F140">
            <v>52.5</v>
          </cell>
        </row>
        <row r="141">
          <cell r="F141">
            <v>70</v>
          </cell>
        </row>
        <row r="142">
          <cell r="F142">
            <v>70</v>
          </cell>
        </row>
        <row r="143">
          <cell r="F143">
            <v>35</v>
          </cell>
        </row>
        <row r="144">
          <cell r="F144">
            <v>140</v>
          </cell>
        </row>
        <row r="145">
          <cell r="F145">
            <v>35</v>
          </cell>
        </row>
        <row r="146">
          <cell r="F146">
            <v>35</v>
          </cell>
        </row>
        <row r="147">
          <cell r="F147">
            <v>35</v>
          </cell>
        </row>
        <row r="148">
          <cell r="F148">
            <v>70</v>
          </cell>
        </row>
        <row r="149">
          <cell r="F149">
            <v>35</v>
          </cell>
        </row>
        <row r="150">
          <cell r="F150">
            <v>35</v>
          </cell>
        </row>
        <row r="151">
          <cell r="F151">
            <v>35</v>
          </cell>
        </row>
        <row r="152">
          <cell r="F152">
            <v>35</v>
          </cell>
        </row>
        <row r="153">
          <cell r="F153">
            <v>70</v>
          </cell>
        </row>
        <row r="154">
          <cell r="F154">
            <v>94.5</v>
          </cell>
        </row>
        <row r="155">
          <cell r="F155">
            <v>31.5</v>
          </cell>
        </row>
        <row r="156">
          <cell r="F156">
            <v>94.5</v>
          </cell>
        </row>
        <row r="157">
          <cell r="F157">
            <v>31.5</v>
          </cell>
        </row>
        <row r="158">
          <cell r="F158">
            <v>63</v>
          </cell>
        </row>
        <row r="159">
          <cell r="F159">
            <v>63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H2">
            <v>146.6</v>
          </cell>
        </row>
        <row r="3">
          <cell r="H3">
            <v>146.6</v>
          </cell>
        </row>
        <row r="4">
          <cell r="H4">
            <v>146.6</v>
          </cell>
        </row>
        <row r="5">
          <cell r="H5">
            <v>73.3</v>
          </cell>
        </row>
        <row r="6">
          <cell r="H6">
            <v>73.3</v>
          </cell>
        </row>
        <row r="8">
          <cell r="H8">
            <v>453.13</v>
          </cell>
        </row>
        <row r="10">
          <cell r="H10">
            <v>302.08670000000001</v>
          </cell>
        </row>
        <row r="11">
          <cell r="H11">
            <v>906.26</v>
          </cell>
        </row>
        <row r="12">
          <cell r="H12">
            <v>755.21669999999995</v>
          </cell>
        </row>
        <row r="13">
          <cell r="H13">
            <v>139.9667</v>
          </cell>
        </row>
        <row r="14">
          <cell r="H14">
            <v>73.3</v>
          </cell>
        </row>
        <row r="15">
          <cell r="H15">
            <v>73.3</v>
          </cell>
        </row>
        <row r="16">
          <cell r="H16">
            <v>146.6</v>
          </cell>
        </row>
        <row r="17">
          <cell r="H17">
            <v>302.08670000000001</v>
          </cell>
        </row>
        <row r="18">
          <cell r="H18">
            <v>328.75330000000002</v>
          </cell>
        </row>
        <row r="19">
          <cell r="H19">
            <v>302.08670000000001</v>
          </cell>
        </row>
        <row r="20">
          <cell r="H20">
            <v>986.26</v>
          </cell>
        </row>
        <row r="21">
          <cell r="H21">
            <v>1060</v>
          </cell>
        </row>
        <row r="22">
          <cell r="H22">
            <v>986.26</v>
          </cell>
        </row>
        <row r="23">
          <cell r="H23">
            <v>657.50670000000002</v>
          </cell>
        </row>
        <row r="24">
          <cell r="H24">
            <v>1060</v>
          </cell>
        </row>
        <row r="25">
          <cell r="H25">
            <v>302.08670000000001</v>
          </cell>
        </row>
        <row r="26">
          <cell r="H26">
            <v>302.08670000000001</v>
          </cell>
        </row>
        <row r="27">
          <cell r="H27">
            <v>657.50670000000002</v>
          </cell>
        </row>
        <row r="28">
          <cell r="H28">
            <v>559.86670000000004</v>
          </cell>
        </row>
        <row r="29">
          <cell r="H29">
            <v>559.86670000000004</v>
          </cell>
        </row>
        <row r="30">
          <cell r="H30">
            <v>1315.0133000000001</v>
          </cell>
        </row>
        <row r="31">
          <cell r="H31">
            <v>559.86670000000004</v>
          </cell>
        </row>
        <row r="32">
          <cell r="H32">
            <v>559.86670000000004</v>
          </cell>
        </row>
        <row r="33">
          <cell r="H33">
            <v>559.86670000000004</v>
          </cell>
        </row>
        <row r="34">
          <cell r="H34">
            <v>559.86670000000004</v>
          </cell>
        </row>
        <row r="35">
          <cell r="H35">
            <v>559.86670000000004</v>
          </cell>
        </row>
        <row r="37">
          <cell r="H37">
            <v>139.9667</v>
          </cell>
        </row>
        <row r="38">
          <cell r="H38">
            <v>279.93330000000003</v>
          </cell>
        </row>
        <row r="39">
          <cell r="H39">
            <v>73.3</v>
          </cell>
        </row>
        <row r="40">
          <cell r="H40">
            <v>279.93330000000003</v>
          </cell>
        </row>
        <row r="41">
          <cell r="H41">
            <v>146.6</v>
          </cell>
        </row>
        <row r="43">
          <cell r="H43">
            <v>73.3</v>
          </cell>
        </row>
        <row r="44">
          <cell r="H44">
            <v>821.88329999999996</v>
          </cell>
        </row>
        <row r="46">
          <cell r="H46">
            <v>219.9</v>
          </cell>
        </row>
        <row r="47">
          <cell r="H47">
            <v>279.93330000000003</v>
          </cell>
        </row>
        <row r="48">
          <cell r="H48">
            <v>493.13</v>
          </cell>
        </row>
        <row r="50">
          <cell r="H50">
            <v>1880.42</v>
          </cell>
        </row>
        <row r="51">
          <cell r="H51">
            <v>657.50670000000002</v>
          </cell>
        </row>
        <row r="52">
          <cell r="H52">
            <v>757.50670000000002</v>
          </cell>
        </row>
        <row r="53">
          <cell r="H53">
            <v>151.04330000000002</v>
          </cell>
        </row>
        <row r="54">
          <cell r="H54">
            <v>151.04330000000002</v>
          </cell>
        </row>
        <row r="56">
          <cell r="H56">
            <v>146.6</v>
          </cell>
        </row>
        <row r="57">
          <cell r="H57">
            <v>146.6</v>
          </cell>
        </row>
        <row r="58">
          <cell r="H58">
            <v>146.6</v>
          </cell>
        </row>
        <row r="59">
          <cell r="H59">
            <v>453.13</v>
          </cell>
        </row>
        <row r="60">
          <cell r="H60">
            <v>146.6</v>
          </cell>
        </row>
        <row r="62">
          <cell r="H62">
            <v>419.9</v>
          </cell>
        </row>
        <row r="63">
          <cell r="H63">
            <v>219.9</v>
          </cell>
        </row>
        <row r="64">
          <cell r="H64">
            <v>219.9</v>
          </cell>
        </row>
        <row r="65">
          <cell r="H65">
            <v>279.93330000000003</v>
          </cell>
        </row>
        <row r="66">
          <cell r="H66">
            <v>199.9</v>
          </cell>
        </row>
        <row r="67">
          <cell r="H67">
            <v>73.3</v>
          </cell>
        </row>
        <row r="68">
          <cell r="H68">
            <v>151.04330000000002</v>
          </cell>
        </row>
        <row r="72">
          <cell r="H72">
            <v>493.13</v>
          </cell>
        </row>
        <row r="74">
          <cell r="H74">
            <v>453.13</v>
          </cell>
        </row>
        <row r="75">
          <cell r="H75">
            <v>328.75330000000002</v>
          </cell>
        </row>
        <row r="76">
          <cell r="H76">
            <v>657.50670000000002</v>
          </cell>
        </row>
        <row r="78">
          <cell r="H78">
            <v>986.26</v>
          </cell>
        </row>
        <row r="79">
          <cell r="H79">
            <v>219.9</v>
          </cell>
        </row>
        <row r="80">
          <cell r="H80">
            <v>219.9</v>
          </cell>
        </row>
        <row r="81">
          <cell r="H81">
            <v>986.26</v>
          </cell>
        </row>
        <row r="82">
          <cell r="H82">
            <v>146.6</v>
          </cell>
        </row>
        <row r="83">
          <cell r="H83">
            <v>146.6</v>
          </cell>
        </row>
        <row r="84">
          <cell r="H84">
            <v>821.88329999999996</v>
          </cell>
        </row>
        <row r="85">
          <cell r="H85">
            <v>139.9667</v>
          </cell>
        </row>
        <row r="86">
          <cell r="H86">
            <v>164.3767</v>
          </cell>
        </row>
        <row r="88">
          <cell r="H88">
            <v>657.50670000000002</v>
          </cell>
        </row>
        <row r="89">
          <cell r="H89">
            <v>328.75330000000002</v>
          </cell>
        </row>
        <row r="90">
          <cell r="H90">
            <v>328.75330000000002</v>
          </cell>
        </row>
        <row r="91">
          <cell r="H91">
            <v>328.75330000000002</v>
          </cell>
        </row>
        <row r="92">
          <cell r="H92">
            <v>167.2</v>
          </cell>
        </row>
        <row r="93">
          <cell r="H93">
            <v>146.6</v>
          </cell>
        </row>
        <row r="94">
          <cell r="H94">
            <v>453.13</v>
          </cell>
        </row>
        <row r="97">
          <cell r="H97">
            <v>151.04330000000002</v>
          </cell>
        </row>
        <row r="99">
          <cell r="H99">
            <v>328.75330000000002</v>
          </cell>
        </row>
        <row r="100">
          <cell r="H100">
            <v>146.6</v>
          </cell>
        </row>
        <row r="101">
          <cell r="H101">
            <v>279.93330000000003</v>
          </cell>
        </row>
        <row r="102">
          <cell r="H102">
            <v>229.9333</v>
          </cell>
        </row>
        <row r="103">
          <cell r="H103">
            <v>293.2</v>
          </cell>
        </row>
        <row r="104">
          <cell r="H104">
            <v>293.2</v>
          </cell>
        </row>
        <row r="105">
          <cell r="H105">
            <v>219.9</v>
          </cell>
        </row>
        <row r="106">
          <cell r="H106">
            <v>219.9</v>
          </cell>
        </row>
        <row r="107">
          <cell r="H107">
            <v>199.9</v>
          </cell>
        </row>
        <row r="109">
          <cell r="H109">
            <v>219.9</v>
          </cell>
        </row>
        <row r="110">
          <cell r="H110">
            <v>840.21</v>
          </cell>
        </row>
        <row r="111">
          <cell r="H111">
            <v>2220.63</v>
          </cell>
        </row>
        <row r="113">
          <cell r="H113">
            <v>657.50670000000002</v>
          </cell>
        </row>
        <row r="114">
          <cell r="H114">
            <v>1643.7666999999999</v>
          </cell>
        </row>
        <row r="119">
          <cell r="H119">
            <v>493.13</v>
          </cell>
        </row>
        <row r="120">
          <cell r="H120">
            <v>146.6</v>
          </cell>
        </row>
        <row r="121">
          <cell r="H121">
            <v>146.6</v>
          </cell>
        </row>
        <row r="122">
          <cell r="H122">
            <v>219.9</v>
          </cell>
        </row>
        <row r="123">
          <cell r="H123">
            <v>328.75330000000002</v>
          </cell>
        </row>
        <row r="124">
          <cell r="H124">
            <v>328.75330000000002</v>
          </cell>
        </row>
        <row r="126">
          <cell r="H126">
            <v>657.50670000000002</v>
          </cell>
        </row>
        <row r="127">
          <cell r="H127">
            <v>1980.42</v>
          </cell>
        </row>
        <row r="128">
          <cell r="H128">
            <v>73.3</v>
          </cell>
        </row>
        <row r="129">
          <cell r="H129">
            <v>43.3</v>
          </cell>
        </row>
        <row r="130">
          <cell r="H130">
            <v>43.3</v>
          </cell>
        </row>
        <row r="131">
          <cell r="H131">
            <v>43.3</v>
          </cell>
        </row>
        <row r="132">
          <cell r="H132">
            <v>328.75330000000002</v>
          </cell>
        </row>
        <row r="134">
          <cell r="H134">
            <v>453.13</v>
          </cell>
        </row>
        <row r="136">
          <cell r="H136">
            <v>139.9667</v>
          </cell>
        </row>
        <row r="137">
          <cell r="H137">
            <v>146.6</v>
          </cell>
        </row>
        <row r="138">
          <cell r="H138">
            <v>146.6</v>
          </cell>
        </row>
        <row r="139">
          <cell r="H139">
            <v>106.6</v>
          </cell>
        </row>
        <row r="140">
          <cell r="H140">
            <v>73.3</v>
          </cell>
        </row>
        <row r="141">
          <cell r="H141">
            <v>146.6</v>
          </cell>
        </row>
        <row r="142">
          <cell r="H142">
            <v>453.13</v>
          </cell>
        </row>
        <row r="144">
          <cell r="H144">
            <v>328.75330000000002</v>
          </cell>
        </row>
        <row r="145">
          <cell r="H145">
            <v>139.9667</v>
          </cell>
        </row>
        <row r="146">
          <cell r="H146">
            <v>146.6</v>
          </cell>
        </row>
        <row r="147">
          <cell r="H147">
            <v>167.2</v>
          </cell>
        </row>
        <row r="148">
          <cell r="H148">
            <v>328.75330000000002</v>
          </cell>
        </row>
        <row r="150">
          <cell r="H150">
            <v>279.93330000000003</v>
          </cell>
        </row>
        <row r="152">
          <cell r="H152">
            <v>699.83330000000001</v>
          </cell>
        </row>
        <row r="154">
          <cell r="H154">
            <v>302.08670000000001</v>
          </cell>
        </row>
        <row r="155">
          <cell r="H155">
            <v>279.93330000000003</v>
          </cell>
        </row>
        <row r="157">
          <cell r="H157">
            <v>219.9</v>
          </cell>
        </row>
        <row r="158">
          <cell r="H158">
            <v>419.9</v>
          </cell>
        </row>
        <row r="159">
          <cell r="H159">
            <v>419.9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е освещение"/>
      <sheetName val="наружное освещение"/>
      <sheetName val="Общее"/>
    </sheetNames>
    <sheetDataSet>
      <sheetData sheetId="0" refreshError="1"/>
      <sheetData sheetId="1" refreshError="1"/>
      <sheetData sheetId="2">
        <row r="3">
          <cell r="F3">
            <v>394.33</v>
          </cell>
        </row>
        <row r="4">
          <cell r="F4">
            <v>332.51</v>
          </cell>
        </row>
        <row r="5">
          <cell r="F5">
            <v>394.33</v>
          </cell>
        </row>
        <row r="6">
          <cell r="F6">
            <v>332.51</v>
          </cell>
        </row>
        <row r="7">
          <cell r="F7">
            <v>332.51</v>
          </cell>
        </row>
        <row r="8">
          <cell r="F8">
            <v>788.66</v>
          </cell>
        </row>
        <row r="9">
          <cell r="F9">
            <v>394.33</v>
          </cell>
        </row>
        <row r="10">
          <cell r="F10">
            <v>394.33</v>
          </cell>
        </row>
        <row r="11">
          <cell r="F11">
            <v>332.51</v>
          </cell>
        </row>
        <row r="12">
          <cell r="F12">
            <v>332.51</v>
          </cell>
        </row>
        <row r="13">
          <cell r="F13">
            <v>394.33</v>
          </cell>
        </row>
        <row r="14">
          <cell r="F14">
            <v>332.51</v>
          </cell>
        </row>
        <row r="15">
          <cell r="F15">
            <v>456.15</v>
          </cell>
        </row>
        <row r="16">
          <cell r="F16">
            <v>394.33</v>
          </cell>
        </row>
        <row r="17">
          <cell r="F17">
            <v>394.33</v>
          </cell>
        </row>
        <row r="18">
          <cell r="F18">
            <v>332.51</v>
          </cell>
        </row>
        <row r="19">
          <cell r="F19">
            <v>394.33</v>
          </cell>
        </row>
        <row r="20">
          <cell r="F20">
            <v>456.15</v>
          </cell>
        </row>
        <row r="21">
          <cell r="F21">
            <v>548.88000000000011</v>
          </cell>
        </row>
        <row r="22">
          <cell r="F22">
            <v>363.42</v>
          </cell>
        </row>
        <row r="23">
          <cell r="F23">
            <v>363.42</v>
          </cell>
        </row>
        <row r="24">
          <cell r="F24">
            <v>912.3</v>
          </cell>
        </row>
        <row r="25">
          <cell r="F25">
            <v>912.3</v>
          </cell>
        </row>
        <row r="26">
          <cell r="F26">
            <v>548.88000000000011</v>
          </cell>
        </row>
        <row r="27">
          <cell r="F27">
            <v>363.42</v>
          </cell>
        </row>
        <row r="28">
          <cell r="F28">
            <v>456.15</v>
          </cell>
        </row>
        <row r="29">
          <cell r="F29">
            <v>456.15</v>
          </cell>
        </row>
        <row r="30">
          <cell r="F30">
            <v>456.15</v>
          </cell>
        </row>
        <row r="31">
          <cell r="F31">
            <v>912.3</v>
          </cell>
        </row>
        <row r="32">
          <cell r="F32">
            <v>912.3</v>
          </cell>
        </row>
        <row r="33">
          <cell r="F33">
            <v>912.3</v>
          </cell>
        </row>
        <row r="34">
          <cell r="F34">
            <v>912.3</v>
          </cell>
        </row>
        <row r="35">
          <cell r="F35">
            <v>912.3</v>
          </cell>
        </row>
        <row r="36">
          <cell r="F36">
            <v>363.42</v>
          </cell>
        </row>
        <row r="37">
          <cell r="F37">
            <v>456.15</v>
          </cell>
        </row>
        <row r="38">
          <cell r="F38">
            <v>456.15</v>
          </cell>
        </row>
        <row r="39">
          <cell r="F39">
            <v>456.15</v>
          </cell>
        </row>
        <row r="40">
          <cell r="F40">
            <v>1275.72</v>
          </cell>
        </row>
        <row r="41">
          <cell r="F41">
            <v>363.42</v>
          </cell>
        </row>
        <row r="42">
          <cell r="F42">
            <v>456.15</v>
          </cell>
        </row>
        <row r="43">
          <cell r="F43">
            <v>1090.26</v>
          </cell>
        </row>
        <row r="44">
          <cell r="F44">
            <v>548.88000000000011</v>
          </cell>
        </row>
        <row r="45">
          <cell r="F45">
            <v>548.88000000000011</v>
          </cell>
        </row>
        <row r="46">
          <cell r="F46">
            <v>641.61</v>
          </cell>
        </row>
        <row r="47">
          <cell r="F47">
            <v>517.97</v>
          </cell>
        </row>
        <row r="48">
          <cell r="F48">
            <v>517.97</v>
          </cell>
        </row>
        <row r="49">
          <cell r="F49">
            <v>517.97</v>
          </cell>
        </row>
        <row r="50">
          <cell r="F50">
            <v>1553.9099999999999</v>
          </cell>
        </row>
        <row r="51">
          <cell r="F51">
            <v>1430.27</v>
          </cell>
        </row>
        <row r="52">
          <cell r="F52">
            <v>641.61</v>
          </cell>
        </row>
        <row r="53">
          <cell r="F53">
            <v>394.33</v>
          </cell>
        </row>
        <row r="54">
          <cell r="F54">
            <v>394.33</v>
          </cell>
        </row>
        <row r="55">
          <cell r="F55">
            <v>394.33</v>
          </cell>
        </row>
        <row r="56">
          <cell r="F56">
            <v>394.33</v>
          </cell>
        </row>
        <row r="57">
          <cell r="F57">
            <v>641.61</v>
          </cell>
        </row>
        <row r="58">
          <cell r="F58">
            <v>517.97</v>
          </cell>
        </row>
        <row r="59">
          <cell r="F59">
            <v>517.97</v>
          </cell>
        </row>
        <row r="60">
          <cell r="F60">
            <v>394.33</v>
          </cell>
        </row>
        <row r="61">
          <cell r="F61">
            <v>394.33</v>
          </cell>
        </row>
        <row r="62">
          <cell r="F62">
            <v>641.61</v>
          </cell>
        </row>
        <row r="63">
          <cell r="F63">
            <v>517.97</v>
          </cell>
        </row>
        <row r="64">
          <cell r="F64">
            <v>1159.58</v>
          </cell>
        </row>
        <row r="65">
          <cell r="F65">
            <v>579.79</v>
          </cell>
        </row>
        <row r="66">
          <cell r="F66">
            <v>1739.37</v>
          </cell>
        </row>
        <row r="67">
          <cell r="F67">
            <v>1739.37</v>
          </cell>
        </row>
        <row r="68">
          <cell r="F68">
            <v>1739.37</v>
          </cell>
        </row>
        <row r="69">
          <cell r="F69">
            <v>1159.58</v>
          </cell>
        </row>
        <row r="70">
          <cell r="F70">
            <v>1739.37</v>
          </cell>
        </row>
        <row r="71">
          <cell r="F71">
            <v>579.79</v>
          </cell>
        </row>
        <row r="72">
          <cell r="F72">
            <v>1159.58</v>
          </cell>
        </row>
        <row r="73">
          <cell r="F73">
            <v>1159.58</v>
          </cell>
        </row>
        <row r="74">
          <cell r="F74">
            <v>1159.58</v>
          </cell>
        </row>
        <row r="75">
          <cell r="F75">
            <v>579.79</v>
          </cell>
        </row>
        <row r="76">
          <cell r="F76">
            <v>579.79</v>
          </cell>
        </row>
        <row r="77">
          <cell r="F77">
            <v>579.79</v>
          </cell>
        </row>
        <row r="78">
          <cell r="F78">
            <v>1159.58</v>
          </cell>
        </row>
        <row r="79">
          <cell r="F79">
            <v>1584.82</v>
          </cell>
        </row>
        <row r="80">
          <cell r="F80">
            <v>1159.58</v>
          </cell>
        </row>
        <row r="81">
          <cell r="F81">
            <v>1739.37</v>
          </cell>
        </row>
        <row r="82">
          <cell r="F82">
            <v>734.34</v>
          </cell>
        </row>
        <row r="83">
          <cell r="F83">
            <v>2628.26</v>
          </cell>
        </row>
        <row r="84">
          <cell r="F84">
            <v>579.79</v>
          </cell>
        </row>
        <row r="85">
          <cell r="F85">
            <v>734.34</v>
          </cell>
        </row>
        <row r="86">
          <cell r="F86">
            <v>734.34</v>
          </cell>
        </row>
        <row r="87">
          <cell r="F87">
            <v>579.79</v>
          </cell>
        </row>
        <row r="88">
          <cell r="F88">
            <v>425.24</v>
          </cell>
        </row>
        <row r="89">
          <cell r="F89">
            <v>1159.58</v>
          </cell>
        </row>
        <row r="90">
          <cell r="F90">
            <v>1739.37</v>
          </cell>
        </row>
        <row r="91">
          <cell r="F91">
            <v>1584.82</v>
          </cell>
        </row>
        <row r="92">
          <cell r="F92">
            <v>1159.58</v>
          </cell>
        </row>
        <row r="93">
          <cell r="F93">
            <v>1159.58</v>
          </cell>
        </row>
        <row r="94">
          <cell r="F94">
            <v>734.34</v>
          </cell>
        </row>
        <row r="95">
          <cell r="F95">
            <v>734.34</v>
          </cell>
        </row>
        <row r="96">
          <cell r="F96">
            <v>1159.58</v>
          </cell>
        </row>
        <row r="97">
          <cell r="F97">
            <v>1159.58</v>
          </cell>
        </row>
        <row r="98">
          <cell r="F98">
            <v>579.79</v>
          </cell>
        </row>
        <row r="99">
          <cell r="F99">
            <v>2319.16</v>
          </cell>
        </row>
        <row r="100">
          <cell r="F100">
            <v>579.79</v>
          </cell>
        </row>
        <row r="101">
          <cell r="F101">
            <v>579.79</v>
          </cell>
        </row>
        <row r="102">
          <cell r="F102">
            <v>579.79</v>
          </cell>
        </row>
        <row r="103">
          <cell r="F103">
            <v>1159.58</v>
          </cell>
        </row>
        <row r="104">
          <cell r="F104">
            <v>579.79</v>
          </cell>
        </row>
        <row r="105">
          <cell r="F105">
            <v>579.79</v>
          </cell>
        </row>
        <row r="106">
          <cell r="F106">
            <v>1159.58</v>
          </cell>
        </row>
        <row r="107">
          <cell r="F107">
            <v>1105.26</v>
          </cell>
        </row>
        <row r="108">
          <cell r="F108">
            <v>548.88000000000011</v>
          </cell>
        </row>
        <row r="109">
          <cell r="F109">
            <v>1375.9499999999998</v>
          </cell>
        </row>
        <row r="110">
          <cell r="F110">
            <v>548.88000000000011</v>
          </cell>
        </row>
        <row r="111">
          <cell r="F111">
            <v>827.07000000000016</v>
          </cell>
        </row>
        <row r="112">
          <cell r="F112">
            <v>827.07000000000016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sqref="A1:C1"/>
    </sheetView>
  </sheetViews>
  <sheetFormatPr defaultRowHeight="15.75" x14ac:dyDescent="0.2"/>
  <cols>
    <col min="1" max="1" width="6.85546875" style="81" bestFit="1" customWidth="1"/>
    <col min="2" max="2" width="50" style="1" customWidth="1"/>
    <col min="3" max="3" width="36" style="370" customWidth="1"/>
    <col min="5" max="5" width="19.28515625" customWidth="1"/>
  </cols>
  <sheetData>
    <row r="1" spans="1:5" s="101" customFormat="1" ht="48.75" customHeight="1" thickBot="1" x14ac:dyDescent="0.25">
      <c r="A1" s="494" t="s">
        <v>602</v>
      </c>
      <c r="B1" s="494"/>
      <c r="C1" s="494"/>
      <c r="D1" s="102"/>
      <c r="E1" s="102"/>
    </row>
    <row r="2" spans="1:5" ht="10.5" x14ac:dyDescent="0.2">
      <c r="A2" s="497" t="s">
        <v>1</v>
      </c>
      <c r="B2" s="499" t="s">
        <v>0</v>
      </c>
      <c r="C2" s="501" t="s">
        <v>246</v>
      </c>
    </row>
    <row r="3" spans="1:5" ht="19.5" customHeight="1" thickBot="1" x14ac:dyDescent="0.25">
      <c r="A3" s="498"/>
      <c r="B3" s="500"/>
      <c r="C3" s="502"/>
    </row>
    <row r="4" spans="1:5" ht="15" x14ac:dyDescent="0.2">
      <c r="A4" s="373">
        <v>1</v>
      </c>
      <c r="B4" s="374" t="s">
        <v>331</v>
      </c>
      <c r="C4" s="103" t="e">
        <f>'Заг тариф'!#REF!</f>
        <v>#REF!</v>
      </c>
    </row>
    <row r="5" spans="1:5" ht="15" x14ac:dyDescent="0.2">
      <c r="A5" s="104">
        <v>2</v>
      </c>
      <c r="B5" s="328" t="s">
        <v>332</v>
      </c>
      <c r="C5" s="371" t="e">
        <f>'Заг тариф'!#REF!</f>
        <v>#REF!</v>
      </c>
    </row>
    <row r="6" spans="1:5" ht="15" x14ac:dyDescent="0.2">
      <c r="A6" s="104">
        <v>3</v>
      </c>
      <c r="B6" s="328" t="s">
        <v>333</v>
      </c>
      <c r="C6" s="371" t="e">
        <f>'Заг тариф'!#REF!</f>
        <v>#REF!</v>
      </c>
    </row>
    <row r="7" spans="1:5" ht="15" x14ac:dyDescent="0.2">
      <c r="A7" s="104">
        <v>4</v>
      </c>
      <c r="B7" s="328" t="s">
        <v>334</v>
      </c>
      <c r="C7" s="371" t="e">
        <f>'Заг тариф'!#REF!</f>
        <v>#REF!</v>
      </c>
    </row>
    <row r="8" spans="1:5" ht="15" x14ac:dyDescent="0.2">
      <c r="A8" s="104">
        <v>5</v>
      </c>
      <c r="B8" s="328" t="s">
        <v>335</v>
      </c>
      <c r="C8" s="371" t="e">
        <f>'Заг тариф'!#REF!</f>
        <v>#REF!</v>
      </c>
    </row>
    <row r="9" spans="1:5" ht="15" x14ac:dyDescent="0.2">
      <c r="A9" s="104">
        <v>6</v>
      </c>
      <c r="B9" s="328" t="s">
        <v>336</v>
      </c>
      <c r="C9" s="371" t="e">
        <f>'Заг тариф'!#REF!</f>
        <v>#REF!</v>
      </c>
    </row>
    <row r="10" spans="1:5" ht="15" x14ac:dyDescent="0.2">
      <c r="A10" s="329">
        <v>7</v>
      </c>
      <c r="B10" s="328" t="s">
        <v>337</v>
      </c>
      <c r="C10" s="371" t="e">
        <f>'Заг тариф'!#REF!</f>
        <v>#REF!</v>
      </c>
    </row>
    <row r="11" spans="1:5" ht="15" x14ac:dyDescent="0.2">
      <c r="A11" s="329">
        <v>8</v>
      </c>
      <c r="B11" s="328" t="s">
        <v>338</v>
      </c>
      <c r="C11" s="371" t="e">
        <f>'Заг тариф'!#REF!</f>
        <v>#REF!</v>
      </c>
    </row>
    <row r="12" spans="1:5" ht="15" x14ac:dyDescent="0.2">
      <c r="A12" s="104">
        <v>9</v>
      </c>
      <c r="B12" s="328" t="s">
        <v>339</v>
      </c>
      <c r="C12" s="371" t="e">
        <f>'Заг тариф'!#REF!</f>
        <v>#REF!</v>
      </c>
    </row>
    <row r="13" spans="1:5" ht="15" x14ac:dyDescent="0.2">
      <c r="A13" s="329">
        <v>10</v>
      </c>
      <c r="B13" s="328" t="s">
        <v>340</v>
      </c>
      <c r="C13" s="371" t="e">
        <f>'Заг тариф'!#REF!</f>
        <v>#REF!</v>
      </c>
    </row>
    <row r="14" spans="1:5" ht="15" x14ac:dyDescent="0.2">
      <c r="A14" s="104">
        <v>11</v>
      </c>
      <c r="B14" s="328" t="s">
        <v>341</v>
      </c>
      <c r="C14" s="371" t="e">
        <f>'Заг тариф'!#REF!</f>
        <v>#REF!</v>
      </c>
    </row>
    <row r="15" spans="1:5" ht="15" x14ac:dyDescent="0.2">
      <c r="A15" s="329">
        <v>12</v>
      </c>
      <c r="B15" s="328" t="s">
        <v>342</v>
      </c>
      <c r="C15" s="371" t="e">
        <f>'Заг тариф'!#REF!</f>
        <v>#REF!</v>
      </c>
    </row>
    <row r="16" spans="1:5" ht="15" x14ac:dyDescent="0.2">
      <c r="A16" s="329">
        <v>13</v>
      </c>
      <c r="B16" s="328" t="s">
        <v>343</v>
      </c>
      <c r="C16" s="371" t="e">
        <f>'Заг тариф'!#REF!</f>
        <v>#REF!</v>
      </c>
    </row>
    <row r="17" spans="1:3" ht="15" x14ac:dyDescent="0.2">
      <c r="A17" s="329">
        <v>14</v>
      </c>
      <c r="B17" s="328" t="s">
        <v>344</v>
      </c>
      <c r="C17" s="371" t="e">
        <f>'Заг тариф'!#REF!</f>
        <v>#REF!</v>
      </c>
    </row>
    <row r="18" spans="1:3" ht="15" x14ac:dyDescent="0.2">
      <c r="A18" s="329">
        <v>15</v>
      </c>
      <c r="B18" s="328" t="s">
        <v>345</v>
      </c>
      <c r="C18" s="371" t="e">
        <f>'Заг тариф'!#REF!</f>
        <v>#REF!</v>
      </c>
    </row>
    <row r="19" spans="1:3" ht="15" x14ac:dyDescent="0.2">
      <c r="A19" s="329">
        <v>16</v>
      </c>
      <c r="B19" s="328" t="s">
        <v>346</v>
      </c>
      <c r="C19" s="371" t="e">
        <f>'Заг тариф'!#REF!</f>
        <v>#REF!</v>
      </c>
    </row>
    <row r="20" spans="1:3" ht="15" x14ac:dyDescent="0.2">
      <c r="A20" s="329">
        <v>17</v>
      </c>
      <c r="B20" s="328" t="s">
        <v>347</v>
      </c>
      <c r="C20" s="371" t="e">
        <f>'Заг тариф'!#REF!</f>
        <v>#REF!</v>
      </c>
    </row>
    <row r="21" spans="1:3" ht="15" x14ac:dyDescent="0.2">
      <c r="A21" s="329">
        <v>18</v>
      </c>
      <c r="B21" s="328" t="s">
        <v>348</v>
      </c>
      <c r="C21" s="371" t="e">
        <f>'Заг тариф'!#REF!</f>
        <v>#REF!</v>
      </c>
    </row>
    <row r="22" spans="1:3" ht="15" x14ac:dyDescent="0.2">
      <c r="A22" s="329">
        <v>19</v>
      </c>
      <c r="B22" s="328" t="s">
        <v>349</v>
      </c>
      <c r="C22" s="371" t="e">
        <f>'Заг тариф'!#REF!</f>
        <v>#REF!</v>
      </c>
    </row>
    <row r="23" spans="1:3" ht="15" x14ac:dyDescent="0.2">
      <c r="A23" s="329">
        <v>20</v>
      </c>
      <c r="B23" s="328" t="s">
        <v>350</v>
      </c>
      <c r="C23" s="371" t="e">
        <f>'Заг тариф'!#REF!</f>
        <v>#REF!</v>
      </c>
    </row>
    <row r="24" spans="1:3" ht="15" x14ac:dyDescent="0.2">
      <c r="A24" s="329">
        <v>21</v>
      </c>
      <c r="B24" s="328" t="s">
        <v>351</v>
      </c>
      <c r="C24" s="371" t="e">
        <f>'Заг тариф'!#REF!</f>
        <v>#REF!</v>
      </c>
    </row>
    <row r="25" spans="1:3" ht="15" x14ac:dyDescent="0.2">
      <c r="A25" s="329">
        <v>22</v>
      </c>
      <c r="B25" s="328" t="s">
        <v>352</v>
      </c>
      <c r="C25" s="371" t="e">
        <f>'Заг тариф'!#REF!</f>
        <v>#REF!</v>
      </c>
    </row>
    <row r="26" spans="1:3" ht="15" x14ac:dyDescent="0.2">
      <c r="A26" s="329">
        <v>23</v>
      </c>
      <c r="B26" s="328" t="s">
        <v>353</v>
      </c>
      <c r="C26" s="371" t="e">
        <f>'Заг тариф'!#REF!</f>
        <v>#REF!</v>
      </c>
    </row>
    <row r="27" spans="1:3" ht="15" x14ac:dyDescent="0.2">
      <c r="A27" s="329">
        <v>24</v>
      </c>
      <c r="B27" s="328" t="s">
        <v>354</v>
      </c>
      <c r="C27" s="371" t="e">
        <f>'Заг тариф'!#REF!</f>
        <v>#REF!</v>
      </c>
    </row>
    <row r="28" spans="1:3" ht="15" x14ac:dyDescent="0.2">
      <c r="A28" s="329">
        <v>25</v>
      </c>
      <c r="B28" s="328" t="s">
        <v>355</v>
      </c>
      <c r="C28" s="371" t="e">
        <f>'Заг тариф'!#REF!</f>
        <v>#REF!</v>
      </c>
    </row>
    <row r="29" spans="1:3" ht="15" x14ac:dyDescent="0.2">
      <c r="A29" s="329">
        <v>26</v>
      </c>
      <c r="B29" s="328" t="s">
        <v>356</v>
      </c>
      <c r="C29" s="371" t="e">
        <f>'Заг тариф'!#REF!</f>
        <v>#REF!</v>
      </c>
    </row>
    <row r="30" spans="1:3" ht="15" x14ac:dyDescent="0.2">
      <c r="A30" s="329">
        <v>27</v>
      </c>
      <c r="B30" s="328" t="s">
        <v>357</v>
      </c>
      <c r="C30" s="371" t="e">
        <f>'Заг тариф'!#REF!</f>
        <v>#REF!</v>
      </c>
    </row>
    <row r="31" spans="1:3" ht="15" x14ac:dyDescent="0.2">
      <c r="A31" s="329">
        <v>28</v>
      </c>
      <c r="B31" s="328" t="s">
        <v>358</v>
      </c>
      <c r="C31" s="371" t="e">
        <f>'Заг тариф'!#REF!</f>
        <v>#REF!</v>
      </c>
    </row>
    <row r="32" spans="1:3" ht="15" x14ac:dyDescent="0.2">
      <c r="A32" s="329">
        <v>29</v>
      </c>
      <c r="B32" s="328" t="s">
        <v>359</v>
      </c>
      <c r="C32" s="371" t="e">
        <f>'Заг тариф'!#REF!</f>
        <v>#REF!</v>
      </c>
    </row>
    <row r="33" spans="1:3" ht="15" x14ac:dyDescent="0.2">
      <c r="A33" s="329">
        <v>30</v>
      </c>
      <c r="B33" s="328" t="s">
        <v>360</v>
      </c>
      <c r="C33" s="371" t="e">
        <f>'Заг тариф'!#REF!</f>
        <v>#REF!</v>
      </c>
    </row>
    <row r="34" spans="1:3" ht="15" x14ac:dyDescent="0.2">
      <c r="A34" s="329">
        <v>31</v>
      </c>
      <c r="B34" s="328" t="s">
        <v>361</v>
      </c>
      <c r="C34" s="371" t="e">
        <f>'Заг тариф'!#REF!</f>
        <v>#REF!</v>
      </c>
    </row>
    <row r="35" spans="1:3" ht="15" x14ac:dyDescent="0.2">
      <c r="A35" s="329">
        <v>32</v>
      </c>
      <c r="B35" s="328" t="s">
        <v>362</v>
      </c>
      <c r="C35" s="371" t="e">
        <f>'Заг тариф'!#REF!</f>
        <v>#REF!</v>
      </c>
    </row>
    <row r="36" spans="1:3" ht="15" x14ac:dyDescent="0.2">
      <c r="A36" s="329">
        <v>33</v>
      </c>
      <c r="B36" s="328" t="s">
        <v>363</v>
      </c>
      <c r="C36" s="371" t="e">
        <f>'Заг тариф'!#REF!</f>
        <v>#REF!</v>
      </c>
    </row>
    <row r="37" spans="1:3" ht="15" x14ac:dyDescent="0.2">
      <c r="A37" s="329">
        <v>34</v>
      </c>
      <c r="B37" s="328" t="s">
        <v>364</v>
      </c>
      <c r="C37" s="371" t="e">
        <f>'Заг тариф'!#REF!</f>
        <v>#REF!</v>
      </c>
    </row>
    <row r="38" spans="1:3" ht="15" x14ac:dyDescent="0.2">
      <c r="A38" s="329">
        <v>35</v>
      </c>
      <c r="B38" s="328" t="s">
        <v>365</v>
      </c>
      <c r="C38" s="371" t="e">
        <f>'Заг тариф'!#REF!</f>
        <v>#REF!</v>
      </c>
    </row>
    <row r="39" spans="1:3" ht="15" x14ac:dyDescent="0.2">
      <c r="A39" s="329">
        <v>36</v>
      </c>
      <c r="B39" s="328" t="s">
        <v>366</v>
      </c>
      <c r="C39" s="371" t="e">
        <f>'Заг тариф'!#REF!</f>
        <v>#REF!</v>
      </c>
    </row>
    <row r="40" spans="1:3" ht="15" x14ac:dyDescent="0.2">
      <c r="A40" s="329">
        <v>37</v>
      </c>
      <c r="B40" s="328" t="s">
        <v>367</v>
      </c>
      <c r="C40" s="371" t="e">
        <f>'Заг тариф'!#REF!</f>
        <v>#REF!</v>
      </c>
    </row>
    <row r="41" spans="1:3" ht="15" x14ac:dyDescent="0.2">
      <c r="A41" s="329">
        <v>38</v>
      </c>
      <c r="B41" s="328" t="s">
        <v>368</v>
      </c>
      <c r="C41" s="371" t="e">
        <f>'Заг тариф'!#REF!</f>
        <v>#REF!</v>
      </c>
    </row>
    <row r="42" spans="1:3" ht="15" x14ac:dyDescent="0.2">
      <c r="A42" s="329">
        <v>39</v>
      </c>
      <c r="B42" s="328" t="s">
        <v>369</v>
      </c>
      <c r="C42" s="371" t="e">
        <f>'Заг тариф'!#REF!</f>
        <v>#REF!</v>
      </c>
    </row>
    <row r="43" spans="1:3" ht="15" x14ac:dyDescent="0.2">
      <c r="A43" s="329">
        <v>40</v>
      </c>
      <c r="B43" s="328" t="s">
        <v>370</v>
      </c>
      <c r="C43" s="371" t="e">
        <f>'Заг тариф'!#REF!</f>
        <v>#REF!</v>
      </c>
    </row>
    <row r="44" spans="1:3" ht="15" x14ac:dyDescent="0.2">
      <c r="A44" s="329">
        <v>41</v>
      </c>
      <c r="B44" s="328" t="s">
        <v>371</v>
      </c>
      <c r="C44" s="371" t="e">
        <f>'Заг тариф'!#REF!</f>
        <v>#REF!</v>
      </c>
    </row>
    <row r="45" spans="1:3" ht="15" x14ac:dyDescent="0.2">
      <c r="A45" s="329">
        <v>42</v>
      </c>
      <c r="B45" s="328" t="s">
        <v>372</v>
      </c>
      <c r="C45" s="371" t="e">
        <f>'Заг тариф'!#REF!</f>
        <v>#REF!</v>
      </c>
    </row>
    <row r="46" spans="1:3" ht="15" x14ac:dyDescent="0.2">
      <c r="A46" s="329">
        <v>43</v>
      </c>
      <c r="B46" s="328" t="s">
        <v>373</v>
      </c>
      <c r="C46" s="371" t="e">
        <f>'Заг тариф'!#REF!</f>
        <v>#REF!</v>
      </c>
    </row>
    <row r="47" spans="1:3" ht="15" x14ac:dyDescent="0.2">
      <c r="A47" s="329">
        <v>44</v>
      </c>
      <c r="B47" s="328" t="s">
        <v>374</v>
      </c>
      <c r="C47" s="371" t="e">
        <f>'Заг тариф'!#REF!</f>
        <v>#REF!</v>
      </c>
    </row>
    <row r="48" spans="1:3" ht="15" x14ac:dyDescent="0.2">
      <c r="A48" s="329">
        <v>45</v>
      </c>
      <c r="B48" s="328" t="s">
        <v>375</v>
      </c>
      <c r="C48" s="371" t="e">
        <f>'Заг тариф'!#REF!</f>
        <v>#REF!</v>
      </c>
    </row>
    <row r="49" spans="1:3" ht="15" x14ac:dyDescent="0.2">
      <c r="A49" s="104">
        <v>46</v>
      </c>
      <c r="B49" s="328" t="s">
        <v>376</v>
      </c>
      <c r="C49" s="371" t="e">
        <f>'Заг тариф'!#REF!</f>
        <v>#REF!</v>
      </c>
    </row>
    <row r="50" spans="1:3" ht="15" x14ac:dyDescent="0.2">
      <c r="A50" s="329">
        <v>47</v>
      </c>
      <c r="B50" s="328" t="s">
        <v>377</v>
      </c>
      <c r="C50" s="371" t="e">
        <f>'Заг тариф'!#REF!</f>
        <v>#REF!</v>
      </c>
    </row>
    <row r="51" spans="1:3" ht="15" x14ac:dyDescent="0.2">
      <c r="A51" s="329">
        <v>48</v>
      </c>
      <c r="B51" s="328" t="s">
        <v>378</v>
      </c>
      <c r="C51" s="371" t="e">
        <f>'Заг тариф'!#REF!</f>
        <v>#REF!</v>
      </c>
    </row>
    <row r="52" spans="1:3" ht="15" x14ac:dyDescent="0.2">
      <c r="A52" s="329">
        <v>49</v>
      </c>
      <c r="B52" s="328" t="s">
        <v>379</v>
      </c>
      <c r="C52" s="371" t="e">
        <f>'Заг тариф'!#REF!</f>
        <v>#REF!</v>
      </c>
    </row>
    <row r="53" spans="1:3" ht="15" x14ac:dyDescent="0.2">
      <c r="A53" s="329">
        <v>50</v>
      </c>
      <c r="B53" s="328" t="s">
        <v>380</v>
      </c>
      <c r="C53" s="371" t="e">
        <f>'Заг тариф'!#REF!</f>
        <v>#REF!</v>
      </c>
    </row>
    <row r="54" spans="1:3" ht="15" x14ac:dyDescent="0.2">
      <c r="A54" s="329">
        <v>51</v>
      </c>
      <c r="B54" s="328" t="s">
        <v>381</v>
      </c>
      <c r="C54" s="371" t="e">
        <f>'Заг тариф'!#REF!</f>
        <v>#REF!</v>
      </c>
    </row>
    <row r="55" spans="1:3" ht="15" x14ac:dyDescent="0.2">
      <c r="A55" s="329">
        <v>52</v>
      </c>
      <c r="B55" s="328" t="s">
        <v>382</v>
      </c>
      <c r="C55" s="371" t="e">
        <f>'Заг тариф'!#REF!</f>
        <v>#REF!</v>
      </c>
    </row>
    <row r="56" spans="1:3" ht="15" x14ac:dyDescent="0.2">
      <c r="A56" s="329">
        <v>53</v>
      </c>
      <c r="B56" s="328" t="s">
        <v>383</v>
      </c>
      <c r="C56" s="371" t="e">
        <f>'Заг тариф'!#REF!</f>
        <v>#REF!</v>
      </c>
    </row>
    <row r="57" spans="1:3" ht="15" x14ac:dyDescent="0.2">
      <c r="A57" s="329">
        <v>54</v>
      </c>
      <c r="B57" s="328" t="s">
        <v>384</v>
      </c>
      <c r="C57" s="371" t="e">
        <f>'Заг тариф'!#REF!</f>
        <v>#REF!</v>
      </c>
    </row>
    <row r="58" spans="1:3" ht="15" x14ac:dyDescent="0.2">
      <c r="A58" s="104">
        <v>55</v>
      </c>
      <c r="B58" s="328" t="s">
        <v>385</v>
      </c>
      <c r="C58" s="371" t="e">
        <f>'Заг тариф'!#REF!</f>
        <v>#REF!</v>
      </c>
    </row>
    <row r="59" spans="1:3" ht="15" x14ac:dyDescent="0.2">
      <c r="A59" s="329">
        <v>56</v>
      </c>
      <c r="B59" s="328" t="s">
        <v>386</v>
      </c>
      <c r="C59" s="371" t="e">
        <f>'Заг тариф'!#REF!</f>
        <v>#REF!</v>
      </c>
    </row>
    <row r="60" spans="1:3" ht="15" x14ac:dyDescent="0.2">
      <c r="A60" s="104">
        <v>57</v>
      </c>
      <c r="B60" s="328" t="s">
        <v>387</v>
      </c>
      <c r="C60" s="371" t="e">
        <f>'Заг тариф'!#REF!</f>
        <v>#REF!</v>
      </c>
    </row>
    <row r="61" spans="1:3" ht="15" x14ac:dyDescent="0.2">
      <c r="A61" s="329">
        <v>58</v>
      </c>
      <c r="B61" s="328" t="s">
        <v>388</v>
      </c>
      <c r="C61" s="371" t="e">
        <f>'Заг тариф'!#REF!</f>
        <v>#REF!</v>
      </c>
    </row>
    <row r="62" spans="1:3" ht="15" x14ac:dyDescent="0.2">
      <c r="A62" s="104">
        <v>59</v>
      </c>
      <c r="B62" s="328" t="s">
        <v>389</v>
      </c>
      <c r="C62" s="371" t="e">
        <f>'Заг тариф'!#REF!</f>
        <v>#REF!</v>
      </c>
    </row>
    <row r="63" spans="1:3" ht="15" x14ac:dyDescent="0.2">
      <c r="A63" s="329">
        <v>60</v>
      </c>
      <c r="B63" s="328" t="s">
        <v>390</v>
      </c>
      <c r="C63" s="371" t="e">
        <f>'Заг тариф'!#REF!</f>
        <v>#REF!</v>
      </c>
    </row>
    <row r="64" spans="1:3" ht="15" x14ac:dyDescent="0.2">
      <c r="A64" s="104">
        <v>61</v>
      </c>
      <c r="B64" s="328" t="s">
        <v>391</v>
      </c>
      <c r="C64" s="371" t="e">
        <f>'Заг тариф'!#REF!</f>
        <v>#REF!</v>
      </c>
    </row>
    <row r="65" spans="1:3" ht="15" x14ac:dyDescent="0.2">
      <c r="A65" s="104">
        <v>62</v>
      </c>
      <c r="B65" s="328" t="s">
        <v>392</v>
      </c>
      <c r="C65" s="371" t="e">
        <f>'Заг тариф'!#REF!</f>
        <v>#REF!</v>
      </c>
    </row>
    <row r="66" spans="1:3" ht="15" x14ac:dyDescent="0.2">
      <c r="A66" s="104">
        <v>63</v>
      </c>
      <c r="B66" s="328" t="s">
        <v>393</v>
      </c>
      <c r="C66" s="371" t="e">
        <f>'Заг тариф'!#REF!</f>
        <v>#REF!</v>
      </c>
    </row>
    <row r="67" spans="1:3" ht="15" x14ac:dyDescent="0.2">
      <c r="A67" s="104">
        <v>64</v>
      </c>
      <c r="B67" s="328" t="s">
        <v>394</v>
      </c>
      <c r="C67" s="371" t="e">
        <f>'Заг тариф'!#REF!</f>
        <v>#REF!</v>
      </c>
    </row>
    <row r="68" spans="1:3" ht="15" x14ac:dyDescent="0.2">
      <c r="A68" s="104">
        <v>65</v>
      </c>
      <c r="B68" s="328" t="s">
        <v>395</v>
      </c>
      <c r="C68" s="371" t="e">
        <f>'Заг тариф'!#REF!</f>
        <v>#REF!</v>
      </c>
    </row>
    <row r="69" spans="1:3" ht="15" x14ac:dyDescent="0.2">
      <c r="A69" s="104">
        <v>66</v>
      </c>
      <c r="B69" s="328" t="s">
        <v>396</v>
      </c>
      <c r="C69" s="371" t="e">
        <f>'Заг тариф'!#REF!</f>
        <v>#REF!</v>
      </c>
    </row>
    <row r="70" spans="1:3" ht="15" x14ac:dyDescent="0.2">
      <c r="A70" s="104">
        <v>67</v>
      </c>
      <c r="B70" s="328" t="s">
        <v>397</v>
      </c>
      <c r="C70" s="371" t="e">
        <f>'Заг тариф'!#REF!</f>
        <v>#REF!</v>
      </c>
    </row>
    <row r="71" spans="1:3" ht="15" x14ac:dyDescent="0.2">
      <c r="A71" s="104">
        <v>68</v>
      </c>
      <c r="B71" s="328" t="s">
        <v>398</v>
      </c>
      <c r="C71" s="371" t="e">
        <f>'Заг тариф'!#REF!</f>
        <v>#REF!</v>
      </c>
    </row>
    <row r="72" spans="1:3" ht="15" x14ac:dyDescent="0.2">
      <c r="A72" s="104">
        <v>69</v>
      </c>
      <c r="B72" s="328" t="s">
        <v>399</v>
      </c>
      <c r="C72" s="371" t="e">
        <f>'Заг тариф'!#REF!</f>
        <v>#REF!</v>
      </c>
    </row>
    <row r="73" spans="1:3" ht="15" x14ac:dyDescent="0.2">
      <c r="A73" s="104">
        <v>70</v>
      </c>
      <c r="B73" s="328" t="s">
        <v>400</v>
      </c>
      <c r="C73" s="371" t="e">
        <f>'Заг тариф'!#REF!</f>
        <v>#REF!</v>
      </c>
    </row>
    <row r="74" spans="1:3" ht="15" x14ac:dyDescent="0.2">
      <c r="A74" s="104">
        <v>71</v>
      </c>
      <c r="B74" s="328" t="s">
        <v>401</v>
      </c>
      <c r="C74" s="371" t="e">
        <f>'Заг тариф'!#REF!</f>
        <v>#REF!</v>
      </c>
    </row>
    <row r="75" spans="1:3" ht="15" x14ac:dyDescent="0.2">
      <c r="A75" s="104">
        <v>72</v>
      </c>
      <c r="B75" s="328" t="s">
        <v>402</v>
      </c>
      <c r="C75" s="371" t="e">
        <f>'Заг тариф'!#REF!</f>
        <v>#REF!</v>
      </c>
    </row>
    <row r="76" spans="1:3" ht="15" x14ac:dyDescent="0.2">
      <c r="A76" s="104">
        <v>73</v>
      </c>
      <c r="B76" s="328" t="s">
        <v>403</v>
      </c>
      <c r="C76" s="371" t="e">
        <f>'Заг тариф'!#REF!</f>
        <v>#REF!</v>
      </c>
    </row>
    <row r="77" spans="1:3" ht="15" x14ac:dyDescent="0.2">
      <c r="A77" s="104">
        <v>74</v>
      </c>
      <c r="B77" s="328" t="s">
        <v>404</v>
      </c>
      <c r="C77" s="371" t="e">
        <f>'Заг тариф'!#REF!</f>
        <v>#REF!</v>
      </c>
    </row>
    <row r="78" spans="1:3" ht="15" x14ac:dyDescent="0.2">
      <c r="A78" s="104">
        <v>75</v>
      </c>
      <c r="B78" s="328" t="s">
        <v>405</v>
      </c>
      <c r="C78" s="371" t="e">
        <f>'Заг тариф'!#REF!</f>
        <v>#REF!</v>
      </c>
    </row>
    <row r="79" spans="1:3" ht="15" x14ac:dyDescent="0.2">
      <c r="A79" s="104">
        <v>76</v>
      </c>
      <c r="B79" s="328" t="s">
        <v>406</v>
      </c>
      <c r="C79" s="371" t="e">
        <f>'Заг тариф'!#REF!</f>
        <v>#REF!</v>
      </c>
    </row>
    <row r="80" spans="1:3" ht="15" x14ac:dyDescent="0.2">
      <c r="A80" s="104">
        <v>77</v>
      </c>
      <c r="B80" s="328" t="s">
        <v>407</v>
      </c>
      <c r="C80" s="371" t="e">
        <f>'Заг тариф'!#REF!</f>
        <v>#REF!</v>
      </c>
    </row>
    <row r="81" spans="1:3" ht="15" x14ac:dyDescent="0.2">
      <c r="A81" s="104">
        <v>78</v>
      </c>
      <c r="B81" s="328" t="s">
        <v>408</v>
      </c>
      <c r="C81" s="371" t="e">
        <f>'Заг тариф'!#REF!</f>
        <v>#REF!</v>
      </c>
    </row>
    <row r="82" spans="1:3" ht="15" x14ac:dyDescent="0.2">
      <c r="A82" s="104">
        <v>79</v>
      </c>
      <c r="B82" s="328" t="s">
        <v>409</v>
      </c>
      <c r="C82" s="371" t="e">
        <f>'Заг тариф'!#REF!</f>
        <v>#REF!</v>
      </c>
    </row>
    <row r="83" spans="1:3" ht="15" x14ac:dyDescent="0.2">
      <c r="A83" s="104">
        <v>80</v>
      </c>
      <c r="B83" s="328" t="s">
        <v>410</v>
      </c>
      <c r="C83" s="371" t="e">
        <f>'Заг тариф'!#REF!</f>
        <v>#REF!</v>
      </c>
    </row>
    <row r="84" spans="1:3" ht="15" x14ac:dyDescent="0.2">
      <c r="A84" s="104">
        <v>81</v>
      </c>
      <c r="B84" s="328" t="s">
        <v>411</v>
      </c>
      <c r="C84" s="371" t="e">
        <f>'Заг тариф'!#REF!</f>
        <v>#REF!</v>
      </c>
    </row>
    <row r="85" spans="1:3" ht="15" x14ac:dyDescent="0.2">
      <c r="A85" s="104">
        <v>82</v>
      </c>
      <c r="B85" s="328" t="s">
        <v>412</v>
      </c>
      <c r="C85" s="371" t="e">
        <f>'Заг тариф'!#REF!</f>
        <v>#REF!</v>
      </c>
    </row>
    <row r="86" spans="1:3" ht="15" x14ac:dyDescent="0.2">
      <c r="A86" s="104">
        <v>83</v>
      </c>
      <c r="B86" s="328" t="s">
        <v>413</v>
      </c>
      <c r="C86" s="371" t="e">
        <f>'Заг тариф'!#REF!</f>
        <v>#REF!</v>
      </c>
    </row>
    <row r="87" spans="1:3" ht="15" x14ac:dyDescent="0.2">
      <c r="A87" s="104">
        <v>84</v>
      </c>
      <c r="B87" s="328" t="s">
        <v>414</v>
      </c>
      <c r="C87" s="371" t="e">
        <f>'Заг тариф'!#REF!</f>
        <v>#REF!</v>
      </c>
    </row>
    <row r="88" spans="1:3" ht="15" x14ac:dyDescent="0.2">
      <c r="A88" s="104">
        <v>85</v>
      </c>
      <c r="B88" s="328" t="s">
        <v>415</v>
      </c>
      <c r="C88" s="371" t="e">
        <f>'Заг тариф'!#REF!</f>
        <v>#REF!</v>
      </c>
    </row>
    <row r="89" spans="1:3" ht="15" x14ac:dyDescent="0.2">
      <c r="A89" s="104">
        <v>86</v>
      </c>
      <c r="B89" s="328" t="s">
        <v>416</v>
      </c>
      <c r="C89" s="371" t="e">
        <f>'Заг тариф'!#REF!</f>
        <v>#REF!</v>
      </c>
    </row>
    <row r="90" spans="1:3" ht="15" x14ac:dyDescent="0.2">
      <c r="A90" s="104">
        <v>87</v>
      </c>
      <c r="B90" s="328" t="s">
        <v>417</v>
      </c>
      <c r="C90" s="371" t="e">
        <f>'Заг тариф'!#REF!</f>
        <v>#REF!</v>
      </c>
    </row>
    <row r="91" spans="1:3" ht="15" x14ac:dyDescent="0.2">
      <c r="A91" s="104">
        <v>88</v>
      </c>
      <c r="B91" s="328" t="s">
        <v>418</v>
      </c>
      <c r="C91" s="371" t="e">
        <f>'Заг тариф'!#REF!</f>
        <v>#REF!</v>
      </c>
    </row>
    <row r="92" spans="1:3" ht="15" x14ac:dyDescent="0.2">
      <c r="A92" s="104">
        <v>89</v>
      </c>
      <c r="B92" s="328" t="s">
        <v>419</v>
      </c>
      <c r="C92" s="371" t="e">
        <f>'Заг тариф'!#REF!</f>
        <v>#REF!</v>
      </c>
    </row>
    <row r="93" spans="1:3" ht="15" x14ac:dyDescent="0.2">
      <c r="A93" s="104">
        <v>90</v>
      </c>
      <c r="B93" s="328" t="s">
        <v>420</v>
      </c>
      <c r="C93" s="371" t="e">
        <f>'Заг тариф'!#REF!</f>
        <v>#REF!</v>
      </c>
    </row>
    <row r="94" spans="1:3" ht="15" x14ac:dyDescent="0.2">
      <c r="A94" s="104">
        <v>91</v>
      </c>
      <c r="B94" s="328" t="s">
        <v>421</v>
      </c>
      <c r="C94" s="371" t="e">
        <f>'Заг тариф'!#REF!</f>
        <v>#REF!</v>
      </c>
    </row>
    <row r="95" spans="1:3" ht="15" x14ac:dyDescent="0.2">
      <c r="A95" s="104">
        <v>92</v>
      </c>
      <c r="B95" s="328" t="s">
        <v>422</v>
      </c>
      <c r="C95" s="371" t="e">
        <f>'Заг тариф'!#REF!</f>
        <v>#REF!</v>
      </c>
    </row>
    <row r="96" spans="1:3" ht="15" x14ac:dyDescent="0.2">
      <c r="A96" s="104">
        <v>93</v>
      </c>
      <c r="B96" s="328" t="s">
        <v>423</v>
      </c>
      <c r="C96" s="371" t="e">
        <f>'Заг тариф'!#REF!</f>
        <v>#REF!</v>
      </c>
    </row>
    <row r="97" spans="1:3" ht="15" x14ac:dyDescent="0.2">
      <c r="A97" s="104">
        <v>94</v>
      </c>
      <c r="B97" s="328" t="s">
        <v>424</v>
      </c>
      <c r="C97" s="371" t="e">
        <f>'Заг тариф'!#REF!</f>
        <v>#REF!</v>
      </c>
    </row>
    <row r="98" spans="1:3" ht="15" x14ac:dyDescent="0.2">
      <c r="A98" s="104">
        <v>95</v>
      </c>
      <c r="B98" s="328" t="s">
        <v>425</v>
      </c>
      <c r="C98" s="371" t="e">
        <f>'Заг тариф'!#REF!</f>
        <v>#REF!</v>
      </c>
    </row>
    <row r="99" spans="1:3" ht="15" x14ac:dyDescent="0.2">
      <c r="A99" s="104">
        <v>96</v>
      </c>
      <c r="B99" s="328" t="s">
        <v>426</v>
      </c>
      <c r="C99" s="371" t="e">
        <f>'Заг тариф'!#REF!</f>
        <v>#REF!</v>
      </c>
    </row>
    <row r="100" spans="1:3" ht="15" x14ac:dyDescent="0.2">
      <c r="A100" s="104">
        <v>97</v>
      </c>
      <c r="B100" s="328" t="s">
        <v>427</v>
      </c>
      <c r="C100" s="371" t="e">
        <f>'Заг тариф'!#REF!</f>
        <v>#REF!</v>
      </c>
    </row>
    <row r="101" spans="1:3" ht="15" x14ac:dyDescent="0.2">
      <c r="A101" s="104">
        <v>98</v>
      </c>
      <c r="B101" s="328" t="s">
        <v>428</v>
      </c>
      <c r="C101" s="371" t="e">
        <f>'Заг тариф'!#REF!</f>
        <v>#REF!</v>
      </c>
    </row>
    <row r="102" spans="1:3" ht="15" x14ac:dyDescent="0.2">
      <c r="A102" s="104">
        <v>99</v>
      </c>
      <c r="B102" s="328" t="s">
        <v>429</v>
      </c>
      <c r="C102" s="371" t="e">
        <f>'Заг тариф'!#REF!</f>
        <v>#REF!</v>
      </c>
    </row>
    <row r="103" spans="1:3" ht="15" x14ac:dyDescent="0.2">
      <c r="A103" s="104">
        <v>100</v>
      </c>
      <c r="B103" s="328" t="s">
        <v>430</v>
      </c>
      <c r="C103" s="371" t="e">
        <f>'Заг тариф'!#REF!</f>
        <v>#REF!</v>
      </c>
    </row>
    <row r="104" spans="1:3" ht="15" x14ac:dyDescent="0.2">
      <c r="A104" s="104">
        <v>101</v>
      </c>
      <c r="B104" s="328" t="s">
        <v>431</v>
      </c>
      <c r="C104" s="371" t="e">
        <f>'Заг тариф'!#REF!</f>
        <v>#REF!</v>
      </c>
    </row>
    <row r="105" spans="1:3" ht="15" x14ac:dyDescent="0.2">
      <c r="A105" s="104">
        <v>102</v>
      </c>
      <c r="B105" s="328" t="s">
        <v>432</v>
      </c>
      <c r="C105" s="371" t="e">
        <f>'Заг тариф'!#REF!</f>
        <v>#REF!</v>
      </c>
    </row>
    <row r="106" spans="1:3" ht="15" x14ac:dyDescent="0.2">
      <c r="A106" s="104">
        <v>103</v>
      </c>
      <c r="B106" s="328" t="s">
        <v>433</v>
      </c>
      <c r="C106" s="371" t="e">
        <f>'Заг тариф'!#REF!</f>
        <v>#REF!</v>
      </c>
    </row>
    <row r="107" spans="1:3" ht="15" x14ac:dyDescent="0.2">
      <c r="A107" s="104">
        <v>104</v>
      </c>
      <c r="B107" s="328" t="s">
        <v>434</v>
      </c>
      <c r="C107" s="371" t="e">
        <f>'Заг тариф'!#REF!</f>
        <v>#REF!</v>
      </c>
    </row>
    <row r="108" spans="1:3" ht="15" x14ac:dyDescent="0.2">
      <c r="A108" s="104">
        <v>105</v>
      </c>
      <c r="B108" s="328" t="s">
        <v>435</v>
      </c>
      <c r="C108" s="371" t="e">
        <f>'Заг тариф'!#REF!</f>
        <v>#REF!</v>
      </c>
    </row>
    <row r="109" spans="1:3" ht="15" x14ac:dyDescent="0.2">
      <c r="A109" s="104">
        <v>106</v>
      </c>
      <c r="B109" s="328" t="s">
        <v>436</v>
      </c>
      <c r="C109" s="371" t="e">
        <f>'Заг тариф'!#REF!</f>
        <v>#REF!</v>
      </c>
    </row>
    <row r="110" spans="1:3" ht="15" x14ac:dyDescent="0.2">
      <c r="A110" s="104">
        <v>107</v>
      </c>
      <c r="B110" s="328" t="s">
        <v>437</v>
      </c>
      <c r="C110" s="371" t="e">
        <f>'Заг тариф'!#REF!</f>
        <v>#REF!</v>
      </c>
    </row>
    <row r="111" spans="1:3" ht="15" x14ac:dyDescent="0.2">
      <c r="A111" s="104">
        <v>108</v>
      </c>
      <c r="B111" s="328" t="s">
        <v>438</v>
      </c>
      <c r="C111" s="371" t="e">
        <f>'Заг тариф'!#REF!</f>
        <v>#REF!</v>
      </c>
    </row>
    <row r="112" spans="1:3" ht="15" x14ac:dyDescent="0.2">
      <c r="A112" s="104">
        <v>109</v>
      </c>
      <c r="B112" s="328" t="s">
        <v>439</v>
      </c>
      <c r="C112" s="371" t="e">
        <f>'Заг тариф'!#REF!</f>
        <v>#REF!</v>
      </c>
    </row>
    <row r="113" spans="1:3" ht="15" x14ac:dyDescent="0.2">
      <c r="A113" s="104">
        <v>110</v>
      </c>
      <c r="B113" s="328" t="s">
        <v>440</v>
      </c>
      <c r="C113" s="371" t="e">
        <f>'Заг тариф'!#REF!</f>
        <v>#REF!</v>
      </c>
    </row>
    <row r="114" spans="1:3" ht="15" x14ac:dyDescent="0.2">
      <c r="A114" s="104">
        <v>111</v>
      </c>
      <c r="B114" s="328" t="s">
        <v>441</v>
      </c>
      <c r="C114" s="371" t="e">
        <f>'Заг тариф'!#REF!</f>
        <v>#REF!</v>
      </c>
    </row>
    <row r="115" spans="1:3" ht="15" x14ac:dyDescent="0.2">
      <c r="A115" s="104">
        <v>112</v>
      </c>
      <c r="B115" s="328" t="s">
        <v>442</v>
      </c>
      <c r="C115" s="371" t="e">
        <f>'Заг тариф'!#REF!</f>
        <v>#REF!</v>
      </c>
    </row>
    <row r="116" spans="1:3" ht="15" x14ac:dyDescent="0.2">
      <c r="A116" s="104">
        <v>113</v>
      </c>
      <c r="B116" s="328" t="s">
        <v>443</v>
      </c>
      <c r="C116" s="371" t="e">
        <f>'Заг тариф'!#REF!</f>
        <v>#REF!</v>
      </c>
    </row>
    <row r="117" spans="1:3" ht="15" x14ac:dyDescent="0.2">
      <c r="A117" s="104">
        <v>114</v>
      </c>
      <c r="B117" s="328" t="s">
        <v>444</v>
      </c>
      <c r="C117" s="371" t="e">
        <f>'Заг тариф'!#REF!</f>
        <v>#REF!</v>
      </c>
    </row>
    <row r="118" spans="1:3" ht="15" x14ac:dyDescent="0.2">
      <c r="A118" s="104">
        <v>115</v>
      </c>
      <c r="B118" s="328" t="s">
        <v>445</v>
      </c>
      <c r="C118" s="371" t="e">
        <f>'Заг тариф'!#REF!</f>
        <v>#REF!</v>
      </c>
    </row>
    <row r="119" spans="1:3" ht="15" x14ac:dyDescent="0.2">
      <c r="A119" s="104">
        <v>116</v>
      </c>
      <c r="B119" s="328" t="s">
        <v>446</v>
      </c>
      <c r="C119" s="371" t="e">
        <f>'Заг тариф'!#REF!</f>
        <v>#REF!</v>
      </c>
    </row>
    <row r="120" spans="1:3" ht="15" x14ac:dyDescent="0.2">
      <c r="A120" s="104">
        <v>117</v>
      </c>
      <c r="B120" s="328" t="s">
        <v>447</v>
      </c>
      <c r="C120" s="371" t="e">
        <f>'Заг тариф'!#REF!</f>
        <v>#REF!</v>
      </c>
    </row>
    <row r="121" spans="1:3" ht="15" x14ac:dyDescent="0.2">
      <c r="A121" s="104">
        <v>118</v>
      </c>
      <c r="B121" s="328" t="s">
        <v>448</v>
      </c>
      <c r="C121" s="371" t="e">
        <f>'Заг тариф'!#REF!</f>
        <v>#REF!</v>
      </c>
    </row>
    <row r="122" spans="1:3" ht="15" x14ac:dyDescent="0.2">
      <c r="A122" s="104">
        <v>119</v>
      </c>
      <c r="B122" s="328" t="s">
        <v>449</v>
      </c>
      <c r="C122" s="371" t="e">
        <f>'Заг тариф'!#REF!</f>
        <v>#REF!</v>
      </c>
    </row>
    <row r="123" spans="1:3" ht="15" x14ac:dyDescent="0.2">
      <c r="A123" s="104">
        <v>120</v>
      </c>
      <c r="B123" s="328" t="s">
        <v>450</v>
      </c>
      <c r="C123" s="371" t="e">
        <f>'Заг тариф'!#REF!</f>
        <v>#REF!</v>
      </c>
    </row>
    <row r="124" spans="1:3" ht="15" x14ac:dyDescent="0.2">
      <c r="A124" s="104">
        <v>121</v>
      </c>
      <c r="B124" s="328" t="s">
        <v>451</v>
      </c>
      <c r="C124" s="371" t="e">
        <f>'Заг тариф'!#REF!</f>
        <v>#REF!</v>
      </c>
    </row>
    <row r="125" spans="1:3" ht="15" x14ac:dyDescent="0.2">
      <c r="A125" s="104">
        <v>122</v>
      </c>
      <c r="B125" s="328" t="s">
        <v>452</v>
      </c>
      <c r="C125" s="371" t="e">
        <f>'Заг тариф'!#REF!</f>
        <v>#REF!</v>
      </c>
    </row>
    <row r="126" spans="1:3" ht="15" x14ac:dyDescent="0.2">
      <c r="A126" s="104">
        <v>123</v>
      </c>
      <c r="B126" s="328" t="s">
        <v>453</v>
      </c>
      <c r="C126" s="371" t="e">
        <f>'Заг тариф'!#REF!</f>
        <v>#REF!</v>
      </c>
    </row>
    <row r="127" spans="1:3" ht="15" x14ac:dyDescent="0.2">
      <c r="A127" s="104">
        <v>124</v>
      </c>
      <c r="B127" s="328" t="s">
        <v>454</v>
      </c>
      <c r="C127" s="371" t="e">
        <f>'Заг тариф'!#REF!</f>
        <v>#REF!</v>
      </c>
    </row>
    <row r="128" spans="1:3" ht="15" x14ac:dyDescent="0.2">
      <c r="A128" s="104">
        <v>125</v>
      </c>
      <c r="B128" s="328" t="s">
        <v>455</v>
      </c>
      <c r="C128" s="371" t="e">
        <f>'Заг тариф'!#REF!</f>
        <v>#REF!</v>
      </c>
    </row>
    <row r="129" spans="1:3" ht="15" x14ac:dyDescent="0.2">
      <c r="A129" s="104">
        <v>126</v>
      </c>
      <c r="B129" s="328" t="s">
        <v>456</v>
      </c>
      <c r="C129" s="371" t="e">
        <f>'Заг тариф'!#REF!</f>
        <v>#REF!</v>
      </c>
    </row>
    <row r="130" spans="1:3" ht="15" x14ac:dyDescent="0.2">
      <c r="A130" s="104">
        <v>127</v>
      </c>
      <c r="B130" s="328" t="s">
        <v>457</v>
      </c>
      <c r="C130" s="371" t="e">
        <f>'Заг тариф'!#REF!</f>
        <v>#REF!</v>
      </c>
    </row>
    <row r="131" spans="1:3" ht="15" x14ac:dyDescent="0.2">
      <c r="A131" s="104">
        <v>128</v>
      </c>
      <c r="B131" s="328" t="s">
        <v>458</v>
      </c>
      <c r="C131" s="371" t="e">
        <f>'Заг тариф'!#REF!</f>
        <v>#REF!</v>
      </c>
    </row>
    <row r="132" spans="1:3" ht="15" x14ac:dyDescent="0.2">
      <c r="A132" s="104">
        <v>129</v>
      </c>
      <c r="B132" s="328" t="s">
        <v>459</v>
      </c>
      <c r="C132" s="371" t="e">
        <f>'Заг тариф'!#REF!</f>
        <v>#REF!</v>
      </c>
    </row>
    <row r="133" spans="1:3" ht="15" x14ac:dyDescent="0.2">
      <c r="A133" s="104">
        <v>130</v>
      </c>
      <c r="B133" s="328" t="s">
        <v>460</v>
      </c>
      <c r="C133" s="371" t="e">
        <f>'Заг тариф'!#REF!</f>
        <v>#REF!</v>
      </c>
    </row>
    <row r="134" spans="1:3" ht="15" x14ac:dyDescent="0.2">
      <c r="A134" s="104">
        <v>131</v>
      </c>
      <c r="B134" s="328" t="s">
        <v>461</v>
      </c>
      <c r="C134" s="371" t="e">
        <f>'Заг тариф'!#REF!</f>
        <v>#REF!</v>
      </c>
    </row>
    <row r="135" spans="1:3" ht="15" x14ac:dyDescent="0.2">
      <c r="A135" s="104">
        <v>132</v>
      </c>
      <c r="B135" s="328" t="s">
        <v>462</v>
      </c>
      <c r="C135" s="371" t="e">
        <f>'Заг тариф'!#REF!</f>
        <v>#REF!</v>
      </c>
    </row>
    <row r="136" spans="1:3" ht="15" x14ac:dyDescent="0.2">
      <c r="A136" s="104">
        <v>133</v>
      </c>
      <c r="B136" s="328" t="s">
        <v>463</v>
      </c>
      <c r="C136" s="371" t="e">
        <f>'Заг тариф'!#REF!</f>
        <v>#REF!</v>
      </c>
    </row>
    <row r="137" spans="1:3" ht="15" x14ac:dyDescent="0.2">
      <c r="A137" s="104">
        <v>134</v>
      </c>
      <c r="B137" s="328" t="s">
        <v>464</v>
      </c>
      <c r="C137" s="371" t="e">
        <f>'Заг тариф'!#REF!</f>
        <v>#REF!</v>
      </c>
    </row>
    <row r="138" spans="1:3" ht="15" x14ac:dyDescent="0.2">
      <c r="A138" s="104">
        <v>135</v>
      </c>
      <c r="B138" s="328" t="s">
        <v>465</v>
      </c>
      <c r="C138" s="371" t="e">
        <f>'Заг тариф'!#REF!</f>
        <v>#REF!</v>
      </c>
    </row>
    <row r="139" spans="1:3" ht="15" x14ac:dyDescent="0.2">
      <c r="A139" s="104">
        <v>136</v>
      </c>
      <c r="B139" s="328" t="s">
        <v>466</v>
      </c>
      <c r="C139" s="371" t="e">
        <f>'Заг тариф'!#REF!</f>
        <v>#REF!</v>
      </c>
    </row>
    <row r="140" spans="1:3" ht="15" x14ac:dyDescent="0.2">
      <c r="A140" s="104">
        <v>137</v>
      </c>
      <c r="B140" s="328" t="s">
        <v>467</v>
      </c>
      <c r="C140" s="371" t="e">
        <f>'Заг тариф'!#REF!</f>
        <v>#REF!</v>
      </c>
    </row>
    <row r="141" spans="1:3" ht="15" x14ac:dyDescent="0.2">
      <c r="A141" s="104">
        <v>138</v>
      </c>
      <c r="B141" s="328" t="s">
        <v>468</v>
      </c>
      <c r="C141" s="371" t="e">
        <f>'Заг тариф'!#REF!</f>
        <v>#REF!</v>
      </c>
    </row>
    <row r="142" spans="1:3" ht="15" x14ac:dyDescent="0.2">
      <c r="A142" s="104">
        <v>139</v>
      </c>
      <c r="B142" s="328" t="s">
        <v>469</v>
      </c>
      <c r="C142" s="371" t="e">
        <f>'Заг тариф'!#REF!</f>
        <v>#REF!</v>
      </c>
    </row>
    <row r="143" spans="1:3" ht="15" x14ac:dyDescent="0.2">
      <c r="A143" s="104">
        <v>140</v>
      </c>
      <c r="B143" s="328" t="s">
        <v>470</v>
      </c>
      <c r="C143" s="371" t="e">
        <f>'Заг тариф'!#REF!</f>
        <v>#REF!</v>
      </c>
    </row>
    <row r="144" spans="1:3" ht="15" x14ac:dyDescent="0.2">
      <c r="A144" s="104">
        <v>141</v>
      </c>
      <c r="B144" s="328" t="s">
        <v>471</v>
      </c>
      <c r="C144" s="371" t="e">
        <f>'Заг тариф'!#REF!</f>
        <v>#REF!</v>
      </c>
    </row>
    <row r="145" spans="1:3" ht="15" x14ac:dyDescent="0.2">
      <c r="A145" s="104">
        <v>142</v>
      </c>
      <c r="B145" s="328" t="s">
        <v>472</v>
      </c>
      <c r="C145" s="371" t="e">
        <f>'Заг тариф'!#REF!</f>
        <v>#REF!</v>
      </c>
    </row>
    <row r="146" spans="1:3" ht="15" x14ac:dyDescent="0.2">
      <c r="A146" s="104">
        <v>143</v>
      </c>
      <c r="B146" s="328" t="s">
        <v>473</v>
      </c>
      <c r="C146" s="371" t="e">
        <f>'Заг тариф'!#REF!</f>
        <v>#REF!</v>
      </c>
    </row>
    <row r="147" spans="1:3" ht="15" x14ac:dyDescent="0.2">
      <c r="A147" s="104">
        <v>144</v>
      </c>
      <c r="B147" s="328" t="s">
        <v>474</v>
      </c>
      <c r="C147" s="371" t="e">
        <f>'Заг тариф'!#REF!</f>
        <v>#REF!</v>
      </c>
    </row>
    <row r="148" spans="1:3" ht="15" x14ac:dyDescent="0.2">
      <c r="A148" s="104">
        <v>145</v>
      </c>
      <c r="B148" s="328" t="s">
        <v>475</v>
      </c>
      <c r="C148" s="371" t="e">
        <f>'Заг тариф'!#REF!</f>
        <v>#REF!</v>
      </c>
    </row>
    <row r="149" spans="1:3" ht="15" x14ac:dyDescent="0.2">
      <c r="A149" s="104">
        <v>146</v>
      </c>
      <c r="B149" s="328" t="s">
        <v>476</v>
      </c>
      <c r="C149" s="371" t="e">
        <f>'Заг тариф'!#REF!</f>
        <v>#REF!</v>
      </c>
    </row>
    <row r="150" spans="1:3" ht="15" x14ac:dyDescent="0.2">
      <c r="A150" s="104">
        <v>147</v>
      </c>
      <c r="B150" s="328" t="s">
        <v>477</v>
      </c>
      <c r="C150" s="371" t="e">
        <f>'Заг тариф'!#REF!</f>
        <v>#REF!</v>
      </c>
    </row>
    <row r="151" spans="1:3" ht="15" x14ac:dyDescent="0.2">
      <c r="A151" s="104">
        <v>148</v>
      </c>
      <c r="B151" s="328" t="s">
        <v>478</v>
      </c>
      <c r="C151" s="371" t="e">
        <f>'Заг тариф'!#REF!</f>
        <v>#REF!</v>
      </c>
    </row>
    <row r="152" spans="1:3" ht="15" x14ac:dyDescent="0.2">
      <c r="A152" s="104">
        <v>149</v>
      </c>
      <c r="B152" s="328" t="s">
        <v>479</v>
      </c>
      <c r="C152" s="371" t="e">
        <f>'Заг тариф'!#REF!</f>
        <v>#REF!</v>
      </c>
    </row>
    <row r="153" spans="1:3" ht="15" x14ac:dyDescent="0.2">
      <c r="A153" s="104">
        <v>150</v>
      </c>
      <c r="B153" s="328" t="s">
        <v>480</v>
      </c>
      <c r="C153" s="371" t="e">
        <f>'Заг тариф'!#REF!</f>
        <v>#REF!</v>
      </c>
    </row>
    <row r="154" spans="1:3" ht="15" x14ac:dyDescent="0.2">
      <c r="A154" s="104">
        <v>151</v>
      </c>
      <c r="B154" s="328" t="s">
        <v>481</v>
      </c>
      <c r="C154" s="371" t="e">
        <f>'Заг тариф'!#REF!</f>
        <v>#REF!</v>
      </c>
    </row>
    <row r="155" spans="1:3" ht="15" x14ac:dyDescent="0.2">
      <c r="A155" s="104">
        <v>152</v>
      </c>
      <c r="B155" s="328" t="s">
        <v>482</v>
      </c>
      <c r="C155" s="371" t="e">
        <f>'Заг тариф'!#REF!</f>
        <v>#REF!</v>
      </c>
    </row>
    <row r="156" spans="1:3" ht="15" x14ac:dyDescent="0.2">
      <c r="A156" s="104">
        <v>153</v>
      </c>
      <c r="B156" s="328" t="s">
        <v>483</v>
      </c>
      <c r="C156" s="371" t="e">
        <f>'Заг тариф'!#REF!</f>
        <v>#REF!</v>
      </c>
    </row>
    <row r="157" spans="1:3" ht="15" x14ac:dyDescent="0.2">
      <c r="A157" s="104">
        <v>154</v>
      </c>
      <c r="B157" s="328" t="s">
        <v>588</v>
      </c>
      <c r="C157" s="371" t="e">
        <f>'Заг тариф'!#REF!</f>
        <v>#REF!</v>
      </c>
    </row>
    <row r="158" spans="1:3" ht="15" x14ac:dyDescent="0.2">
      <c r="A158" s="104">
        <v>155</v>
      </c>
      <c r="B158" s="328" t="s">
        <v>484</v>
      </c>
      <c r="C158" s="371" t="e">
        <f>'Заг тариф'!#REF!</f>
        <v>#REF!</v>
      </c>
    </row>
    <row r="159" spans="1:3" ht="15" x14ac:dyDescent="0.2">
      <c r="A159" s="104">
        <v>156</v>
      </c>
      <c r="B159" s="328" t="s">
        <v>589</v>
      </c>
      <c r="C159" s="371" t="e">
        <f>'Заг тариф'!#REF!</f>
        <v>#REF!</v>
      </c>
    </row>
    <row r="160" spans="1:3" ht="15" x14ac:dyDescent="0.2">
      <c r="A160" s="104">
        <v>157</v>
      </c>
      <c r="B160" s="328" t="s">
        <v>485</v>
      </c>
      <c r="C160" s="371" t="e">
        <f>'Заг тариф'!#REF!</f>
        <v>#REF!</v>
      </c>
    </row>
    <row r="161" spans="1:4" ht="15" x14ac:dyDescent="0.2">
      <c r="A161" s="104">
        <v>158</v>
      </c>
      <c r="B161" s="328" t="s">
        <v>590</v>
      </c>
      <c r="C161" s="371" t="e">
        <f>'Заг тариф'!#REF!</f>
        <v>#REF!</v>
      </c>
    </row>
    <row r="162" spans="1:4" ht="15" x14ac:dyDescent="0.2">
      <c r="A162" s="104">
        <v>159</v>
      </c>
      <c r="B162" s="328" t="s">
        <v>486</v>
      </c>
      <c r="C162" s="371" t="e">
        <f>'Заг тариф'!#REF!</f>
        <v>#REF!</v>
      </c>
    </row>
    <row r="163" spans="1:4" ht="15" x14ac:dyDescent="0.2">
      <c r="A163" s="104">
        <v>160</v>
      </c>
      <c r="B163" s="328" t="s">
        <v>591</v>
      </c>
      <c r="C163" s="371" t="e">
        <f>'Заг тариф'!#REF!</f>
        <v>#REF!</v>
      </c>
    </row>
    <row r="164" spans="1:4" ht="15" x14ac:dyDescent="0.2">
      <c r="A164" s="104">
        <v>161</v>
      </c>
      <c r="B164" s="328" t="s">
        <v>487</v>
      </c>
      <c r="C164" s="371" t="e">
        <f>'Заг тариф'!#REF!</f>
        <v>#REF!</v>
      </c>
    </row>
    <row r="165" spans="1:4" ht="15" x14ac:dyDescent="0.2">
      <c r="A165" s="104">
        <v>162</v>
      </c>
      <c r="B165" s="328" t="s">
        <v>592</v>
      </c>
      <c r="C165" s="371" t="e">
        <f>'Заг тариф'!#REF!</f>
        <v>#REF!</v>
      </c>
    </row>
    <row r="166" spans="1:4" ht="15" x14ac:dyDescent="0.2">
      <c r="A166" s="104">
        <v>163</v>
      </c>
      <c r="B166" s="328" t="s">
        <v>488</v>
      </c>
      <c r="C166" s="371" t="e">
        <f>'Заг тариф'!#REF!</f>
        <v>#REF!</v>
      </c>
    </row>
    <row r="167" spans="1:4" ht="15" x14ac:dyDescent="0.2">
      <c r="A167" s="104">
        <v>164</v>
      </c>
      <c r="B167" s="328" t="s">
        <v>593</v>
      </c>
      <c r="C167" s="371" t="e">
        <f>'Заг тариф'!#REF!</f>
        <v>#REF!</v>
      </c>
    </row>
    <row r="168" spans="1:4" ht="16.5" thickBot="1" x14ac:dyDescent="0.25">
      <c r="A168" s="247">
        <v>165</v>
      </c>
      <c r="B168" s="246" t="s">
        <v>10</v>
      </c>
      <c r="C168" s="372" t="e">
        <f>'Заг тариф'!#REF!</f>
        <v>#REF!</v>
      </c>
    </row>
    <row r="172" spans="1:4" s="106" customFormat="1" x14ac:dyDescent="0.2">
      <c r="A172" s="496" t="s">
        <v>603</v>
      </c>
      <c r="B172" s="496"/>
      <c r="C172" s="457" t="s">
        <v>329</v>
      </c>
    </row>
    <row r="175" spans="1:4" ht="33" customHeight="1" x14ac:dyDescent="0.2">
      <c r="A175" s="495"/>
      <c r="B175" s="495"/>
      <c r="C175" s="495"/>
      <c r="D175" s="282"/>
    </row>
  </sheetData>
  <mergeCells count="6">
    <mergeCell ref="A1:C1"/>
    <mergeCell ref="A175:C175"/>
    <mergeCell ref="A172:B172"/>
    <mergeCell ref="A2:A3"/>
    <mergeCell ref="B2:B3"/>
    <mergeCell ref="C2:C3"/>
  </mergeCells>
  <phoneticPr fontId="29" type="noConversion"/>
  <pageMargins left="0.9055118110236221" right="0.19685039370078741" top="0.43307086614173229" bottom="0.47244094488188981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6" workbookViewId="0">
      <selection activeCell="E44" sqref="E44:F44"/>
    </sheetView>
  </sheetViews>
  <sheetFormatPr defaultRowHeight="12.75" x14ac:dyDescent="0.2"/>
  <cols>
    <col min="1" max="1" width="5.85546875" style="62" customWidth="1"/>
    <col min="2" max="2" width="35.42578125" style="32" customWidth="1"/>
    <col min="3" max="3" width="9.140625" style="31"/>
    <col min="4" max="4" width="9.42578125" style="35" bestFit="1" customWidth="1"/>
    <col min="5" max="5" width="9.140625" style="29"/>
    <col min="6" max="6" width="9.42578125" style="35" bestFit="1" customWidth="1"/>
  </cols>
  <sheetData>
    <row r="1" spans="1:6" ht="46.5" customHeight="1" x14ac:dyDescent="0.2">
      <c r="A1" s="514" t="s">
        <v>611</v>
      </c>
      <c r="B1" s="515"/>
      <c r="C1" s="515"/>
      <c r="D1" s="515"/>
      <c r="E1" s="515"/>
      <c r="F1" s="516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59" t="s">
        <v>96</v>
      </c>
      <c r="F2" s="36" t="s">
        <v>97</v>
      </c>
    </row>
    <row r="3" spans="1:6" ht="25.5" x14ac:dyDescent="0.2">
      <c r="A3" s="67" t="s">
        <v>99</v>
      </c>
      <c r="B3" s="60" t="s">
        <v>279</v>
      </c>
      <c r="C3" s="37" t="s">
        <v>110</v>
      </c>
      <c r="D3" s="36">
        <f>F6</f>
        <v>7.0025891136801537</v>
      </c>
      <c r="E3" s="59"/>
      <c r="F3" s="36"/>
    </row>
    <row r="4" spans="1:6" x14ac:dyDescent="0.2">
      <c r="A4" s="67" t="s">
        <v>100</v>
      </c>
      <c r="B4" s="60" t="s">
        <v>280</v>
      </c>
      <c r="C4" s="37" t="s">
        <v>110</v>
      </c>
      <c r="D4" s="36">
        <v>3</v>
      </c>
      <c r="E4" s="59"/>
      <c r="F4" s="36"/>
    </row>
    <row r="5" spans="1:6" x14ac:dyDescent="0.2">
      <c r="A5" s="67" t="s">
        <v>219</v>
      </c>
      <c r="B5" s="61" t="s">
        <v>139</v>
      </c>
      <c r="C5" s="37" t="s">
        <v>140</v>
      </c>
      <c r="D5" s="36">
        <f>'ТО вода'!D161</f>
        <v>30605</v>
      </c>
      <c r="E5" s="59"/>
      <c r="F5" s="36"/>
    </row>
    <row r="6" spans="1:6" ht="25.5" x14ac:dyDescent="0.2">
      <c r="A6" s="67" t="s">
        <v>281</v>
      </c>
      <c r="B6" s="60" t="s">
        <v>289</v>
      </c>
      <c r="C6" s="37" t="s">
        <v>101</v>
      </c>
      <c r="D6" s="36">
        <v>3.8</v>
      </c>
      <c r="E6" s="59"/>
      <c r="F6" s="36">
        <f>D6*D5/166.08/100</f>
        <v>7.0025891136801537</v>
      </c>
    </row>
    <row r="7" spans="1:6" x14ac:dyDescent="0.2">
      <c r="A7" s="68" t="s">
        <v>3</v>
      </c>
      <c r="B7" s="63" t="s">
        <v>134</v>
      </c>
      <c r="C7" s="37"/>
      <c r="D7" s="36"/>
      <c r="E7" s="59"/>
      <c r="F7" s="64">
        <f>SUM(F8:F13)</f>
        <v>16980.858445327551</v>
      </c>
    </row>
    <row r="8" spans="1:6" x14ac:dyDescent="0.2">
      <c r="A8" s="67" t="s">
        <v>171</v>
      </c>
      <c r="B8" s="482" t="s">
        <v>630</v>
      </c>
      <c r="C8" s="66" t="s">
        <v>120</v>
      </c>
      <c r="D8" s="93">
        <f>D3</f>
        <v>7.0025891136801537</v>
      </c>
      <c r="E8" s="483">
        <v>468</v>
      </c>
      <c r="F8" s="36">
        <f>D8*E8</f>
        <v>3277.2117052023118</v>
      </c>
    </row>
    <row r="9" spans="1:6" x14ac:dyDescent="0.2">
      <c r="A9" s="67" t="s">
        <v>172</v>
      </c>
      <c r="B9" s="486" t="s">
        <v>135</v>
      </c>
      <c r="C9" s="66" t="s">
        <v>120</v>
      </c>
      <c r="D9" s="93">
        <f>D3*4</f>
        <v>28.010356454720615</v>
      </c>
      <c r="E9" s="37">
        <v>17</v>
      </c>
      <c r="F9" s="36">
        <f>D9*E9</f>
        <v>476.17605973025047</v>
      </c>
    </row>
    <row r="10" spans="1:6" x14ac:dyDescent="0.2">
      <c r="A10" s="67" t="s">
        <v>173</v>
      </c>
      <c r="B10" s="487" t="s">
        <v>169</v>
      </c>
      <c r="C10" s="66" t="s">
        <v>120</v>
      </c>
      <c r="D10" s="93">
        <f>D3</f>
        <v>7.0025891136801537</v>
      </c>
      <c r="E10" s="484">
        <v>723</v>
      </c>
      <c r="F10" s="36">
        <f t="shared" ref="F10:F13" si="0">D10*E10</f>
        <v>5062.871929190751</v>
      </c>
    </row>
    <row r="11" spans="1:6" x14ac:dyDescent="0.2">
      <c r="A11" s="67" t="s">
        <v>174</v>
      </c>
      <c r="B11" s="486" t="s">
        <v>136</v>
      </c>
      <c r="C11" s="66" t="s">
        <v>120</v>
      </c>
      <c r="D11" s="93">
        <f>D3</f>
        <v>7.0025891136801537</v>
      </c>
      <c r="E11" s="37">
        <v>175</v>
      </c>
      <c r="F11" s="36">
        <f t="shared" si="0"/>
        <v>1225.4530948940269</v>
      </c>
    </row>
    <row r="12" spans="1:6" x14ac:dyDescent="0.2">
      <c r="A12" s="67" t="s">
        <v>175</v>
      </c>
      <c r="B12" s="482" t="s">
        <v>633</v>
      </c>
      <c r="C12" s="66" t="s">
        <v>120</v>
      </c>
      <c r="D12" s="93">
        <f>D3</f>
        <v>7.0025891136801537</v>
      </c>
      <c r="E12" s="484">
        <v>562.94000000000005</v>
      </c>
      <c r="F12" s="36">
        <f t="shared" si="0"/>
        <v>3942.0375156551063</v>
      </c>
    </row>
    <row r="13" spans="1:6" x14ac:dyDescent="0.2">
      <c r="A13" s="67" t="s">
        <v>176</v>
      </c>
      <c r="B13" s="482" t="s">
        <v>636</v>
      </c>
      <c r="C13" s="66" t="s">
        <v>120</v>
      </c>
      <c r="D13" s="93">
        <f>D3</f>
        <v>7.0025891136801537</v>
      </c>
      <c r="E13" s="483">
        <v>428</v>
      </c>
      <c r="F13" s="36">
        <f t="shared" si="0"/>
        <v>2997.1081406551057</v>
      </c>
    </row>
    <row r="14" spans="1:6" x14ac:dyDescent="0.2">
      <c r="A14" s="68" t="s">
        <v>4</v>
      </c>
      <c r="B14" s="63" t="s">
        <v>118</v>
      </c>
      <c r="C14" s="37"/>
      <c r="D14" s="36"/>
      <c r="E14" s="37"/>
      <c r="F14" s="64">
        <f>SUM(F15:F39)</f>
        <v>20830.800336584776</v>
      </c>
    </row>
    <row r="15" spans="1:6" x14ac:dyDescent="0.2">
      <c r="A15" s="67" t="s">
        <v>104</v>
      </c>
      <c r="B15" s="50" t="s">
        <v>149</v>
      </c>
      <c r="C15" s="37" t="s">
        <v>120</v>
      </c>
      <c r="D15" s="92">
        <f>$D$3</f>
        <v>7.0025891136801537</v>
      </c>
      <c r="E15" s="37">
        <v>193</v>
      </c>
      <c r="F15" s="36">
        <f>D15*E15</f>
        <v>1351.4996989402696</v>
      </c>
    </row>
    <row r="16" spans="1:6" x14ac:dyDescent="0.2">
      <c r="A16" s="67" t="s">
        <v>106</v>
      </c>
      <c r="B16" s="50" t="s">
        <v>150</v>
      </c>
      <c r="C16" s="37" t="s">
        <v>120</v>
      </c>
      <c r="D16" s="92">
        <f t="shared" ref="D16:D31" si="1">$D$3</f>
        <v>7.0025891136801537</v>
      </c>
      <c r="E16" s="37">
        <v>23</v>
      </c>
      <c r="F16" s="36">
        <f>D16*E16</f>
        <v>161.05954961464354</v>
      </c>
    </row>
    <row r="17" spans="1:6" x14ac:dyDescent="0.2">
      <c r="A17" s="67" t="s">
        <v>108</v>
      </c>
      <c r="B17" s="50" t="s">
        <v>151</v>
      </c>
      <c r="C17" s="37" t="s">
        <v>120</v>
      </c>
      <c r="D17" s="92">
        <f t="shared" si="1"/>
        <v>7.0025891136801537</v>
      </c>
      <c r="E17" s="37">
        <v>25</v>
      </c>
      <c r="F17" s="36">
        <f t="shared" ref="F17:F37" si="2">D17*E17</f>
        <v>175.06472784200383</v>
      </c>
    </row>
    <row r="18" spans="1:6" x14ac:dyDescent="0.2">
      <c r="A18" s="67" t="s">
        <v>180</v>
      </c>
      <c r="B18" s="50" t="s">
        <v>152</v>
      </c>
      <c r="C18" s="37" t="s">
        <v>120</v>
      </c>
      <c r="D18" s="92">
        <f t="shared" si="1"/>
        <v>7.0025891136801537</v>
      </c>
      <c r="E18" s="37">
        <v>18.5</v>
      </c>
      <c r="F18" s="36">
        <f t="shared" si="2"/>
        <v>129.54789860308284</v>
      </c>
    </row>
    <row r="19" spans="1:6" x14ac:dyDescent="0.2">
      <c r="A19" s="67" t="s">
        <v>181</v>
      </c>
      <c r="B19" s="50" t="s">
        <v>153</v>
      </c>
      <c r="C19" s="37" t="s">
        <v>120</v>
      </c>
      <c r="D19" s="92">
        <f t="shared" si="1"/>
        <v>7.0025891136801537</v>
      </c>
      <c r="E19" s="37">
        <v>30.5</v>
      </c>
      <c r="F19" s="36">
        <f t="shared" si="2"/>
        <v>213.57896796724469</v>
      </c>
    </row>
    <row r="20" spans="1:6" x14ac:dyDescent="0.2">
      <c r="A20" s="67" t="s">
        <v>182</v>
      </c>
      <c r="B20" s="50" t="s">
        <v>154</v>
      </c>
      <c r="C20" s="37" t="s">
        <v>120</v>
      </c>
      <c r="D20" s="92">
        <f t="shared" si="1"/>
        <v>7.0025891136801537</v>
      </c>
      <c r="E20" s="37">
        <v>35</v>
      </c>
      <c r="F20" s="36">
        <f t="shared" si="2"/>
        <v>245.09061897880537</v>
      </c>
    </row>
    <row r="21" spans="1:6" x14ac:dyDescent="0.2">
      <c r="A21" s="67" t="s">
        <v>183</v>
      </c>
      <c r="B21" s="50" t="s">
        <v>155</v>
      </c>
      <c r="C21" s="37" t="s">
        <v>120</v>
      </c>
      <c r="D21" s="92">
        <f t="shared" si="1"/>
        <v>7.0025891136801537</v>
      </c>
      <c r="E21" s="37">
        <v>40</v>
      </c>
      <c r="F21" s="36">
        <f t="shared" si="2"/>
        <v>280.10356454720613</v>
      </c>
    </row>
    <row r="22" spans="1:6" x14ac:dyDescent="0.2">
      <c r="A22" s="67" t="s">
        <v>184</v>
      </c>
      <c r="B22" s="50" t="s">
        <v>156</v>
      </c>
      <c r="C22" s="37" t="s">
        <v>120</v>
      </c>
      <c r="D22" s="92">
        <f t="shared" si="1"/>
        <v>7.0025891136801537</v>
      </c>
      <c r="E22" s="37">
        <v>140</v>
      </c>
      <c r="F22" s="36">
        <f t="shared" si="2"/>
        <v>980.36247591522147</v>
      </c>
    </row>
    <row r="23" spans="1:6" x14ac:dyDescent="0.2">
      <c r="A23" s="67" t="s">
        <v>185</v>
      </c>
      <c r="B23" s="50" t="s">
        <v>157</v>
      </c>
      <c r="C23" s="37" t="s">
        <v>120</v>
      </c>
      <c r="D23" s="92">
        <f t="shared" si="1"/>
        <v>7.0025891136801537</v>
      </c>
      <c r="E23" s="37">
        <v>50</v>
      </c>
      <c r="F23" s="36">
        <f t="shared" si="2"/>
        <v>350.12945568400767</v>
      </c>
    </row>
    <row r="24" spans="1:6" x14ac:dyDescent="0.2">
      <c r="A24" s="67" t="s">
        <v>186</v>
      </c>
      <c r="B24" s="50" t="s">
        <v>158</v>
      </c>
      <c r="C24" s="37" t="s">
        <v>120</v>
      </c>
      <c r="D24" s="92">
        <f t="shared" si="1"/>
        <v>7.0025891136801537</v>
      </c>
      <c r="E24" s="37">
        <v>75</v>
      </c>
      <c r="F24" s="36">
        <f t="shared" si="2"/>
        <v>525.19418352601156</v>
      </c>
    </row>
    <row r="25" spans="1:6" x14ac:dyDescent="0.2">
      <c r="A25" s="67" t="s">
        <v>187</v>
      </c>
      <c r="B25" s="50" t="s">
        <v>159</v>
      </c>
      <c r="C25" s="37" t="s">
        <v>120</v>
      </c>
      <c r="D25" s="92">
        <f t="shared" si="1"/>
        <v>7.0025891136801537</v>
      </c>
      <c r="E25" s="37">
        <v>70.849999999999994</v>
      </c>
      <c r="F25" s="36">
        <f t="shared" si="2"/>
        <v>496.13343870423887</v>
      </c>
    </row>
    <row r="26" spans="1:6" x14ac:dyDescent="0.2">
      <c r="A26" s="67" t="s">
        <v>188</v>
      </c>
      <c r="B26" s="50" t="s">
        <v>160</v>
      </c>
      <c r="C26" s="37" t="s">
        <v>120</v>
      </c>
      <c r="D26" s="92">
        <f t="shared" si="1"/>
        <v>7.0025891136801537</v>
      </c>
      <c r="E26" s="37">
        <v>40</v>
      </c>
      <c r="F26" s="36">
        <f t="shared" si="2"/>
        <v>280.10356454720613</v>
      </c>
    </row>
    <row r="27" spans="1:6" x14ac:dyDescent="0.2">
      <c r="A27" s="67" t="s">
        <v>189</v>
      </c>
      <c r="B27" s="50" t="s">
        <v>161</v>
      </c>
      <c r="C27" s="37" t="s">
        <v>120</v>
      </c>
      <c r="D27" s="92">
        <f t="shared" si="1"/>
        <v>7.0025891136801537</v>
      </c>
      <c r="E27" s="37">
        <v>40</v>
      </c>
      <c r="F27" s="36">
        <f t="shared" si="2"/>
        <v>280.10356454720613</v>
      </c>
    </row>
    <row r="28" spans="1:6" x14ac:dyDescent="0.2">
      <c r="A28" s="67" t="s">
        <v>190</v>
      </c>
      <c r="B28" s="50" t="s">
        <v>162</v>
      </c>
      <c r="C28" s="37" t="s">
        <v>120</v>
      </c>
      <c r="D28" s="92">
        <f t="shared" si="1"/>
        <v>7.0025891136801537</v>
      </c>
      <c r="E28" s="37">
        <v>650</v>
      </c>
      <c r="F28" s="36">
        <f t="shared" si="2"/>
        <v>4551.6829238921</v>
      </c>
    </row>
    <row r="29" spans="1:6" x14ac:dyDescent="0.2">
      <c r="A29" s="67" t="s">
        <v>191</v>
      </c>
      <c r="B29" s="50" t="s">
        <v>148</v>
      </c>
      <c r="C29" s="37" t="s">
        <v>120</v>
      </c>
      <c r="D29" s="92">
        <f t="shared" si="1"/>
        <v>7.0025891136801537</v>
      </c>
      <c r="E29" s="37">
        <v>45</v>
      </c>
      <c r="F29" s="36">
        <f t="shared" si="2"/>
        <v>315.1165101156069</v>
      </c>
    </row>
    <row r="30" spans="1:6" x14ac:dyDescent="0.2">
      <c r="A30" s="67" t="s">
        <v>192</v>
      </c>
      <c r="B30" s="50" t="s">
        <v>163</v>
      </c>
      <c r="C30" s="37" t="s">
        <v>120</v>
      </c>
      <c r="D30" s="92">
        <f t="shared" si="1"/>
        <v>7.0025891136801537</v>
      </c>
      <c r="E30" s="37">
        <v>128.5</v>
      </c>
      <c r="F30" s="36">
        <f t="shared" si="2"/>
        <v>899.83270110789977</v>
      </c>
    </row>
    <row r="31" spans="1:6" x14ac:dyDescent="0.2">
      <c r="A31" s="67" t="s">
        <v>193</v>
      </c>
      <c r="B31" s="50" t="s">
        <v>164</v>
      </c>
      <c r="C31" s="37" t="s">
        <v>120</v>
      </c>
      <c r="D31" s="92">
        <f t="shared" si="1"/>
        <v>7.0025891136801537</v>
      </c>
      <c r="E31" s="37">
        <v>222.66</v>
      </c>
      <c r="F31" s="36">
        <f t="shared" si="2"/>
        <v>1559.1964920520229</v>
      </c>
    </row>
    <row r="32" spans="1:6" x14ac:dyDescent="0.2">
      <c r="A32" s="67" t="s">
        <v>194</v>
      </c>
      <c r="B32" s="50" t="s">
        <v>165</v>
      </c>
      <c r="C32" s="37" t="s">
        <v>120</v>
      </c>
      <c r="D32" s="92">
        <v>1</v>
      </c>
      <c r="E32" s="37">
        <v>432</v>
      </c>
      <c r="F32" s="36">
        <f t="shared" si="2"/>
        <v>432</v>
      </c>
    </row>
    <row r="33" spans="1:23" x14ac:dyDescent="0.2">
      <c r="A33" s="67" t="s">
        <v>195</v>
      </c>
      <c r="B33" s="50" t="s">
        <v>166</v>
      </c>
      <c r="C33" s="37" t="s">
        <v>120</v>
      </c>
      <c r="D33" s="92">
        <v>1</v>
      </c>
      <c r="E33" s="37">
        <v>300</v>
      </c>
      <c r="F33" s="36">
        <f t="shared" si="2"/>
        <v>300</v>
      </c>
    </row>
    <row r="34" spans="1:23" x14ac:dyDescent="0.2">
      <c r="A34" s="67" t="s">
        <v>196</v>
      </c>
      <c r="B34" s="50" t="s">
        <v>290</v>
      </c>
      <c r="C34" s="37" t="s">
        <v>120</v>
      </c>
      <c r="D34" s="92">
        <v>1</v>
      </c>
      <c r="E34" s="37">
        <v>650</v>
      </c>
      <c r="F34" s="36">
        <f t="shared" si="2"/>
        <v>650</v>
      </c>
    </row>
    <row r="35" spans="1:23" x14ac:dyDescent="0.2">
      <c r="A35" s="67" t="s">
        <v>197</v>
      </c>
      <c r="B35" s="50" t="s">
        <v>291</v>
      </c>
      <c r="C35" s="37" t="s">
        <v>120</v>
      </c>
      <c r="D35" s="92">
        <v>1</v>
      </c>
      <c r="E35" s="37">
        <v>1105</v>
      </c>
      <c r="F35" s="36">
        <f t="shared" si="2"/>
        <v>1105</v>
      </c>
    </row>
    <row r="36" spans="1:23" x14ac:dyDescent="0.2">
      <c r="A36" s="67" t="s">
        <v>285</v>
      </c>
      <c r="B36" s="50" t="s">
        <v>292</v>
      </c>
      <c r="C36" s="37" t="s">
        <v>120</v>
      </c>
      <c r="D36" s="92">
        <v>1</v>
      </c>
      <c r="E36" s="37">
        <v>600</v>
      </c>
      <c r="F36" s="36">
        <f t="shared" si="2"/>
        <v>600</v>
      </c>
    </row>
    <row r="37" spans="1:23" x14ac:dyDescent="0.2">
      <c r="A37" s="67" t="s">
        <v>287</v>
      </c>
      <c r="B37" s="50" t="s">
        <v>293</v>
      </c>
      <c r="C37" s="37" t="s">
        <v>120</v>
      </c>
      <c r="D37" s="92">
        <v>1</v>
      </c>
      <c r="E37" s="37">
        <v>2000</v>
      </c>
      <c r="F37" s="36">
        <f t="shared" si="2"/>
        <v>2000</v>
      </c>
    </row>
    <row r="38" spans="1:23" x14ac:dyDescent="0.2">
      <c r="A38" s="67" t="s">
        <v>294</v>
      </c>
      <c r="B38" s="50" t="s">
        <v>295</v>
      </c>
      <c r="C38" s="37" t="s">
        <v>120</v>
      </c>
      <c r="D38" s="92">
        <v>1</v>
      </c>
      <c r="E38" s="37">
        <v>1850</v>
      </c>
      <c r="F38" s="36">
        <f>D38*E38</f>
        <v>1850</v>
      </c>
    </row>
    <row r="39" spans="1:23" x14ac:dyDescent="0.2">
      <c r="A39" s="67" t="s">
        <v>294</v>
      </c>
      <c r="B39" s="63" t="s">
        <v>646</v>
      </c>
      <c r="C39" s="37" t="s">
        <v>103</v>
      </c>
      <c r="D39" s="36"/>
      <c r="E39" s="37"/>
      <c r="F39" s="36">
        <v>1100</v>
      </c>
    </row>
    <row r="40" spans="1:23" x14ac:dyDescent="0.2">
      <c r="A40" s="238"/>
      <c r="B40" s="239"/>
      <c r="C40" s="240"/>
      <c r="D40" s="241"/>
      <c r="E40" s="240"/>
      <c r="F40" s="241"/>
    </row>
    <row r="41" spans="1:23" x14ac:dyDescent="0.2">
      <c r="A41" s="72"/>
      <c r="B41" s="73" t="s">
        <v>137</v>
      </c>
      <c r="C41" s="69"/>
      <c r="D41" s="74"/>
      <c r="E41" s="30"/>
      <c r="F41" s="74">
        <f>F7+F14</f>
        <v>37811.658781912323</v>
      </c>
    </row>
    <row r="42" spans="1:23" x14ac:dyDescent="0.2">
      <c r="A42" s="72"/>
      <c r="B42" s="73" t="s">
        <v>138</v>
      </c>
      <c r="C42" s="69"/>
      <c r="D42" s="74"/>
      <c r="E42" s="30"/>
      <c r="F42" s="74">
        <f>F41/D3/12</f>
        <v>449.97236222294828</v>
      </c>
    </row>
    <row r="44" spans="1:23" s="81" customFormat="1" ht="15.75" customHeight="1" x14ac:dyDescent="0.2">
      <c r="A44" s="279"/>
      <c r="B44" s="276" t="s">
        <v>234</v>
      </c>
      <c r="C44" s="278"/>
      <c r="D44" s="278"/>
      <c r="E44" s="509" t="s">
        <v>648</v>
      </c>
      <c r="F44" s="509"/>
      <c r="G44" s="277"/>
      <c r="H44" s="510"/>
      <c r="I44" s="510"/>
      <c r="J44" s="510"/>
      <c r="K44" s="510"/>
      <c r="L44" s="510"/>
      <c r="M44" s="278"/>
      <c r="N44" s="245"/>
      <c r="O44" s="245"/>
      <c r="P44" s="105"/>
      <c r="Q44" s="105"/>
      <c r="R44" s="105"/>
      <c r="S44" s="105"/>
      <c r="T44" s="105"/>
      <c r="U44" s="245"/>
      <c r="V44" s="245"/>
      <c r="W44" s="105"/>
    </row>
  </sheetData>
  <mergeCells count="3">
    <mergeCell ref="A1:F1"/>
    <mergeCell ref="E44:F44"/>
    <mergeCell ref="H44:L44"/>
  </mergeCells>
  <phoneticPr fontId="2" type="noConversion"/>
  <pageMargins left="0.9055118110236221" right="0.70866141732283472" top="0.3937007874015748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S182"/>
  <sheetViews>
    <sheetView topLeftCell="A127" zoomScale="120" zoomScaleNormal="120" workbookViewId="0">
      <selection activeCell="E166" sqref="E166:F166"/>
    </sheetView>
  </sheetViews>
  <sheetFormatPr defaultRowHeight="12.75" x14ac:dyDescent="0.2"/>
  <cols>
    <col min="1" max="1" width="3.140625" style="51" bestFit="1" customWidth="1"/>
    <col min="2" max="2" width="15.7109375" style="215" bestFit="1" customWidth="1"/>
    <col min="3" max="3" width="7.7109375" style="52" bestFit="1" customWidth="1"/>
    <col min="4" max="4" width="12.42578125" style="257" bestFit="1" customWidth="1"/>
    <col min="5" max="5" width="9.140625" style="53"/>
    <col min="6" max="6" width="7" style="54" bestFit="1" customWidth="1"/>
    <col min="7" max="7" width="7.7109375" style="54" bestFit="1" customWidth="1"/>
    <col min="8" max="8" width="7" style="55" bestFit="1" customWidth="1"/>
    <col min="9" max="9" width="9" style="55" customWidth="1"/>
    <col min="10" max="10" width="8.5703125" style="54" customWidth="1"/>
  </cols>
  <sheetData>
    <row r="1" spans="1:10" ht="22.5" customHeight="1" x14ac:dyDescent="0.2">
      <c r="A1" s="517" t="s">
        <v>628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0" s="425" customFormat="1" ht="42" x14ac:dyDescent="0.2">
      <c r="A2" s="375" t="s">
        <v>1</v>
      </c>
      <c r="B2" s="423" t="s">
        <v>0</v>
      </c>
      <c r="C2" s="375" t="s">
        <v>72</v>
      </c>
      <c r="D2" s="424" t="s">
        <v>218</v>
      </c>
      <c r="E2" s="379" t="s">
        <v>85</v>
      </c>
      <c r="F2" s="377" t="s">
        <v>235</v>
      </c>
      <c r="G2" s="377" t="s">
        <v>236</v>
      </c>
      <c r="H2" s="375" t="s">
        <v>75</v>
      </c>
      <c r="I2" s="375" t="s">
        <v>81</v>
      </c>
      <c r="J2" s="377" t="s">
        <v>237</v>
      </c>
    </row>
    <row r="3" spans="1:10" s="425" customFormat="1" ht="12" customHeight="1" x14ac:dyDescent="0.2">
      <c r="A3" s="381">
        <v>1</v>
      </c>
      <c r="B3" s="382" t="s">
        <v>331</v>
      </c>
      <c r="C3" s="383">
        <v>394.86</v>
      </c>
      <c r="D3" s="383">
        <v>40</v>
      </c>
      <c r="E3" s="379">
        <f t="shared" ref="E3:E34" si="0">D3/$E$163</f>
        <v>9.1522157996146419E-3</v>
      </c>
      <c r="F3" s="377">
        <f t="shared" ref="F3:F34" si="1">E3*$F$163</f>
        <v>88.390407032755277</v>
      </c>
      <c r="G3" s="377">
        <f>F3*22/100</f>
        <v>19.445889547206161</v>
      </c>
      <c r="H3" s="377">
        <f>F3*'92'!$C$20/100</f>
        <v>17.579690583682126</v>
      </c>
      <c r="I3" s="377">
        <f>E3*мат.вода!$F$42</f>
        <v>4.1182441629267901</v>
      </c>
      <c r="J3" s="377">
        <f>(F3+G3+H3+I3)/C3</f>
        <v>0.3280510341046709</v>
      </c>
    </row>
    <row r="4" spans="1:10" s="425" customFormat="1" ht="12.75" customHeight="1" x14ac:dyDescent="0.2">
      <c r="A4" s="381">
        <v>2</v>
      </c>
      <c r="B4" s="382" t="s">
        <v>332</v>
      </c>
      <c r="C4" s="384">
        <v>326.89999999999998</v>
      </c>
      <c r="D4" s="383">
        <v>35</v>
      </c>
      <c r="E4" s="379">
        <f t="shared" si="0"/>
        <v>8.0081888246628114E-3</v>
      </c>
      <c r="F4" s="377">
        <f t="shared" si="1"/>
        <v>77.341606153660862</v>
      </c>
      <c r="G4" s="377">
        <f t="shared" ref="G4:G27" si="2">F4*22/100</f>
        <v>17.015153353805388</v>
      </c>
      <c r="H4" s="377">
        <f>F4*'92'!$C$20/100</f>
        <v>15.382229260721859</v>
      </c>
      <c r="I4" s="377">
        <f>E4*мат.вода!$F$42</f>
        <v>3.603463642560941</v>
      </c>
      <c r="J4" s="377">
        <f t="shared" ref="J4:J67" si="3">(F4+G4+H4+I4)/C4</f>
        <v>0.34671903460002768</v>
      </c>
    </row>
    <row r="5" spans="1:10" s="425" customFormat="1" ht="10.5" x14ac:dyDescent="0.2">
      <c r="A5" s="381">
        <v>3</v>
      </c>
      <c r="B5" s="382" t="s">
        <v>333</v>
      </c>
      <c r="C5" s="384">
        <v>490.6</v>
      </c>
      <c r="D5" s="383">
        <v>40</v>
      </c>
      <c r="E5" s="379">
        <f t="shared" si="0"/>
        <v>9.1522157996146419E-3</v>
      </c>
      <c r="F5" s="377">
        <f t="shared" si="1"/>
        <v>88.390407032755277</v>
      </c>
      <c r="G5" s="377">
        <f t="shared" si="2"/>
        <v>19.445889547206161</v>
      </c>
      <c r="H5" s="377">
        <f>F5*'92'!$C$20/100</f>
        <v>17.579690583682126</v>
      </c>
      <c r="I5" s="377">
        <f>E5*мат.вода!$F$42</f>
        <v>4.1182441629267901</v>
      </c>
      <c r="J5" s="377">
        <f t="shared" si="3"/>
        <v>0.26403226931628693</v>
      </c>
    </row>
    <row r="6" spans="1:10" s="425" customFormat="1" ht="10.5" x14ac:dyDescent="0.2">
      <c r="A6" s="381">
        <v>4</v>
      </c>
      <c r="B6" s="382" t="s">
        <v>334</v>
      </c>
      <c r="C6" s="384">
        <v>341.5</v>
      </c>
      <c r="D6" s="383">
        <v>65</v>
      </c>
      <c r="E6" s="379">
        <f t="shared" si="0"/>
        <v>1.4872350674373794E-2</v>
      </c>
      <c r="F6" s="377">
        <f t="shared" si="1"/>
        <v>143.63441142822734</v>
      </c>
      <c r="G6" s="377">
        <f t="shared" si="2"/>
        <v>31.599570514210015</v>
      </c>
      <c r="H6" s="377">
        <f>F6*'92'!$C$20/100</f>
        <v>28.56699719848346</v>
      </c>
      <c r="I6" s="377">
        <f>E6*мат.вода!$F$42</f>
        <v>6.6921467647560338</v>
      </c>
      <c r="J6" s="377">
        <f t="shared" si="3"/>
        <v>0.61637811392584729</v>
      </c>
    </row>
    <row r="7" spans="1:10" s="425" customFormat="1" ht="10.5" x14ac:dyDescent="0.2">
      <c r="A7" s="381">
        <v>5</v>
      </c>
      <c r="B7" s="382" t="s">
        <v>335</v>
      </c>
      <c r="C7" s="384">
        <v>375.1</v>
      </c>
      <c r="D7" s="383">
        <v>65</v>
      </c>
      <c r="E7" s="379">
        <f t="shared" si="0"/>
        <v>1.4872350674373794E-2</v>
      </c>
      <c r="F7" s="377">
        <f t="shared" si="1"/>
        <v>143.63441142822734</v>
      </c>
      <c r="G7" s="377">
        <f t="shared" si="2"/>
        <v>31.599570514210015</v>
      </c>
      <c r="H7" s="377">
        <f>F7*'92'!$C$20/100</f>
        <v>28.56699719848346</v>
      </c>
      <c r="I7" s="377">
        <f>E7*мат.вода!$F$42</f>
        <v>6.6921467647560338</v>
      </c>
      <c r="J7" s="377">
        <f t="shared" si="3"/>
        <v>0.56116535831958636</v>
      </c>
    </row>
    <row r="8" spans="1:10" s="425" customFormat="1" ht="10.5" x14ac:dyDescent="0.2">
      <c r="A8" s="381">
        <v>6</v>
      </c>
      <c r="B8" s="382" t="s">
        <v>336</v>
      </c>
      <c r="C8" s="384">
        <v>386.23</v>
      </c>
      <c r="D8" s="383">
        <v>65</v>
      </c>
      <c r="E8" s="379">
        <f t="shared" si="0"/>
        <v>1.4872350674373794E-2</v>
      </c>
      <c r="F8" s="377">
        <f t="shared" si="1"/>
        <v>143.63441142822734</v>
      </c>
      <c r="G8" s="377">
        <f t="shared" si="2"/>
        <v>31.599570514210015</v>
      </c>
      <c r="H8" s="377">
        <f>F8*'92'!$C$20/100</f>
        <v>28.56699719848346</v>
      </c>
      <c r="I8" s="377">
        <f>E8*мат.вода!$F$42</f>
        <v>6.6921467647560338</v>
      </c>
      <c r="J8" s="377">
        <f t="shared" si="3"/>
        <v>0.54499424152882181</v>
      </c>
    </row>
    <row r="9" spans="1:10" s="425" customFormat="1" ht="10.5" x14ac:dyDescent="0.2">
      <c r="A9" s="381">
        <v>7</v>
      </c>
      <c r="B9" s="382" t="s">
        <v>337</v>
      </c>
      <c r="C9" s="384">
        <v>917</v>
      </c>
      <c r="D9" s="383">
        <v>181</v>
      </c>
      <c r="E9" s="379">
        <f t="shared" si="0"/>
        <v>4.1413776493256255E-2</v>
      </c>
      <c r="F9" s="377">
        <f t="shared" si="1"/>
        <v>399.96659182321758</v>
      </c>
      <c r="G9" s="377">
        <f t="shared" si="2"/>
        <v>87.992650201107864</v>
      </c>
      <c r="H9" s="377">
        <f>F9*'92'!$C$20/100</f>
        <v>79.548099891161613</v>
      </c>
      <c r="I9" s="377">
        <f>E9*мат.вода!$F$42</f>
        <v>18.635054837243725</v>
      </c>
      <c r="J9" s="377">
        <f t="shared" si="3"/>
        <v>0.63919563440864868</v>
      </c>
    </row>
    <row r="10" spans="1:10" s="425" customFormat="1" ht="10.5" x14ac:dyDescent="0.2">
      <c r="A10" s="381">
        <v>8</v>
      </c>
      <c r="B10" s="382" t="s">
        <v>338</v>
      </c>
      <c r="C10" s="384">
        <v>354.4</v>
      </c>
      <c r="D10" s="383">
        <v>81</v>
      </c>
      <c r="E10" s="379">
        <f t="shared" si="0"/>
        <v>1.8533236994219653E-2</v>
      </c>
      <c r="F10" s="377">
        <f t="shared" si="1"/>
        <v>178.99057424132945</v>
      </c>
      <c r="G10" s="377">
        <f t="shared" si="2"/>
        <v>39.377926333092482</v>
      </c>
      <c r="H10" s="377">
        <f>F10*'92'!$C$20/100</f>
        <v>35.598873431956306</v>
      </c>
      <c r="I10" s="377">
        <f>E10*мат.вода!$F$42</f>
        <v>8.3394444299267505</v>
      </c>
      <c r="J10" s="377">
        <f>(F10+G10+H10+I10)/C10*50/100</f>
        <v>0.37007169643948223</v>
      </c>
    </row>
    <row r="11" spans="1:10" s="425" customFormat="1" ht="10.5" x14ac:dyDescent="0.2">
      <c r="A11" s="381">
        <v>9</v>
      </c>
      <c r="B11" s="382" t="s">
        <v>339</v>
      </c>
      <c r="C11" s="384">
        <v>634.4</v>
      </c>
      <c r="D11" s="383">
        <v>75</v>
      </c>
      <c r="E11" s="379">
        <f t="shared" si="0"/>
        <v>1.7160404624277453E-2</v>
      </c>
      <c r="F11" s="377">
        <f t="shared" si="1"/>
        <v>165.73201318641614</v>
      </c>
      <c r="G11" s="377">
        <f t="shared" si="2"/>
        <v>36.461042901011552</v>
      </c>
      <c r="H11" s="377">
        <f>F11*'92'!$C$20/100</f>
        <v>32.961919844403987</v>
      </c>
      <c r="I11" s="377">
        <f>E11*мат.вода!$F$42</f>
        <v>7.7217078054877311</v>
      </c>
      <c r="J11" s="377">
        <f t="shared" si="3"/>
        <v>0.38284470954810751</v>
      </c>
    </row>
    <row r="12" spans="1:10" s="425" customFormat="1" ht="10.5" x14ac:dyDescent="0.2">
      <c r="A12" s="381">
        <v>10</v>
      </c>
      <c r="B12" s="382" t="s">
        <v>340</v>
      </c>
      <c r="C12" s="384">
        <v>637.20000000000005</v>
      </c>
      <c r="D12" s="383">
        <v>75</v>
      </c>
      <c r="E12" s="379">
        <f t="shared" si="0"/>
        <v>1.7160404624277453E-2</v>
      </c>
      <c r="F12" s="377">
        <f t="shared" si="1"/>
        <v>165.73201318641614</v>
      </c>
      <c r="G12" s="377">
        <f t="shared" si="2"/>
        <v>36.461042901011552</v>
      </c>
      <c r="H12" s="377">
        <f>F12*'92'!$C$20/100</f>
        <v>32.961919844403987</v>
      </c>
      <c r="I12" s="377">
        <f>E12*мат.вода!$F$42</f>
        <v>7.7217078054877311</v>
      </c>
      <c r="J12" s="377">
        <f t="shared" si="3"/>
        <v>0.38116240385643346</v>
      </c>
    </row>
    <row r="13" spans="1:10" s="425" customFormat="1" ht="10.5" x14ac:dyDescent="0.2">
      <c r="A13" s="381">
        <v>11</v>
      </c>
      <c r="B13" s="382" t="s">
        <v>341</v>
      </c>
      <c r="C13" s="384">
        <v>463.8</v>
      </c>
      <c r="D13" s="383">
        <v>75</v>
      </c>
      <c r="E13" s="379">
        <f t="shared" si="0"/>
        <v>1.7160404624277453E-2</v>
      </c>
      <c r="F13" s="377">
        <f t="shared" si="1"/>
        <v>165.73201318641614</v>
      </c>
      <c r="G13" s="377">
        <f t="shared" si="2"/>
        <v>36.461042901011552</v>
      </c>
      <c r="H13" s="377">
        <f>F13*'92'!$C$20/100</f>
        <v>32.961919844403987</v>
      </c>
      <c r="I13" s="377">
        <f>E13*мат.вода!$F$42</f>
        <v>7.7217078054877311</v>
      </c>
      <c r="J13" s="377">
        <f t="shared" si="3"/>
        <v>0.52366684721284906</v>
      </c>
    </row>
    <row r="14" spans="1:10" s="425" customFormat="1" ht="10.5" x14ac:dyDescent="0.2">
      <c r="A14" s="381">
        <v>12</v>
      </c>
      <c r="B14" s="382" t="s">
        <v>342</v>
      </c>
      <c r="C14" s="384">
        <v>633.29999999999995</v>
      </c>
      <c r="D14" s="383">
        <v>75</v>
      </c>
      <c r="E14" s="379">
        <f t="shared" si="0"/>
        <v>1.7160404624277453E-2</v>
      </c>
      <c r="F14" s="377">
        <f t="shared" si="1"/>
        <v>165.73201318641614</v>
      </c>
      <c r="G14" s="377">
        <f t="shared" si="2"/>
        <v>36.461042901011552</v>
      </c>
      <c r="H14" s="377">
        <f>F14*'92'!$C$20/100</f>
        <v>32.961919844403987</v>
      </c>
      <c r="I14" s="377">
        <f>E14*мат.вода!$F$42</f>
        <v>7.7217078054877311</v>
      </c>
      <c r="J14" s="377">
        <f t="shared" si="3"/>
        <v>0.38350968535815477</v>
      </c>
    </row>
    <row r="15" spans="1:10" s="425" customFormat="1" ht="10.5" x14ac:dyDescent="0.2">
      <c r="A15" s="381">
        <v>13</v>
      </c>
      <c r="B15" s="382" t="s">
        <v>343</v>
      </c>
      <c r="C15" s="384">
        <v>379.5</v>
      </c>
      <c r="D15" s="383">
        <v>25</v>
      </c>
      <c r="E15" s="379">
        <f t="shared" si="0"/>
        <v>5.7201348747591514E-3</v>
      </c>
      <c r="F15" s="377">
        <f t="shared" si="1"/>
        <v>55.244004395472047</v>
      </c>
      <c r="G15" s="377">
        <f t="shared" si="2"/>
        <v>12.153680967003849</v>
      </c>
      <c r="H15" s="377">
        <f>F15*'92'!$C$20/100</f>
        <v>10.987306614801328</v>
      </c>
      <c r="I15" s="377">
        <f>E15*мат.вода!$F$42</f>
        <v>2.5739026018292437</v>
      </c>
      <c r="J15" s="377">
        <f t="shared" si="3"/>
        <v>0.21333042049830428</v>
      </c>
    </row>
    <row r="16" spans="1:10" s="425" customFormat="1" ht="10.5" x14ac:dyDescent="0.2">
      <c r="A16" s="381">
        <v>14</v>
      </c>
      <c r="B16" s="382" t="s">
        <v>344</v>
      </c>
      <c r="C16" s="384">
        <v>916.4</v>
      </c>
      <c r="D16" s="383">
        <v>200</v>
      </c>
      <c r="E16" s="379">
        <f t="shared" si="0"/>
        <v>4.5761078998073211E-2</v>
      </c>
      <c r="F16" s="377">
        <f t="shared" si="1"/>
        <v>441.95203516377637</v>
      </c>
      <c r="G16" s="377">
        <f t="shared" si="2"/>
        <v>97.229447736030792</v>
      </c>
      <c r="H16" s="377">
        <f>F16*'92'!$C$20/100</f>
        <v>87.898452918410626</v>
      </c>
      <c r="I16" s="377">
        <f>E16*мат.вода!$F$42</f>
        <v>20.591220814633949</v>
      </c>
      <c r="J16" s="377">
        <f t="shared" si="3"/>
        <v>0.70675595442257944</v>
      </c>
    </row>
    <row r="17" spans="1:10" s="425" customFormat="1" ht="10.5" x14ac:dyDescent="0.2">
      <c r="A17" s="381">
        <v>15</v>
      </c>
      <c r="B17" s="382" t="s">
        <v>345</v>
      </c>
      <c r="C17" s="384">
        <v>922.1</v>
      </c>
      <c r="D17" s="383">
        <v>200</v>
      </c>
      <c r="E17" s="379">
        <f t="shared" si="0"/>
        <v>4.5761078998073211E-2</v>
      </c>
      <c r="F17" s="377">
        <f t="shared" si="1"/>
        <v>441.95203516377637</v>
      </c>
      <c r="G17" s="377">
        <f t="shared" si="2"/>
        <v>97.229447736030792</v>
      </c>
      <c r="H17" s="377">
        <f>F17*'92'!$C$20/100</f>
        <v>87.898452918410626</v>
      </c>
      <c r="I17" s="377">
        <f>E17*мат.вода!$F$42</f>
        <v>20.591220814633949</v>
      </c>
      <c r="J17" s="377">
        <f t="shared" si="3"/>
        <v>0.70238711271321086</v>
      </c>
    </row>
    <row r="18" spans="1:10" s="425" customFormat="1" ht="10.5" x14ac:dyDescent="0.2">
      <c r="A18" s="381">
        <v>16</v>
      </c>
      <c r="B18" s="382" t="s">
        <v>346</v>
      </c>
      <c r="C18" s="384">
        <v>490.3</v>
      </c>
      <c r="D18" s="383">
        <v>75</v>
      </c>
      <c r="E18" s="379">
        <f t="shared" si="0"/>
        <v>1.7160404624277453E-2</v>
      </c>
      <c r="F18" s="377">
        <f t="shared" si="1"/>
        <v>165.73201318641614</v>
      </c>
      <c r="G18" s="377">
        <f t="shared" si="2"/>
        <v>36.461042901011552</v>
      </c>
      <c r="H18" s="377">
        <f>F18*'92'!$C$20/100</f>
        <v>32.961919844403987</v>
      </c>
      <c r="I18" s="377">
        <f>E18*мат.вода!$F$42</f>
        <v>7.7217078054877311</v>
      </c>
      <c r="J18" s="377">
        <f t="shared" si="3"/>
        <v>0.49536341777956233</v>
      </c>
    </row>
    <row r="19" spans="1:10" s="425" customFormat="1" ht="10.5" x14ac:dyDescent="0.2">
      <c r="A19" s="381">
        <v>17</v>
      </c>
      <c r="B19" s="382" t="s">
        <v>347</v>
      </c>
      <c r="C19" s="384">
        <v>502.4</v>
      </c>
      <c r="D19" s="383">
        <v>75</v>
      </c>
      <c r="E19" s="379">
        <f t="shared" si="0"/>
        <v>1.7160404624277453E-2</v>
      </c>
      <c r="F19" s="377">
        <f t="shared" si="1"/>
        <v>165.73201318641614</v>
      </c>
      <c r="G19" s="377">
        <f t="shared" si="2"/>
        <v>36.461042901011552</v>
      </c>
      <c r="H19" s="377">
        <f>F19*'92'!$C$20/100</f>
        <v>32.961919844403987</v>
      </c>
      <c r="I19" s="377">
        <f>E19*мат.вода!$F$42</f>
        <v>7.7217078054877311</v>
      </c>
      <c r="J19" s="377">
        <f t="shared" si="3"/>
        <v>0.48343288960453706</v>
      </c>
    </row>
    <row r="20" spans="1:10" s="425" customFormat="1" ht="10.5" x14ac:dyDescent="0.2">
      <c r="A20" s="381">
        <v>18</v>
      </c>
      <c r="B20" s="382" t="s">
        <v>348</v>
      </c>
      <c r="C20" s="384">
        <v>655.29999999999995</v>
      </c>
      <c r="D20" s="383">
        <v>120</v>
      </c>
      <c r="E20" s="379">
        <f t="shared" si="0"/>
        <v>2.7456647398843927E-2</v>
      </c>
      <c r="F20" s="377">
        <f t="shared" si="1"/>
        <v>265.17122109826585</v>
      </c>
      <c r="G20" s="377">
        <f t="shared" si="2"/>
        <v>58.337668641618485</v>
      </c>
      <c r="H20" s="377">
        <f>F20*'92'!$C$20/100</f>
        <v>52.739071751046389</v>
      </c>
      <c r="I20" s="377">
        <f>E20*мат.вода!$F$42</f>
        <v>12.354732488780371</v>
      </c>
      <c r="J20" s="377">
        <f t="shared" si="3"/>
        <v>0.59301494579537783</v>
      </c>
    </row>
    <row r="21" spans="1:10" s="425" customFormat="1" ht="10.5" x14ac:dyDescent="0.2">
      <c r="A21" s="381">
        <v>19</v>
      </c>
      <c r="B21" s="382" t="s">
        <v>349</v>
      </c>
      <c r="C21" s="384">
        <v>663.8</v>
      </c>
      <c r="D21" s="383">
        <v>120</v>
      </c>
      <c r="E21" s="379">
        <f t="shared" si="0"/>
        <v>2.7456647398843927E-2</v>
      </c>
      <c r="F21" s="377">
        <f t="shared" si="1"/>
        <v>265.17122109826585</v>
      </c>
      <c r="G21" s="377">
        <f t="shared" si="2"/>
        <v>58.337668641618485</v>
      </c>
      <c r="H21" s="377">
        <f>F21*'92'!$C$20/100</f>
        <v>52.739071751046389</v>
      </c>
      <c r="I21" s="377">
        <f>E21*мат.вода!$F$42</f>
        <v>12.354732488780371</v>
      </c>
      <c r="J21" s="377">
        <f t="shared" si="3"/>
        <v>0.58542135278654883</v>
      </c>
    </row>
    <row r="22" spans="1:10" s="425" customFormat="1" ht="10.5" x14ac:dyDescent="0.2">
      <c r="A22" s="381">
        <v>20</v>
      </c>
      <c r="B22" s="382" t="s">
        <v>350</v>
      </c>
      <c r="C22" s="384">
        <v>679.3</v>
      </c>
      <c r="D22" s="383">
        <v>130</v>
      </c>
      <c r="E22" s="379">
        <f t="shared" si="0"/>
        <v>2.9744701348747588E-2</v>
      </c>
      <c r="F22" s="377">
        <f t="shared" si="1"/>
        <v>287.26882285645468</v>
      </c>
      <c r="G22" s="377">
        <f t="shared" si="2"/>
        <v>63.19914102842003</v>
      </c>
      <c r="H22" s="377">
        <f>F22*'92'!$C$20/100</f>
        <v>57.133994396966919</v>
      </c>
      <c r="I22" s="377">
        <f>E22*мат.вода!$F$42</f>
        <v>13.384293529512068</v>
      </c>
      <c r="J22" s="377">
        <f t="shared" si="3"/>
        <v>0.61973539203791217</v>
      </c>
    </row>
    <row r="23" spans="1:10" s="425" customFormat="1" ht="10.5" x14ac:dyDescent="0.2">
      <c r="A23" s="381">
        <v>21</v>
      </c>
      <c r="B23" s="382" t="s">
        <v>351</v>
      </c>
      <c r="C23" s="384">
        <v>828.8</v>
      </c>
      <c r="D23" s="383">
        <v>110</v>
      </c>
      <c r="E23" s="379">
        <f t="shared" si="0"/>
        <v>2.5168593448940266E-2</v>
      </c>
      <c r="F23" s="377">
        <f t="shared" si="1"/>
        <v>243.07361934007702</v>
      </c>
      <c r="G23" s="377">
        <f t="shared" si="2"/>
        <v>53.476196254816941</v>
      </c>
      <c r="H23" s="377">
        <f>F23*'92'!$C$20/100</f>
        <v>48.344149105125844</v>
      </c>
      <c r="I23" s="377">
        <f>E23*мат.вода!$F$42</f>
        <v>11.325171448048673</v>
      </c>
      <c r="J23" s="377">
        <f t="shared" si="3"/>
        <v>0.42980108125973515</v>
      </c>
    </row>
    <row r="24" spans="1:10" s="425" customFormat="1" ht="10.5" x14ac:dyDescent="0.2">
      <c r="A24" s="381">
        <v>22</v>
      </c>
      <c r="B24" s="382" t="s">
        <v>352</v>
      </c>
      <c r="C24" s="384">
        <v>1413.6</v>
      </c>
      <c r="D24" s="383">
        <v>210</v>
      </c>
      <c r="E24" s="379">
        <f t="shared" si="0"/>
        <v>4.8049132947976872E-2</v>
      </c>
      <c r="F24" s="377">
        <f t="shared" si="1"/>
        <v>464.0496369219652</v>
      </c>
      <c r="G24" s="377">
        <f t="shared" si="2"/>
        <v>102.09092012283234</v>
      </c>
      <c r="H24" s="377">
        <f>F24*'92'!$C$20/100</f>
        <v>92.293375564331157</v>
      </c>
      <c r="I24" s="377">
        <f>E24*мат.вода!$F$42</f>
        <v>21.620781855365646</v>
      </c>
      <c r="J24" s="377">
        <f t="shared" si="3"/>
        <v>0.48108001872134581</v>
      </c>
    </row>
    <row r="25" spans="1:10" s="425" customFormat="1" ht="10.5" x14ac:dyDescent="0.2">
      <c r="A25" s="381">
        <v>23</v>
      </c>
      <c r="B25" s="382" t="s">
        <v>353</v>
      </c>
      <c r="C25" s="384">
        <v>1478</v>
      </c>
      <c r="D25" s="383">
        <v>150</v>
      </c>
      <c r="E25" s="379">
        <f t="shared" si="0"/>
        <v>3.4320809248554907E-2</v>
      </c>
      <c r="F25" s="377">
        <f t="shared" si="1"/>
        <v>331.46402637283228</v>
      </c>
      <c r="G25" s="377">
        <f t="shared" si="2"/>
        <v>72.922085802023105</v>
      </c>
      <c r="H25" s="377">
        <f>F25*'92'!$C$20/100</f>
        <v>65.923839688807973</v>
      </c>
      <c r="I25" s="377">
        <f>E25*мат.вода!$F$42</f>
        <v>15.443415610975462</v>
      </c>
      <c r="J25" s="377">
        <f t="shared" si="3"/>
        <v>0.32865586432654859</v>
      </c>
    </row>
    <row r="26" spans="1:10" s="425" customFormat="1" ht="10.5" x14ac:dyDescent="0.2">
      <c r="A26" s="381">
        <v>24</v>
      </c>
      <c r="B26" s="382" t="s">
        <v>354</v>
      </c>
      <c r="C26" s="384">
        <v>848.6</v>
      </c>
      <c r="D26" s="383">
        <v>100</v>
      </c>
      <c r="E26" s="379">
        <f t="shared" si="0"/>
        <v>2.2880539499036606E-2</v>
      </c>
      <c r="F26" s="377">
        <f t="shared" si="1"/>
        <v>220.97601758188819</v>
      </c>
      <c r="G26" s="377">
        <f t="shared" si="2"/>
        <v>48.614723868015396</v>
      </c>
      <c r="H26" s="377">
        <f>F26*'92'!$C$20/100</f>
        <v>43.949226459205313</v>
      </c>
      <c r="I26" s="377">
        <f>E26*мат.вода!$F$42</f>
        <v>10.295610407316975</v>
      </c>
      <c r="J26" s="377">
        <f t="shared" si="3"/>
        <v>0.38161157001699963</v>
      </c>
    </row>
    <row r="27" spans="1:10" s="425" customFormat="1" ht="10.5" x14ac:dyDescent="0.2">
      <c r="A27" s="381">
        <v>25</v>
      </c>
      <c r="B27" s="382" t="s">
        <v>355</v>
      </c>
      <c r="C27" s="384">
        <v>834.8</v>
      </c>
      <c r="D27" s="383">
        <v>100</v>
      </c>
      <c r="E27" s="379">
        <f t="shared" si="0"/>
        <v>2.2880539499036606E-2</v>
      </c>
      <c r="F27" s="377">
        <f t="shared" si="1"/>
        <v>220.97601758188819</v>
      </c>
      <c r="G27" s="377">
        <f t="shared" si="2"/>
        <v>48.614723868015396</v>
      </c>
      <c r="H27" s="377">
        <f>F27*'92'!$C$20/100</f>
        <v>43.949226459205313</v>
      </c>
      <c r="I27" s="377">
        <f>E27*мат.вода!$F$42</f>
        <v>10.295610407316975</v>
      </c>
      <c r="J27" s="377">
        <f t="shared" si="3"/>
        <v>0.38791995485915898</v>
      </c>
    </row>
    <row r="28" spans="1:10" s="425" customFormat="1" ht="10.5" x14ac:dyDescent="0.2">
      <c r="A28" s="381">
        <v>26</v>
      </c>
      <c r="B28" s="382" t="s">
        <v>356</v>
      </c>
      <c r="C28" s="384">
        <v>848.8</v>
      </c>
      <c r="D28" s="383">
        <v>100</v>
      </c>
      <c r="E28" s="379">
        <f t="shared" si="0"/>
        <v>2.2880539499036606E-2</v>
      </c>
      <c r="F28" s="377">
        <f t="shared" si="1"/>
        <v>220.97601758188819</v>
      </c>
      <c r="G28" s="377">
        <f t="shared" ref="G28:G91" si="4">F28*22/100</f>
        <v>48.614723868015396</v>
      </c>
      <c r="H28" s="377">
        <f>F28*'92'!$C$20/100</f>
        <v>43.949226459205313</v>
      </c>
      <c r="I28" s="377">
        <f>E28*мат.вода!$F$42</f>
        <v>10.295610407316975</v>
      </c>
      <c r="J28" s="377">
        <f t="shared" si="3"/>
        <v>0.38152165211643013</v>
      </c>
    </row>
    <row r="29" spans="1:10" s="425" customFormat="1" ht="10.5" x14ac:dyDescent="0.2">
      <c r="A29" s="381">
        <v>27</v>
      </c>
      <c r="B29" s="382" t="s">
        <v>357</v>
      </c>
      <c r="C29" s="384">
        <v>646.76</v>
      </c>
      <c r="D29" s="383">
        <v>90</v>
      </c>
      <c r="E29" s="379">
        <f t="shared" si="0"/>
        <v>2.0592485549132945E-2</v>
      </c>
      <c r="F29" s="377">
        <f t="shared" si="1"/>
        <v>198.87841582369936</v>
      </c>
      <c r="G29" s="377">
        <f t="shared" si="4"/>
        <v>43.753251481213859</v>
      </c>
      <c r="H29" s="377">
        <f>F29*'92'!$C$20/100</f>
        <v>39.554303813284783</v>
      </c>
      <c r="I29" s="377">
        <f>E29*мат.вода!$F$42</f>
        <v>9.2660493665852766</v>
      </c>
      <c r="J29" s="377">
        <f t="shared" si="3"/>
        <v>0.45063396079656015</v>
      </c>
    </row>
    <row r="30" spans="1:10" s="425" customFormat="1" ht="10.5" x14ac:dyDescent="0.2">
      <c r="A30" s="381">
        <v>28</v>
      </c>
      <c r="B30" s="382" t="s">
        <v>358</v>
      </c>
      <c r="C30" s="384">
        <v>638.20000000000005</v>
      </c>
      <c r="D30" s="383">
        <v>90</v>
      </c>
      <c r="E30" s="379">
        <f t="shared" si="0"/>
        <v>2.0592485549132945E-2</v>
      </c>
      <c r="F30" s="377">
        <f t="shared" si="1"/>
        <v>198.87841582369936</v>
      </c>
      <c r="G30" s="377">
        <f t="shared" si="4"/>
        <v>43.753251481213859</v>
      </c>
      <c r="H30" s="377">
        <f>F30*'92'!$C$20/100</f>
        <v>39.554303813284783</v>
      </c>
      <c r="I30" s="377">
        <f>E30*мат.вода!$F$42</f>
        <v>9.2660493665852766</v>
      </c>
      <c r="J30" s="377">
        <f t="shared" si="3"/>
        <v>0.45667818941520405</v>
      </c>
    </row>
    <row r="31" spans="1:10" s="425" customFormat="1" ht="10.5" x14ac:dyDescent="0.2">
      <c r="A31" s="381">
        <v>29</v>
      </c>
      <c r="B31" s="382" t="s">
        <v>359</v>
      </c>
      <c r="C31" s="384">
        <v>385.2</v>
      </c>
      <c r="D31" s="383">
        <v>20</v>
      </c>
      <c r="E31" s="379">
        <f t="shared" si="0"/>
        <v>4.5761078998073209E-3</v>
      </c>
      <c r="F31" s="377">
        <f t="shared" si="1"/>
        <v>44.195203516377639</v>
      </c>
      <c r="G31" s="377">
        <f t="shared" si="4"/>
        <v>9.7229447736030803</v>
      </c>
      <c r="H31" s="377">
        <f>F31*'92'!$C$20/100</f>
        <v>8.789845291841063</v>
      </c>
      <c r="I31" s="377">
        <f>E31*мат.вода!$F$42</f>
        <v>2.059122081463395</v>
      </c>
      <c r="J31" s="377">
        <f t="shared" si="3"/>
        <v>0.16813892955162302</v>
      </c>
    </row>
    <row r="32" spans="1:10" s="425" customFormat="1" ht="10.5" x14ac:dyDescent="0.2">
      <c r="A32" s="381">
        <v>30</v>
      </c>
      <c r="B32" s="382" t="s">
        <v>360</v>
      </c>
      <c r="C32" s="384">
        <v>398.4</v>
      </c>
      <c r="D32" s="383">
        <v>20</v>
      </c>
      <c r="E32" s="379">
        <f t="shared" si="0"/>
        <v>4.5761078998073209E-3</v>
      </c>
      <c r="F32" s="377">
        <f t="shared" si="1"/>
        <v>44.195203516377639</v>
      </c>
      <c r="G32" s="377">
        <f t="shared" si="4"/>
        <v>9.7229447736030803</v>
      </c>
      <c r="H32" s="377">
        <f>F32*'92'!$C$20/100</f>
        <v>8.789845291841063</v>
      </c>
      <c r="I32" s="377">
        <f>E32*мат.вода!$F$42</f>
        <v>2.059122081463395</v>
      </c>
      <c r="J32" s="377">
        <f t="shared" si="3"/>
        <v>0.16256806140382829</v>
      </c>
    </row>
    <row r="33" spans="1:10" s="425" customFormat="1" ht="10.5" x14ac:dyDescent="0.2">
      <c r="A33" s="381">
        <v>31</v>
      </c>
      <c r="B33" s="382" t="s">
        <v>361</v>
      </c>
      <c r="C33" s="384">
        <v>977.25</v>
      </c>
      <c r="D33" s="383">
        <v>81</v>
      </c>
      <c r="E33" s="379">
        <f t="shared" si="0"/>
        <v>1.8533236994219653E-2</v>
      </c>
      <c r="F33" s="377">
        <f t="shared" si="1"/>
        <v>178.99057424132945</v>
      </c>
      <c r="G33" s="377">
        <f t="shared" si="4"/>
        <v>39.377926333092482</v>
      </c>
      <c r="H33" s="377">
        <f>F33*'92'!$C$20/100</f>
        <v>35.598873431956306</v>
      </c>
      <c r="I33" s="377">
        <f>E33*мат.вода!$F$42</f>
        <v>8.3394444299267505</v>
      </c>
      <c r="J33" s="377">
        <f t="shared" si="3"/>
        <v>0.2684132191724789</v>
      </c>
    </row>
    <row r="34" spans="1:10" s="425" customFormat="1" ht="10.5" x14ac:dyDescent="0.2">
      <c r="A34" s="381">
        <v>32</v>
      </c>
      <c r="B34" s="382" t="s">
        <v>362</v>
      </c>
      <c r="C34" s="384">
        <v>796.2</v>
      </c>
      <c r="D34" s="383">
        <v>100</v>
      </c>
      <c r="E34" s="379">
        <f t="shared" si="0"/>
        <v>2.2880539499036606E-2</v>
      </c>
      <c r="F34" s="377">
        <f t="shared" si="1"/>
        <v>220.97601758188819</v>
      </c>
      <c r="G34" s="377">
        <f t="shared" si="4"/>
        <v>48.614723868015396</v>
      </c>
      <c r="H34" s="377">
        <f>F34*'92'!$C$20/100</f>
        <v>43.949226459205313</v>
      </c>
      <c r="I34" s="377">
        <f>E34*мат.вода!$F$42</f>
        <v>10.295610407316975</v>
      </c>
      <c r="J34" s="377">
        <f t="shared" si="3"/>
        <v>0.40672642340671422</v>
      </c>
    </row>
    <row r="35" spans="1:10" s="425" customFormat="1" ht="10.5" x14ac:dyDescent="0.2">
      <c r="A35" s="381">
        <v>33</v>
      </c>
      <c r="B35" s="382" t="s">
        <v>363</v>
      </c>
      <c r="C35" s="384">
        <v>394.3</v>
      </c>
      <c r="D35" s="383">
        <v>70</v>
      </c>
      <c r="E35" s="379">
        <f t="shared" ref="E35:E56" si="5">D35/$E$163</f>
        <v>1.6016377649325623E-2</v>
      </c>
      <c r="F35" s="377">
        <f t="shared" ref="F35:F56" si="6">E35*$F$163</f>
        <v>154.68321230732172</v>
      </c>
      <c r="G35" s="377">
        <f t="shared" si="4"/>
        <v>34.030306707610777</v>
      </c>
      <c r="H35" s="377">
        <f>F35*'92'!$C$20/100</f>
        <v>30.764458521443718</v>
      </c>
      <c r="I35" s="377">
        <f>E35*мат.вода!$F$42</f>
        <v>7.206927285121882</v>
      </c>
      <c r="J35" s="377">
        <f t="shared" si="3"/>
        <v>0.57490465336418484</v>
      </c>
    </row>
    <row r="36" spans="1:10" s="425" customFormat="1" ht="10.5" x14ac:dyDescent="0.2">
      <c r="A36" s="381">
        <v>34</v>
      </c>
      <c r="B36" s="382" t="s">
        <v>364</v>
      </c>
      <c r="C36" s="384">
        <v>462.9</v>
      </c>
      <c r="D36" s="383">
        <v>40</v>
      </c>
      <c r="E36" s="379">
        <f t="shared" si="5"/>
        <v>9.1522157996146419E-3</v>
      </c>
      <c r="F36" s="377">
        <f t="shared" si="6"/>
        <v>88.390407032755277</v>
      </c>
      <c r="G36" s="377">
        <f t="shared" si="4"/>
        <v>19.445889547206161</v>
      </c>
      <c r="H36" s="377">
        <f>F36*'92'!$C$20/100</f>
        <v>17.579690583682126</v>
      </c>
      <c r="I36" s="377">
        <f>E36*мат.вода!$F$42</f>
        <v>4.1182441629267901</v>
      </c>
      <c r="J36" s="377">
        <f t="shared" si="3"/>
        <v>0.27983199681695908</v>
      </c>
    </row>
    <row r="37" spans="1:10" s="425" customFormat="1" ht="10.5" x14ac:dyDescent="0.2">
      <c r="A37" s="381">
        <v>35</v>
      </c>
      <c r="B37" s="382" t="s">
        <v>365</v>
      </c>
      <c r="C37" s="384">
        <v>411.79</v>
      </c>
      <c r="D37" s="383">
        <v>50</v>
      </c>
      <c r="E37" s="379">
        <f t="shared" si="5"/>
        <v>1.1440269749518303E-2</v>
      </c>
      <c r="F37" s="377">
        <f t="shared" si="6"/>
        <v>110.48800879094409</v>
      </c>
      <c r="G37" s="377">
        <f t="shared" si="4"/>
        <v>24.307361934007698</v>
      </c>
      <c r="H37" s="377">
        <f>F37*'92'!$C$20/100</f>
        <v>21.974613229602657</v>
      </c>
      <c r="I37" s="377">
        <f>E37*мат.вода!$F$42</f>
        <v>5.1478052036584874</v>
      </c>
      <c r="J37" s="377">
        <f t="shared" si="3"/>
        <v>0.393204762520248</v>
      </c>
    </row>
    <row r="38" spans="1:10" s="425" customFormat="1" ht="10.5" x14ac:dyDescent="0.2">
      <c r="A38" s="381">
        <v>36</v>
      </c>
      <c r="B38" s="382" t="s">
        <v>366</v>
      </c>
      <c r="C38" s="384">
        <v>674.2</v>
      </c>
      <c r="D38" s="383">
        <v>80</v>
      </c>
      <c r="E38" s="379">
        <f t="shared" si="5"/>
        <v>1.8304431599229284E-2</v>
      </c>
      <c r="F38" s="377">
        <f t="shared" si="6"/>
        <v>176.78081406551055</v>
      </c>
      <c r="G38" s="377">
        <f t="shared" si="4"/>
        <v>38.891779094412321</v>
      </c>
      <c r="H38" s="377">
        <f>F38*'92'!$C$20/100</f>
        <v>35.159381167364252</v>
      </c>
      <c r="I38" s="377">
        <f>E38*мат.вода!$F$42</f>
        <v>8.2364883258535802</v>
      </c>
      <c r="J38" s="377">
        <f t="shared" si="3"/>
        <v>0.38426054976734014</v>
      </c>
    </row>
    <row r="39" spans="1:10" s="425" customFormat="1" ht="10.5" x14ac:dyDescent="0.2">
      <c r="A39" s="381">
        <v>37</v>
      </c>
      <c r="B39" s="382" t="s">
        <v>367</v>
      </c>
      <c r="C39" s="384">
        <v>169</v>
      </c>
      <c r="D39" s="383">
        <v>20</v>
      </c>
      <c r="E39" s="379">
        <f t="shared" si="5"/>
        <v>4.5761078998073209E-3</v>
      </c>
      <c r="F39" s="377">
        <f t="shared" si="6"/>
        <v>44.195203516377639</v>
      </c>
      <c r="G39" s="377">
        <f t="shared" si="4"/>
        <v>9.7229447736030803</v>
      </c>
      <c r="H39" s="377">
        <f>F39*'92'!$C$20/100</f>
        <v>8.789845291841063</v>
      </c>
      <c r="I39" s="377">
        <f>E39*мат.вода!$F$42</f>
        <v>2.059122081463395</v>
      </c>
      <c r="J39" s="377">
        <f t="shared" si="3"/>
        <v>0.38323737078866971</v>
      </c>
    </row>
    <row r="40" spans="1:10" s="425" customFormat="1" ht="10.5" x14ac:dyDescent="0.2">
      <c r="A40" s="381">
        <v>38</v>
      </c>
      <c r="B40" s="382" t="s">
        <v>368</v>
      </c>
      <c r="C40" s="384">
        <v>175.4</v>
      </c>
      <c r="D40" s="383">
        <v>20</v>
      </c>
      <c r="E40" s="379">
        <f t="shared" si="5"/>
        <v>4.5761078998073209E-3</v>
      </c>
      <c r="F40" s="377">
        <f t="shared" si="6"/>
        <v>44.195203516377639</v>
      </c>
      <c r="G40" s="377">
        <f t="shared" si="4"/>
        <v>9.7229447736030803</v>
      </c>
      <c r="H40" s="377">
        <f>F40*'92'!$C$20/100</f>
        <v>8.789845291841063</v>
      </c>
      <c r="I40" s="377">
        <f>E40*мат.вода!$F$42</f>
        <v>2.059122081463395</v>
      </c>
      <c r="J40" s="377">
        <f t="shared" si="3"/>
        <v>0.36925379511565098</v>
      </c>
    </row>
    <row r="41" spans="1:10" s="425" customFormat="1" ht="10.5" x14ac:dyDescent="0.2">
      <c r="A41" s="381">
        <v>39</v>
      </c>
      <c r="B41" s="382" t="s">
        <v>369</v>
      </c>
      <c r="C41" s="384">
        <v>173.5</v>
      </c>
      <c r="D41" s="383">
        <v>20</v>
      </c>
      <c r="E41" s="379">
        <f t="shared" si="5"/>
        <v>4.5761078998073209E-3</v>
      </c>
      <c r="F41" s="377">
        <f t="shared" si="6"/>
        <v>44.195203516377639</v>
      </c>
      <c r="G41" s="377">
        <f t="shared" si="4"/>
        <v>9.7229447736030803</v>
      </c>
      <c r="H41" s="377">
        <f>F41*'92'!$C$20/100</f>
        <v>8.789845291841063</v>
      </c>
      <c r="I41" s="377">
        <f>E41*мат.вода!$F$42</f>
        <v>2.059122081463395</v>
      </c>
      <c r="J41" s="377">
        <f t="shared" si="3"/>
        <v>0.37329749661835837</v>
      </c>
    </row>
    <row r="42" spans="1:10" s="425" customFormat="1" ht="10.5" x14ac:dyDescent="0.2">
      <c r="A42" s="381">
        <v>40</v>
      </c>
      <c r="B42" s="382" t="s">
        <v>370</v>
      </c>
      <c r="C42" s="384">
        <v>182</v>
      </c>
      <c r="D42" s="383">
        <v>20</v>
      </c>
      <c r="E42" s="379">
        <f t="shared" si="5"/>
        <v>4.5761078998073209E-3</v>
      </c>
      <c r="F42" s="377">
        <f t="shared" si="6"/>
        <v>44.195203516377639</v>
      </c>
      <c r="G42" s="377">
        <f t="shared" si="4"/>
        <v>9.7229447736030803</v>
      </c>
      <c r="H42" s="377">
        <f>F42*'92'!$C$20/100</f>
        <v>8.789845291841063</v>
      </c>
      <c r="I42" s="377">
        <f>E42*мат.вода!$F$42</f>
        <v>2.059122081463395</v>
      </c>
      <c r="J42" s="377">
        <f t="shared" si="3"/>
        <v>0.35586327287519331</v>
      </c>
    </row>
    <row r="43" spans="1:10" s="425" customFormat="1" ht="10.5" x14ac:dyDescent="0.2">
      <c r="A43" s="381">
        <v>41</v>
      </c>
      <c r="B43" s="382" t="s">
        <v>371</v>
      </c>
      <c r="C43" s="384">
        <v>629.6</v>
      </c>
      <c r="D43" s="383">
        <v>105</v>
      </c>
      <c r="E43" s="379">
        <f t="shared" si="5"/>
        <v>2.4024566473988436E-2</v>
      </c>
      <c r="F43" s="377">
        <f t="shared" si="6"/>
        <v>232.0248184609826</v>
      </c>
      <c r="G43" s="377">
        <f t="shared" si="4"/>
        <v>51.045460061416172</v>
      </c>
      <c r="H43" s="377">
        <f>F43*'92'!$C$20/100</f>
        <v>46.146687782165579</v>
      </c>
      <c r="I43" s="377">
        <f>E43*мат.вода!$F$42</f>
        <v>10.810390927682823</v>
      </c>
      <c r="J43" s="377">
        <f t="shared" si="3"/>
        <v>0.54006886472720328</v>
      </c>
    </row>
    <row r="44" spans="1:10" s="425" customFormat="1" ht="10.5" x14ac:dyDescent="0.2">
      <c r="A44" s="381">
        <v>42</v>
      </c>
      <c r="B44" s="382" t="s">
        <v>372</v>
      </c>
      <c r="C44" s="384">
        <v>628.9</v>
      </c>
      <c r="D44" s="383">
        <v>105</v>
      </c>
      <c r="E44" s="379">
        <f t="shared" si="5"/>
        <v>2.4024566473988436E-2</v>
      </c>
      <c r="F44" s="377">
        <f t="shared" si="6"/>
        <v>232.0248184609826</v>
      </c>
      <c r="G44" s="377">
        <f t="shared" si="4"/>
        <v>51.045460061416172</v>
      </c>
      <c r="H44" s="377">
        <f>F44*'92'!$C$20/100</f>
        <v>46.146687782165579</v>
      </c>
      <c r="I44" s="377">
        <f>E44*мат.вода!$F$42</f>
        <v>10.810390927682823</v>
      </c>
      <c r="J44" s="377">
        <f t="shared" si="3"/>
        <v>0.54066999082882372</v>
      </c>
    </row>
    <row r="45" spans="1:10" s="425" customFormat="1" ht="10.5" x14ac:dyDescent="0.2">
      <c r="A45" s="381">
        <v>43</v>
      </c>
      <c r="B45" s="382" t="s">
        <v>373</v>
      </c>
      <c r="C45" s="384">
        <v>509.3</v>
      </c>
      <c r="D45" s="383">
        <v>105</v>
      </c>
      <c r="E45" s="379">
        <f t="shared" si="5"/>
        <v>2.4024566473988436E-2</v>
      </c>
      <c r="F45" s="377">
        <f t="shared" si="6"/>
        <v>232.0248184609826</v>
      </c>
      <c r="G45" s="377">
        <f t="shared" si="4"/>
        <v>51.045460061416172</v>
      </c>
      <c r="H45" s="377">
        <f>F45*'92'!$C$20/100</f>
        <v>46.146687782165579</v>
      </c>
      <c r="I45" s="377">
        <f>E45*мат.вода!$F$42</f>
        <v>10.810390927682823</v>
      </c>
      <c r="J45" s="377">
        <f t="shared" si="3"/>
        <v>0.66763667235862401</v>
      </c>
    </row>
    <row r="46" spans="1:10" s="425" customFormat="1" ht="10.5" x14ac:dyDescent="0.2">
      <c r="A46" s="381">
        <v>44</v>
      </c>
      <c r="B46" s="382" t="s">
        <v>374</v>
      </c>
      <c r="C46" s="384">
        <v>404.4</v>
      </c>
      <c r="D46" s="383">
        <v>34</v>
      </c>
      <c r="E46" s="379">
        <f t="shared" si="5"/>
        <v>7.779383429672446E-3</v>
      </c>
      <c r="F46" s="377">
        <f t="shared" si="6"/>
        <v>75.131845977841991</v>
      </c>
      <c r="G46" s="377">
        <f t="shared" si="4"/>
        <v>16.529006115125238</v>
      </c>
      <c r="H46" s="377">
        <f>F46*'92'!$C$20/100</f>
        <v>14.942736996129808</v>
      </c>
      <c r="I46" s="377">
        <f>E46*мат.вода!$F$42</f>
        <v>3.5005075384877715</v>
      </c>
      <c r="J46" s="377">
        <f t="shared" si="3"/>
        <v>0.27226532301578837</v>
      </c>
    </row>
    <row r="47" spans="1:10" s="425" customFormat="1" ht="10.5" x14ac:dyDescent="0.2">
      <c r="A47" s="381">
        <v>45</v>
      </c>
      <c r="B47" s="382" t="s">
        <v>375</v>
      </c>
      <c r="C47" s="384">
        <v>409.8</v>
      </c>
      <c r="D47" s="383">
        <v>48</v>
      </c>
      <c r="E47" s="379">
        <f t="shared" si="5"/>
        <v>1.098265895953757E-2</v>
      </c>
      <c r="F47" s="377">
        <f t="shared" si="6"/>
        <v>106.06848843930632</v>
      </c>
      <c r="G47" s="377">
        <f t="shared" si="4"/>
        <v>23.335067456647391</v>
      </c>
      <c r="H47" s="377">
        <f>F47*'92'!$C$20/100</f>
        <v>21.095628700418548</v>
      </c>
      <c r="I47" s="377">
        <f>E47*мат.вода!$F$42</f>
        <v>4.9418929955121476</v>
      </c>
      <c r="J47" s="377">
        <f t="shared" si="3"/>
        <v>0.3793096085697521</v>
      </c>
    </row>
    <row r="48" spans="1:10" s="425" customFormat="1" ht="10.5" x14ac:dyDescent="0.2">
      <c r="A48" s="381">
        <v>46</v>
      </c>
      <c r="B48" s="382" t="s">
        <v>376</v>
      </c>
      <c r="C48" s="384">
        <v>374.7</v>
      </c>
      <c r="D48" s="383">
        <v>30</v>
      </c>
      <c r="E48" s="379">
        <f t="shared" si="5"/>
        <v>6.8641618497109818E-3</v>
      </c>
      <c r="F48" s="377">
        <f t="shared" si="6"/>
        <v>66.292805274566462</v>
      </c>
      <c r="G48" s="377">
        <f t="shared" si="4"/>
        <v>14.584417160404621</v>
      </c>
      <c r="H48" s="377">
        <f>F48*'92'!$C$20/100</f>
        <v>13.184767937761597</v>
      </c>
      <c r="I48" s="377">
        <f>E48*мат.вода!$F$42</f>
        <v>3.0886831221950928</v>
      </c>
      <c r="J48" s="377">
        <f t="shared" si="3"/>
        <v>0.2592758833598286</v>
      </c>
    </row>
    <row r="49" spans="1:10" s="425" customFormat="1" ht="10.5" x14ac:dyDescent="0.2">
      <c r="A49" s="381">
        <v>47</v>
      </c>
      <c r="B49" s="382" t="s">
        <v>377</v>
      </c>
      <c r="C49" s="384">
        <v>618.4</v>
      </c>
      <c r="D49" s="383">
        <v>73</v>
      </c>
      <c r="E49" s="379">
        <f t="shared" si="5"/>
        <v>1.6702793834296722E-2</v>
      </c>
      <c r="F49" s="377">
        <f t="shared" si="6"/>
        <v>161.31249283477837</v>
      </c>
      <c r="G49" s="377">
        <f t="shared" si="4"/>
        <v>35.488748423651238</v>
      </c>
      <c r="H49" s="377">
        <f>F49*'92'!$C$20/100</f>
        <v>32.082935315219878</v>
      </c>
      <c r="I49" s="377">
        <f>E49*мат.вода!$F$42</f>
        <v>7.5157955973413921</v>
      </c>
      <c r="J49" s="377">
        <f t="shared" si="3"/>
        <v>0.38227679846537982</v>
      </c>
    </row>
    <row r="50" spans="1:10" s="425" customFormat="1" ht="10.5" x14ac:dyDescent="0.2">
      <c r="A50" s="381">
        <v>48</v>
      </c>
      <c r="B50" s="382" t="s">
        <v>378</v>
      </c>
      <c r="C50" s="384">
        <v>1126.3</v>
      </c>
      <c r="D50" s="383">
        <v>111</v>
      </c>
      <c r="E50" s="379">
        <f t="shared" si="5"/>
        <v>2.5397398843930632E-2</v>
      </c>
      <c r="F50" s="377">
        <f t="shared" si="6"/>
        <v>245.28337951589589</v>
      </c>
      <c r="G50" s="377">
        <f t="shared" si="4"/>
        <v>53.962343493497094</v>
      </c>
      <c r="H50" s="377">
        <f>F50*'92'!$C$20/100</f>
        <v>48.783641369717898</v>
      </c>
      <c r="I50" s="377">
        <f>E50*мат.вода!$F$42</f>
        <v>11.428127552121842</v>
      </c>
      <c r="J50" s="377">
        <f t="shared" si="3"/>
        <v>0.31914897623300426</v>
      </c>
    </row>
    <row r="51" spans="1:10" s="425" customFormat="1" ht="10.5" x14ac:dyDescent="0.2">
      <c r="A51" s="381">
        <v>49</v>
      </c>
      <c r="B51" s="382" t="s">
        <v>379</v>
      </c>
      <c r="C51" s="384">
        <v>617</v>
      </c>
      <c r="D51" s="383">
        <v>132</v>
      </c>
      <c r="E51" s="379">
        <f t="shared" si="5"/>
        <v>3.0202312138728319E-2</v>
      </c>
      <c r="F51" s="377">
        <f t="shared" si="6"/>
        <v>291.68834320809242</v>
      </c>
      <c r="G51" s="377">
        <f t="shared" si="4"/>
        <v>64.171435505780337</v>
      </c>
      <c r="H51" s="377">
        <f>F51*'92'!$C$20/100</f>
        <v>58.012978926151021</v>
      </c>
      <c r="I51" s="377">
        <f>E51*мат.вода!$F$42</f>
        <v>13.590205737658406</v>
      </c>
      <c r="J51" s="377">
        <f t="shared" si="3"/>
        <v>0.69280869267047351</v>
      </c>
    </row>
    <row r="52" spans="1:10" s="425" customFormat="1" ht="10.5" x14ac:dyDescent="0.2">
      <c r="A52" s="381">
        <v>50</v>
      </c>
      <c r="B52" s="382" t="s">
        <v>380</v>
      </c>
      <c r="C52" s="384">
        <v>452</v>
      </c>
      <c r="D52" s="383">
        <v>50</v>
      </c>
      <c r="E52" s="379">
        <f t="shared" si="5"/>
        <v>1.1440269749518303E-2</v>
      </c>
      <c r="F52" s="377">
        <f t="shared" si="6"/>
        <v>110.48800879094409</v>
      </c>
      <c r="G52" s="377">
        <f t="shared" si="4"/>
        <v>24.307361934007698</v>
      </c>
      <c r="H52" s="377">
        <f>F52*'92'!$C$20/100</f>
        <v>21.974613229602657</v>
      </c>
      <c r="I52" s="377">
        <f>E52*мат.вода!$F$42</f>
        <v>5.1478052036584874</v>
      </c>
      <c r="J52" s="377">
        <f t="shared" si="3"/>
        <v>0.35822519725268348</v>
      </c>
    </row>
    <row r="53" spans="1:10" s="425" customFormat="1" ht="10.5" x14ac:dyDescent="0.2">
      <c r="A53" s="381">
        <v>51</v>
      </c>
      <c r="B53" s="382" t="s">
        <v>381</v>
      </c>
      <c r="C53" s="384">
        <v>1245.5999999999999</v>
      </c>
      <c r="D53" s="383">
        <v>94</v>
      </c>
      <c r="E53" s="379">
        <f t="shared" si="5"/>
        <v>2.150770712909441E-2</v>
      </c>
      <c r="F53" s="377">
        <f t="shared" si="6"/>
        <v>207.7174565269749</v>
      </c>
      <c r="G53" s="377">
        <f t="shared" si="4"/>
        <v>45.697840435934474</v>
      </c>
      <c r="H53" s="377">
        <f>F53*'92'!$C$20/100</f>
        <v>41.312272871652993</v>
      </c>
      <c r="I53" s="377">
        <f>E53*мат.вода!$F$42</f>
        <v>9.6778737828779562</v>
      </c>
      <c r="J53" s="377">
        <f t="shared" si="3"/>
        <v>0.24438458864598614</v>
      </c>
    </row>
    <row r="54" spans="1:10" s="425" customFormat="1" ht="10.5" x14ac:dyDescent="0.2">
      <c r="A54" s="381">
        <v>52</v>
      </c>
      <c r="B54" s="382" t="s">
        <v>382</v>
      </c>
      <c r="C54" s="384">
        <v>1275.5999999999999</v>
      </c>
      <c r="D54" s="383">
        <v>95</v>
      </c>
      <c r="E54" s="379">
        <f t="shared" si="5"/>
        <v>2.1736512524084775E-2</v>
      </c>
      <c r="F54" s="377">
        <f t="shared" si="6"/>
        <v>209.92721670279377</v>
      </c>
      <c r="G54" s="377">
        <f t="shared" si="4"/>
        <v>46.183987674614627</v>
      </c>
      <c r="H54" s="377">
        <f>F54*'92'!$C$20/100</f>
        <v>41.751765136245048</v>
      </c>
      <c r="I54" s="377">
        <f>E54*мат.вода!$F$42</f>
        <v>9.7808298869511265</v>
      </c>
      <c r="J54" s="377">
        <f t="shared" si="3"/>
        <v>0.24117575995657309</v>
      </c>
    </row>
    <row r="55" spans="1:10" s="425" customFormat="1" ht="10.5" x14ac:dyDescent="0.2">
      <c r="A55" s="381">
        <v>53</v>
      </c>
      <c r="B55" s="382" t="s">
        <v>383</v>
      </c>
      <c r="C55" s="384">
        <v>942.4</v>
      </c>
      <c r="D55" s="383">
        <v>150</v>
      </c>
      <c r="E55" s="379">
        <f t="shared" si="5"/>
        <v>3.4320809248554907E-2</v>
      </c>
      <c r="F55" s="377">
        <f t="shared" si="6"/>
        <v>331.46402637283228</v>
      </c>
      <c r="G55" s="377">
        <f t="shared" si="4"/>
        <v>72.922085802023105</v>
      </c>
      <c r="H55" s="377">
        <f>F55*'92'!$C$20/100</f>
        <v>65.923839688807973</v>
      </c>
      <c r="I55" s="377">
        <f>E55*мат.вода!$F$42</f>
        <v>15.443415610975462</v>
      </c>
      <c r="J55" s="377">
        <f t="shared" si="3"/>
        <v>0.51544287720144188</v>
      </c>
    </row>
    <row r="56" spans="1:10" s="425" customFormat="1" ht="10.5" x14ac:dyDescent="0.2">
      <c r="A56" s="381">
        <v>54</v>
      </c>
      <c r="B56" s="382" t="s">
        <v>384</v>
      </c>
      <c r="C56" s="384">
        <v>567.95000000000005</v>
      </c>
      <c r="D56" s="383">
        <v>40</v>
      </c>
      <c r="E56" s="379">
        <f t="shared" si="5"/>
        <v>9.1522157996146419E-3</v>
      </c>
      <c r="F56" s="377">
        <f t="shared" si="6"/>
        <v>88.390407032755277</v>
      </c>
      <c r="G56" s="377">
        <f t="shared" si="4"/>
        <v>19.445889547206161</v>
      </c>
      <c r="H56" s="377">
        <f>F56*'92'!$C$20/100</f>
        <v>17.579690583682126</v>
      </c>
      <c r="I56" s="377">
        <f>E56*мат.вода!$F$42</f>
        <v>4.1182441629267901</v>
      </c>
      <c r="J56" s="377">
        <f t="shared" si="3"/>
        <v>0.22807330104158879</v>
      </c>
    </row>
    <row r="57" spans="1:10" s="425" customFormat="1" ht="10.5" x14ac:dyDescent="0.2">
      <c r="A57" s="381">
        <v>55</v>
      </c>
      <c r="B57" s="382" t="s">
        <v>385</v>
      </c>
      <c r="C57" s="384">
        <v>1119.5999999999999</v>
      </c>
      <c r="D57" s="383">
        <v>190</v>
      </c>
      <c r="E57" s="379">
        <f t="shared" ref="E57:E120" si="7">D57/$E$163</f>
        <v>4.347302504816955E-2</v>
      </c>
      <c r="F57" s="377">
        <f t="shared" ref="F57:F120" si="8">E57*$F$163</f>
        <v>419.85443340558754</v>
      </c>
      <c r="G57" s="377">
        <f t="shared" si="4"/>
        <v>92.367975349229255</v>
      </c>
      <c r="H57" s="377">
        <f>F57*'92'!$C$20/100</f>
        <v>83.503530272490096</v>
      </c>
      <c r="I57" s="377">
        <f>E57*мат.вода!$F$42</f>
        <v>19.561659773902253</v>
      </c>
      <c r="J57" s="377">
        <f t="shared" si="3"/>
        <v>0.54956019900072284</v>
      </c>
    </row>
    <row r="58" spans="1:10" s="425" customFormat="1" ht="10.5" x14ac:dyDescent="0.2">
      <c r="A58" s="381">
        <v>56</v>
      </c>
      <c r="B58" s="382" t="s">
        <v>386</v>
      </c>
      <c r="C58" s="384">
        <v>946.6</v>
      </c>
      <c r="D58" s="383">
        <v>190</v>
      </c>
      <c r="E58" s="379">
        <f t="shared" si="7"/>
        <v>4.347302504816955E-2</v>
      </c>
      <c r="F58" s="377">
        <f t="shared" si="8"/>
        <v>419.85443340558754</v>
      </c>
      <c r="G58" s="377">
        <f t="shared" si="4"/>
        <v>92.367975349229255</v>
      </c>
      <c r="H58" s="377">
        <f>F58*'92'!$C$20/100</f>
        <v>83.503530272490096</v>
      </c>
      <c r="I58" s="377">
        <f>E58*мат.вода!$F$42</f>
        <v>19.561659773902253</v>
      </c>
      <c r="J58" s="377">
        <f t="shared" si="3"/>
        <v>0.6499974633437664</v>
      </c>
    </row>
    <row r="59" spans="1:10" s="425" customFormat="1" ht="10.5" x14ac:dyDescent="0.2">
      <c r="A59" s="381">
        <v>57</v>
      </c>
      <c r="B59" s="382" t="s">
        <v>387</v>
      </c>
      <c r="C59" s="384">
        <v>1375.7</v>
      </c>
      <c r="D59" s="383">
        <v>150</v>
      </c>
      <c r="E59" s="379">
        <f t="shared" si="7"/>
        <v>3.4320809248554907E-2</v>
      </c>
      <c r="F59" s="377">
        <f t="shared" si="8"/>
        <v>331.46402637283228</v>
      </c>
      <c r="G59" s="377">
        <f t="shared" si="4"/>
        <v>72.922085802023105</v>
      </c>
      <c r="H59" s="377">
        <f>F59*'92'!$C$20/100</f>
        <v>65.923839688807973</v>
      </c>
      <c r="I59" s="377">
        <f>E59*мат.вода!$F$42</f>
        <v>15.443415610975462</v>
      </c>
      <c r="J59" s="377">
        <f t="shared" si="3"/>
        <v>0.35309541867750149</v>
      </c>
    </row>
    <row r="60" spans="1:10" s="425" customFormat="1" ht="10.5" x14ac:dyDescent="0.2">
      <c r="A60" s="381">
        <v>58</v>
      </c>
      <c r="B60" s="382" t="s">
        <v>388</v>
      </c>
      <c r="C60" s="384">
        <v>1540.17</v>
      </c>
      <c r="D60" s="383">
        <v>172</v>
      </c>
      <c r="E60" s="379">
        <f t="shared" si="7"/>
        <v>3.9354527938342959E-2</v>
      </c>
      <c r="F60" s="377">
        <f t="shared" si="8"/>
        <v>380.07875024084768</v>
      </c>
      <c r="G60" s="377">
        <f t="shared" si="4"/>
        <v>83.617325052986487</v>
      </c>
      <c r="H60" s="377">
        <f>F60*'92'!$C$20/100</f>
        <v>75.592669509833144</v>
      </c>
      <c r="I60" s="377">
        <f>E60*мат.вода!$F$42</f>
        <v>17.708449900585197</v>
      </c>
      <c r="J60" s="377">
        <f t="shared" si="3"/>
        <v>0.36164656804395129</v>
      </c>
    </row>
    <row r="61" spans="1:10" s="425" customFormat="1" ht="10.5" x14ac:dyDescent="0.2">
      <c r="A61" s="381">
        <v>59</v>
      </c>
      <c r="B61" s="382" t="s">
        <v>389</v>
      </c>
      <c r="C61" s="384">
        <v>1571.33</v>
      </c>
      <c r="D61" s="383">
        <v>176</v>
      </c>
      <c r="E61" s="379">
        <f t="shared" si="7"/>
        <v>4.0269749518304428E-2</v>
      </c>
      <c r="F61" s="377">
        <f t="shared" si="8"/>
        <v>388.91779094412323</v>
      </c>
      <c r="G61" s="377">
        <f t="shared" si="4"/>
        <v>85.561914007707117</v>
      </c>
      <c r="H61" s="377">
        <f>F61*'92'!$C$20/100</f>
        <v>77.350638568201362</v>
      </c>
      <c r="I61" s="377">
        <f>E61*мат.вода!$F$42</f>
        <v>18.120274316877875</v>
      </c>
      <c r="J61" s="377">
        <f t="shared" si="3"/>
        <v>0.36271860006294637</v>
      </c>
    </row>
    <row r="62" spans="1:10" s="425" customFormat="1" ht="10.5" x14ac:dyDescent="0.2">
      <c r="A62" s="381">
        <v>60</v>
      </c>
      <c r="B62" s="382" t="s">
        <v>390</v>
      </c>
      <c r="C62" s="384">
        <v>1686.29</v>
      </c>
      <c r="D62" s="383">
        <v>80</v>
      </c>
      <c r="E62" s="379">
        <f t="shared" si="7"/>
        <v>1.8304431599229284E-2</v>
      </c>
      <c r="F62" s="377">
        <f t="shared" si="8"/>
        <v>176.78081406551055</v>
      </c>
      <c r="G62" s="377">
        <f t="shared" si="4"/>
        <v>38.891779094412321</v>
      </c>
      <c r="H62" s="377">
        <f>F62*'92'!$C$20/100</f>
        <v>35.159381167364252</v>
      </c>
      <c r="I62" s="377">
        <f>E62*мат.вода!$F$42</f>
        <v>8.2364883258535802</v>
      </c>
      <c r="J62" s="377">
        <f t="shared" si="3"/>
        <v>0.15363221192863666</v>
      </c>
    </row>
    <row r="63" spans="1:10" s="425" customFormat="1" ht="10.5" x14ac:dyDescent="0.2">
      <c r="A63" s="381">
        <v>61</v>
      </c>
      <c r="B63" s="382" t="s">
        <v>391</v>
      </c>
      <c r="C63" s="384">
        <v>454.2</v>
      </c>
      <c r="D63" s="383">
        <v>50</v>
      </c>
      <c r="E63" s="379">
        <f t="shared" si="7"/>
        <v>1.1440269749518303E-2</v>
      </c>
      <c r="F63" s="377">
        <f t="shared" si="8"/>
        <v>110.48800879094409</v>
      </c>
      <c r="G63" s="377">
        <f t="shared" si="4"/>
        <v>24.307361934007698</v>
      </c>
      <c r="H63" s="377">
        <f>F63*'92'!$C$20/100</f>
        <v>21.974613229602657</v>
      </c>
      <c r="I63" s="377">
        <f>E63*мат.вода!$F$42</f>
        <v>5.1478052036584874</v>
      </c>
      <c r="J63" s="377">
        <f t="shared" si="3"/>
        <v>0.35649006860020466</v>
      </c>
    </row>
    <row r="64" spans="1:10" s="425" customFormat="1" ht="10.5" x14ac:dyDescent="0.2">
      <c r="A64" s="381">
        <v>62</v>
      </c>
      <c r="B64" s="382" t="s">
        <v>392</v>
      </c>
      <c r="C64" s="384">
        <v>752.4</v>
      </c>
      <c r="D64" s="383">
        <v>75</v>
      </c>
      <c r="E64" s="379">
        <f t="shared" si="7"/>
        <v>1.7160404624277453E-2</v>
      </c>
      <c r="F64" s="377">
        <f t="shared" si="8"/>
        <v>165.73201318641614</v>
      </c>
      <c r="G64" s="377">
        <f t="shared" si="4"/>
        <v>36.461042901011552</v>
      </c>
      <c r="H64" s="377">
        <f>F64*'92'!$C$20/100</f>
        <v>32.961919844403987</v>
      </c>
      <c r="I64" s="377">
        <f>E64*мат.вода!$F$42</f>
        <v>7.7217078054877311</v>
      </c>
      <c r="J64" s="377">
        <f t="shared" si="3"/>
        <v>0.32280260996453936</v>
      </c>
    </row>
    <row r="65" spans="1:10" s="425" customFormat="1" ht="10.5" x14ac:dyDescent="0.2">
      <c r="A65" s="381">
        <v>63</v>
      </c>
      <c r="B65" s="382" t="s">
        <v>393</v>
      </c>
      <c r="C65" s="384">
        <v>956.4</v>
      </c>
      <c r="D65" s="383">
        <v>90</v>
      </c>
      <c r="E65" s="379">
        <f t="shared" si="7"/>
        <v>2.0592485549132945E-2</v>
      </c>
      <c r="F65" s="377">
        <f t="shared" si="8"/>
        <v>198.87841582369936</v>
      </c>
      <c r="G65" s="377">
        <f t="shared" si="4"/>
        <v>43.753251481213859</v>
      </c>
      <c r="H65" s="377">
        <f>F65*'92'!$C$20/100</f>
        <v>39.554303813284783</v>
      </c>
      <c r="I65" s="377">
        <f>E65*мат.вода!$F$42</f>
        <v>9.2660493665852766</v>
      </c>
      <c r="J65" s="377">
        <f t="shared" si="3"/>
        <v>0.30473862451357514</v>
      </c>
    </row>
    <row r="66" spans="1:10" s="425" customFormat="1" ht="10.5" x14ac:dyDescent="0.2">
      <c r="A66" s="381">
        <v>64</v>
      </c>
      <c r="B66" s="382" t="s">
        <v>394</v>
      </c>
      <c r="C66" s="384">
        <v>955.5</v>
      </c>
      <c r="D66" s="383">
        <v>150</v>
      </c>
      <c r="E66" s="379">
        <f t="shared" si="7"/>
        <v>3.4320809248554907E-2</v>
      </c>
      <c r="F66" s="377">
        <f t="shared" si="8"/>
        <v>331.46402637283228</v>
      </c>
      <c r="G66" s="377">
        <f t="shared" si="4"/>
        <v>72.922085802023105</v>
      </c>
      <c r="H66" s="377">
        <f>F66*'92'!$C$20/100</f>
        <v>65.923839688807973</v>
      </c>
      <c r="I66" s="377">
        <f>E66*мат.вода!$F$42</f>
        <v>15.443415610975462</v>
      </c>
      <c r="J66" s="377">
        <f t="shared" si="3"/>
        <v>0.50837610410741896</v>
      </c>
    </row>
    <row r="67" spans="1:10" s="425" customFormat="1" ht="10.5" x14ac:dyDescent="0.2">
      <c r="A67" s="381">
        <v>65</v>
      </c>
      <c r="B67" s="382" t="s">
        <v>395</v>
      </c>
      <c r="C67" s="384">
        <v>1548.5</v>
      </c>
      <c r="D67" s="383">
        <v>168</v>
      </c>
      <c r="E67" s="379">
        <f t="shared" si="7"/>
        <v>3.8439306358381498E-2</v>
      </c>
      <c r="F67" s="377">
        <f t="shared" si="8"/>
        <v>371.23970953757214</v>
      </c>
      <c r="G67" s="377">
        <f t="shared" si="4"/>
        <v>81.672736098265872</v>
      </c>
      <c r="H67" s="377">
        <f>F67*'92'!$C$20/100</f>
        <v>73.834700451464926</v>
      </c>
      <c r="I67" s="377">
        <f>E67*мат.вода!$F$42</f>
        <v>17.29662548429252</v>
      </c>
      <c r="J67" s="377">
        <f t="shared" si="3"/>
        <v>0.35133598422447238</v>
      </c>
    </row>
    <row r="68" spans="1:10" s="425" customFormat="1" ht="10.5" x14ac:dyDescent="0.2">
      <c r="A68" s="381">
        <v>66</v>
      </c>
      <c r="B68" s="382" t="s">
        <v>396</v>
      </c>
      <c r="C68" s="384">
        <v>1567.3</v>
      </c>
      <c r="D68" s="383">
        <v>168</v>
      </c>
      <c r="E68" s="379">
        <f t="shared" si="7"/>
        <v>3.8439306358381498E-2</v>
      </c>
      <c r="F68" s="377">
        <f t="shared" si="8"/>
        <v>371.23970953757214</v>
      </c>
      <c r="G68" s="377">
        <f t="shared" si="4"/>
        <v>81.672736098265872</v>
      </c>
      <c r="H68" s="377">
        <f>F68*'92'!$C$20/100</f>
        <v>73.834700451464926</v>
      </c>
      <c r="I68" s="377">
        <f>E68*мат.вода!$F$42</f>
        <v>17.29662548429252</v>
      </c>
      <c r="J68" s="377">
        <f t="shared" ref="J68:J131" si="9">(F68+G68+H68+I68)/C68</f>
        <v>0.34712165607834844</v>
      </c>
    </row>
    <row r="69" spans="1:10" s="425" customFormat="1" ht="10.5" x14ac:dyDescent="0.2">
      <c r="A69" s="381">
        <v>67</v>
      </c>
      <c r="B69" s="382" t="s">
        <v>397</v>
      </c>
      <c r="C69" s="384">
        <v>1558.46</v>
      </c>
      <c r="D69" s="383">
        <v>160</v>
      </c>
      <c r="E69" s="379">
        <f t="shared" si="7"/>
        <v>3.6608863198458567E-2</v>
      </c>
      <c r="F69" s="377">
        <f t="shared" si="8"/>
        <v>353.56162813102111</v>
      </c>
      <c r="G69" s="377">
        <f t="shared" si="4"/>
        <v>77.783558188824642</v>
      </c>
      <c r="H69" s="377">
        <f>F69*'92'!$C$20/100</f>
        <v>70.318762334728504</v>
      </c>
      <c r="I69" s="377">
        <f>E69*мат.вода!$F$42</f>
        <v>16.47297665170716</v>
      </c>
      <c r="J69" s="377">
        <f t="shared" si="9"/>
        <v>0.33246725954229267</v>
      </c>
    </row>
    <row r="70" spans="1:10" s="425" customFormat="1" ht="10.5" x14ac:dyDescent="0.2">
      <c r="A70" s="381">
        <v>68</v>
      </c>
      <c r="B70" s="382" t="s">
        <v>398</v>
      </c>
      <c r="C70" s="384">
        <v>1575.7</v>
      </c>
      <c r="D70" s="383">
        <v>175</v>
      </c>
      <c r="E70" s="379">
        <f t="shared" si="7"/>
        <v>4.0040944123314062E-2</v>
      </c>
      <c r="F70" s="377">
        <f t="shared" si="8"/>
        <v>386.70803076830435</v>
      </c>
      <c r="G70" s="377">
        <f t="shared" si="4"/>
        <v>85.075766769026956</v>
      </c>
      <c r="H70" s="377">
        <f>F70*'92'!$C$20/100</f>
        <v>76.9111463036093</v>
      </c>
      <c r="I70" s="377">
        <f>E70*мат.вода!$F$42</f>
        <v>18.017318212804707</v>
      </c>
      <c r="J70" s="377">
        <f t="shared" si="9"/>
        <v>0.35965746147981553</v>
      </c>
    </row>
    <row r="71" spans="1:10" s="425" customFormat="1" ht="10.5" x14ac:dyDescent="0.2">
      <c r="A71" s="381">
        <v>69</v>
      </c>
      <c r="B71" s="382" t="s">
        <v>399</v>
      </c>
      <c r="C71" s="384">
        <v>1546.3</v>
      </c>
      <c r="D71" s="383">
        <v>174</v>
      </c>
      <c r="E71" s="379">
        <f t="shared" si="7"/>
        <v>3.9812138728323697E-2</v>
      </c>
      <c r="F71" s="377">
        <f t="shared" si="8"/>
        <v>384.49827059248548</v>
      </c>
      <c r="G71" s="377">
        <f t="shared" si="4"/>
        <v>84.589619530346809</v>
      </c>
      <c r="H71" s="377">
        <f>F71*'92'!$C$20/100</f>
        <v>76.471654039017253</v>
      </c>
      <c r="I71" s="377">
        <f>E71*мат.вода!$F$42</f>
        <v>17.914362108731538</v>
      </c>
      <c r="J71" s="377">
        <f t="shared" si="9"/>
        <v>0.36440141387219888</v>
      </c>
    </row>
    <row r="72" spans="1:10" s="425" customFormat="1" ht="10.5" x14ac:dyDescent="0.2">
      <c r="A72" s="381">
        <v>70</v>
      </c>
      <c r="B72" s="382" t="s">
        <v>400</v>
      </c>
      <c r="C72" s="384">
        <v>563.1</v>
      </c>
      <c r="D72" s="383">
        <v>105</v>
      </c>
      <c r="E72" s="379">
        <f t="shared" si="7"/>
        <v>2.4024566473988436E-2</v>
      </c>
      <c r="F72" s="377">
        <f t="shared" si="8"/>
        <v>232.0248184609826</v>
      </c>
      <c r="G72" s="377">
        <f t="shared" si="4"/>
        <v>51.045460061416172</v>
      </c>
      <c r="H72" s="377">
        <f>F72*'92'!$C$20/100</f>
        <v>46.146687782165579</v>
      </c>
      <c r="I72" s="377">
        <f>E72*мат.вода!$F$42</f>
        <v>10.810390927682823</v>
      </c>
      <c r="J72" s="377">
        <f t="shared" si="9"/>
        <v>0.60384897395177972</v>
      </c>
    </row>
    <row r="73" spans="1:10" s="425" customFormat="1" ht="10.5" x14ac:dyDescent="0.2">
      <c r="A73" s="381">
        <v>71</v>
      </c>
      <c r="B73" s="382" t="s">
        <v>401</v>
      </c>
      <c r="C73" s="384">
        <v>549.6</v>
      </c>
      <c r="D73" s="383">
        <v>82</v>
      </c>
      <c r="E73" s="379">
        <f t="shared" si="7"/>
        <v>1.8762042389210018E-2</v>
      </c>
      <c r="F73" s="377">
        <f t="shared" si="8"/>
        <v>181.20033441714833</v>
      </c>
      <c r="G73" s="377">
        <f t="shared" si="4"/>
        <v>39.864073571772636</v>
      </c>
      <c r="H73" s="377">
        <f>F73*'92'!$C$20/100</f>
        <v>36.038365696548361</v>
      </c>
      <c r="I73" s="377">
        <f>E73*мат.вода!$F$42</f>
        <v>8.4424005339999209</v>
      </c>
      <c r="J73" s="377">
        <f t="shared" si="9"/>
        <v>0.48316079734255679</v>
      </c>
    </row>
    <row r="74" spans="1:10" s="425" customFormat="1" ht="10.5" x14ac:dyDescent="0.2">
      <c r="A74" s="381">
        <v>72</v>
      </c>
      <c r="B74" s="382" t="s">
        <v>402</v>
      </c>
      <c r="C74" s="384">
        <v>983</v>
      </c>
      <c r="D74" s="383">
        <v>58</v>
      </c>
      <c r="E74" s="379">
        <f t="shared" si="7"/>
        <v>1.3270712909441231E-2</v>
      </c>
      <c r="F74" s="377">
        <f t="shared" si="8"/>
        <v>128.16609019749515</v>
      </c>
      <c r="G74" s="377">
        <f t="shared" si="4"/>
        <v>28.196539843448932</v>
      </c>
      <c r="H74" s="377">
        <f>F74*'92'!$C$20/100</f>
        <v>25.490551346339085</v>
      </c>
      <c r="I74" s="377">
        <f>E74*мат.вода!$F$42</f>
        <v>5.9714540362438457</v>
      </c>
      <c r="J74" s="377">
        <f t="shared" si="9"/>
        <v>0.19107287428639574</v>
      </c>
    </row>
    <row r="75" spans="1:10" s="425" customFormat="1" ht="10.5" x14ac:dyDescent="0.2">
      <c r="A75" s="381">
        <v>73</v>
      </c>
      <c r="B75" s="382" t="s">
        <v>403</v>
      </c>
      <c r="C75" s="384">
        <v>1093.5999999999999</v>
      </c>
      <c r="D75" s="383">
        <v>111</v>
      </c>
      <c r="E75" s="379">
        <f t="shared" si="7"/>
        <v>2.5397398843930632E-2</v>
      </c>
      <c r="F75" s="377">
        <f t="shared" si="8"/>
        <v>245.28337951589589</v>
      </c>
      <c r="G75" s="377">
        <f t="shared" si="4"/>
        <v>53.962343493497094</v>
      </c>
      <c r="H75" s="377">
        <f>F75*'92'!$C$20/100</f>
        <v>48.783641369717898</v>
      </c>
      <c r="I75" s="377">
        <f>E75*мат.вода!$F$42</f>
        <v>11.428127552121842</v>
      </c>
      <c r="J75" s="377">
        <f t="shared" si="9"/>
        <v>0.32869192751575782</v>
      </c>
    </row>
    <row r="76" spans="1:10" s="425" customFormat="1" ht="10.5" x14ac:dyDescent="0.2">
      <c r="A76" s="381">
        <v>74</v>
      </c>
      <c r="B76" s="382" t="s">
        <v>404</v>
      </c>
      <c r="C76" s="384">
        <v>773.53</v>
      </c>
      <c r="D76" s="383">
        <v>94</v>
      </c>
      <c r="E76" s="379">
        <f t="shared" si="7"/>
        <v>2.150770712909441E-2</v>
      </c>
      <c r="F76" s="377">
        <f t="shared" si="8"/>
        <v>207.7174565269749</v>
      </c>
      <c r="G76" s="377">
        <f t="shared" si="4"/>
        <v>45.697840435934474</v>
      </c>
      <c r="H76" s="377">
        <f>F76*'92'!$C$20/100</f>
        <v>41.312272871652993</v>
      </c>
      <c r="I76" s="377">
        <f>E76*мат.вода!$F$42</f>
        <v>9.6778737828779562</v>
      </c>
      <c r="J76" s="377">
        <f t="shared" si="9"/>
        <v>0.39352765066311629</v>
      </c>
    </row>
    <row r="77" spans="1:10" s="425" customFormat="1" ht="10.5" x14ac:dyDescent="0.2">
      <c r="A77" s="381">
        <v>75</v>
      </c>
      <c r="B77" s="382" t="s">
        <v>405</v>
      </c>
      <c r="C77" s="384">
        <v>1603.4</v>
      </c>
      <c r="D77" s="383">
        <v>172</v>
      </c>
      <c r="E77" s="379">
        <f t="shared" si="7"/>
        <v>3.9354527938342959E-2</v>
      </c>
      <c r="F77" s="377">
        <f t="shared" si="8"/>
        <v>380.07875024084768</v>
      </c>
      <c r="G77" s="377">
        <f t="shared" si="4"/>
        <v>83.617325052986487</v>
      </c>
      <c r="H77" s="377">
        <f>F77*'92'!$C$20/100</f>
        <v>75.592669509833144</v>
      </c>
      <c r="I77" s="377">
        <f>E77*мат.вода!$F$42</f>
        <v>17.708449900585197</v>
      </c>
      <c r="J77" s="377">
        <f t="shared" si="9"/>
        <v>0.34738505345157317</v>
      </c>
    </row>
    <row r="78" spans="1:10" s="425" customFormat="1" ht="10.5" x14ac:dyDescent="0.2">
      <c r="A78" s="381">
        <v>76</v>
      </c>
      <c r="B78" s="382" t="s">
        <v>406</v>
      </c>
      <c r="C78" s="384">
        <v>561.1</v>
      </c>
      <c r="D78" s="383">
        <v>35</v>
      </c>
      <c r="E78" s="379">
        <f t="shared" si="7"/>
        <v>8.0081888246628114E-3</v>
      </c>
      <c r="F78" s="377">
        <f t="shared" si="8"/>
        <v>77.341606153660862</v>
      </c>
      <c r="G78" s="377">
        <f t="shared" si="4"/>
        <v>17.015153353805388</v>
      </c>
      <c r="H78" s="377">
        <f>F78*'92'!$C$20/100</f>
        <v>15.382229260721859</v>
      </c>
      <c r="I78" s="377">
        <f>E78*мат.вода!$F$42</f>
        <v>3.603463642560941</v>
      </c>
      <c r="J78" s="377">
        <f t="shared" si="9"/>
        <v>0.2020004498498468</v>
      </c>
    </row>
    <row r="79" spans="1:10" s="425" customFormat="1" ht="10.5" x14ac:dyDescent="0.2">
      <c r="A79" s="381">
        <v>77</v>
      </c>
      <c r="B79" s="382" t="s">
        <v>407</v>
      </c>
      <c r="C79" s="384">
        <v>780.4</v>
      </c>
      <c r="D79" s="383">
        <v>76</v>
      </c>
      <c r="E79" s="379">
        <f t="shared" si="7"/>
        <v>1.7389210019267822E-2</v>
      </c>
      <c r="F79" s="377">
        <f t="shared" si="8"/>
        <v>167.94177336223504</v>
      </c>
      <c r="G79" s="377">
        <f t="shared" si="4"/>
        <v>36.947190139691713</v>
      </c>
      <c r="H79" s="377">
        <f>F79*'92'!$C$20/100</f>
        <v>33.401412108996041</v>
      </c>
      <c r="I79" s="377">
        <f>E79*мат.вода!$F$42</f>
        <v>7.8246639095609023</v>
      </c>
      <c r="J79" s="377">
        <f t="shared" si="9"/>
        <v>0.31537037355264447</v>
      </c>
    </row>
    <row r="80" spans="1:10" s="425" customFormat="1" ht="10.5" x14ac:dyDescent="0.2">
      <c r="A80" s="381">
        <v>78</v>
      </c>
      <c r="B80" s="382" t="s">
        <v>408</v>
      </c>
      <c r="C80" s="384">
        <v>1890.1</v>
      </c>
      <c r="D80" s="424">
        <f>[5]Лист1!$E$35+[5]Лист1!$E$36</f>
        <v>132</v>
      </c>
      <c r="E80" s="379">
        <f t="shared" si="7"/>
        <v>3.0202312138728319E-2</v>
      </c>
      <c r="F80" s="377">
        <f t="shared" si="8"/>
        <v>291.68834320809242</v>
      </c>
      <c r="G80" s="377">
        <f t="shared" si="4"/>
        <v>64.171435505780337</v>
      </c>
      <c r="H80" s="377">
        <f>F80*'92'!$C$20/100</f>
        <v>58.012978926151021</v>
      </c>
      <c r="I80" s="377">
        <f>E80*мат.вода!$F$42</f>
        <v>13.590205737658406</v>
      </c>
      <c r="J80" s="377">
        <f t="shared" si="9"/>
        <v>0.2261589140139052</v>
      </c>
    </row>
    <row r="81" spans="1:10" s="425" customFormat="1" ht="10.5" x14ac:dyDescent="0.2">
      <c r="A81" s="381">
        <v>79</v>
      </c>
      <c r="B81" s="382" t="s">
        <v>409</v>
      </c>
      <c r="C81" s="384">
        <v>1734.5</v>
      </c>
      <c r="D81" s="383">
        <v>135</v>
      </c>
      <c r="E81" s="379">
        <f t="shared" si="7"/>
        <v>3.0888728323699419E-2</v>
      </c>
      <c r="F81" s="377">
        <f t="shared" si="8"/>
        <v>298.31762373554903</v>
      </c>
      <c r="G81" s="377">
        <f t="shared" si="4"/>
        <v>65.629877221820792</v>
      </c>
      <c r="H81" s="377">
        <f>F81*'92'!$C$20/100</f>
        <v>59.33145571992717</v>
      </c>
      <c r="I81" s="377">
        <f>E81*мат.вода!$F$42</f>
        <v>13.899074049877918</v>
      </c>
      <c r="J81" s="377">
        <f t="shared" si="9"/>
        <v>0.25204844665735077</v>
      </c>
    </row>
    <row r="82" spans="1:10" s="425" customFormat="1" ht="10.5" x14ac:dyDescent="0.2">
      <c r="A82" s="381">
        <v>80</v>
      </c>
      <c r="B82" s="382" t="s">
        <v>410</v>
      </c>
      <c r="C82" s="384">
        <v>1565.58</v>
      </c>
      <c r="D82" s="383">
        <v>140</v>
      </c>
      <c r="E82" s="379">
        <f t="shared" si="7"/>
        <v>3.2032755298651246E-2</v>
      </c>
      <c r="F82" s="377">
        <f t="shared" si="8"/>
        <v>309.36642461464345</v>
      </c>
      <c r="G82" s="377">
        <f t="shared" si="4"/>
        <v>68.060613415221553</v>
      </c>
      <c r="H82" s="377">
        <f>F82*'92'!$C$20/100</f>
        <v>61.528917042887436</v>
      </c>
      <c r="I82" s="377">
        <f>E82*мат.вода!$F$42</f>
        <v>14.413854570243764</v>
      </c>
      <c r="J82" s="377">
        <f t="shared" si="9"/>
        <v>0.28958584655079667</v>
      </c>
    </row>
    <row r="83" spans="1:10" s="425" customFormat="1" ht="10.5" x14ac:dyDescent="0.2">
      <c r="A83" s="381">
        <v>81</v>
      </c>
      <c r="B83" s="382" t="s">
        <v>411</v>
      </c>
      <c r="C83" s="384">
        <v>2043.8</v>
      </c>
      <c r="D83" s="383">
        <v>280</v>
      </c>
      <c r="E83" s="379">
        <f t="shared" si="7"/>
        <v>6.4065510597302491E-2</v>
      </c>
      <c r="F83" s="377">
        <f t="shared" si="8"/>
        <v>618.7328492292869</v>
      </c>
      <c r="G83" s="377">
        <f t="shared" si="4"/>
        <v>136.12122683044311</v>
      </c>
      <c r="H83" s="377">
        <f>F83*'92'!$C$20/100</f>
        <v>123.05783408577487</v>
      </c>
      <c r="I83" s="377">
        <f>E83*мат.вода!$F$42</f>
        <v>28.827709140487528</v>
      </c>
      <c r="J83" s="377">
        <f t="shared" si="9"/>
        <v>0.44365379160680712</v>
      </c>
    </row>
    <row r="84" spans="1:10" s="425" customFormat="1" ht="10.5" x14ac:dyDescent="0.2">
      <c r="A84" s="381">
        <v>82</v>
      </c>
      <c r="B84" s="382" t="s">
        <v>412</v>
      </c>
      <c r="C84" s="384">
        <v>1277.5999999999999</v>
      </c>
      <c r="D84" s="383">
        <v>148</v>
      </c>
      <c r="E84" s="379">
        <f t="shared" si="7"/>
        <v>3.3863198458574176E-2</v>
      </c>
      <c r="F84" s="377">
        <f t="shared" si="8"/>
        <v>327.04450602119454</v>
      </c>
      <c r="G84" s="377">
        <f t="shared" si="4"/>
        <v>71.949791324662797</v>
      </c>
      <c r="H84" s="377">
        <f>F84*'92'!$C$20/100</f>
        <v>65.044855159623864</v>
      </c>
      <c r="I84" s="377">
        <f>E84*мат.вода!$F$42</f>
        <v>15.237503402829123</v>
      </c>
      <c r="J84" s="377">
        <f t="shared" si="9"/>
        <v>0.37513827168778208</v>
      </c>
    </row>
    <row r="85" spans="1:10" s="425" customFormat="1" ht="10.5" x14ac:dyDescent="0.2">
      <c r="A85" s="381">
        <v>83</v>
      </c>
      <c r="B85" s="382" t="s">
        <v>413</v>
      </c>
      <c r="C85" s="384">
        <v>1281.1500000000001</v>
      </c>
      <c r="D85" s="383">
        <v>155</v>
      </c>
      <c r="E85" s="379">
        <f t="shared" si="7"/>
        <v>3.546483622350674E-2</v>
      </c>
      <c r="F85" s="377">
        <f t="shared" si="8"/>
        <v>342.51282725192669</v>
      </c>
      <c r="G85" s="377">
        <f t="shared" si="4"/>
        <v>75.352821995423881</v>
      </c>
      <c r="H85" s="377">
        <f>F85*'92'!$C$20/100</f>
        <v>68.121301011768239</v>
      </c>
      <c r="I85" s="377">
        <f>E85*мат.вода!$F$42</f>
        <v>15.958196131341312</v>
      </c>
      <c r="J85" s="377">
        <f t="shared" si="9"/>
        <v>0.39179264441358164</v>
      </c>
    </row>
    <row r="86" spans="1:10" s="425" customFormat="1" ht="10.5" x14ac:dyDescent="0.2">
      <c r="A86" s="381">
        <v>84</v>
      </c>
      <c r="B86" s="382" t="s">
        <v>414</v>
      </c>
      <c r="C86" s="384">
        <v>1492.3</v>
      </c>
      <c r="D86" s="383">
        <v>130</v>
      </c>
      <c r="E86" s="379">
        <f t="shared" si="7"/>
        <v>2.9744701348747588E-2</v>
      </c>
      <c r="F86" s="377">
        <f t="shared" si="8"/>
        <v>287.26882285645468</v>
      </c>
      <c r="G86" s="377">
        <f t="shared" si="4"/>
        <v>63.19914102842003</v>
      </c>
      <c r="H86" s="377">
        <f>F86*'92'!$C$20/100</f>
        <v>57.133994396966919</v>
      </c>
      <c r="I86" s="377">
        <f>E86*мат.вода!$F$42</f>
        <v>13.384293529512068</v>
      </c>
      <c r="J86" s="377">
        <f t="shared" si="9"/>
        <v>0.28210564351092526</v>
      </c>
    </row>
    <row r="87" spans="1:10" s="425" customFormat="1" ht="10.5" x14ac:dyDescent="0.2">
      <c r="A87" s="381">
        <v>85</v>
      </c>
      <c r="B87" s="382" t="s">
        <v>415</v>
      </c>
      <c r="C87" s="384">
        <v>4130.75</v>
      </c>
      <c r="D87" s="383">
        <v>653</v>
      </c>
      <c r="E87" s="379">
        <f t="shared" si="7"/>
        <v>0.14940992292870903</v>
      </c>
      <c r="F87" s="377">
        <f t="shared" si="8"/>
        <v>1442.9733948097298</v>
      </c>
      <c r="G87" s="377">
        <f t="shared" si="4"/>
        <v>317.45414685814058</v>
      </c>
      <c r="H87" s="377">
        <f>F87*'92'!$C$20/100</f>
        <v>286.98844877861069</v>
      </c>
      <c r="I87" s="377">
        <f>E87*мат.вода!$F$42</f>
        <v>67.23033595977985</v>
      </c>
      <c r="J87" s="377">
        <f t="shared" si="9"/>
        <v>0.51192793715578544</v>
      </c>
    </row>
    <row r="88" spans="1:10" s="425" customFormat="1" ht="10.5" x14ac:dyDescent="0.2">
      <c r="A88" s="381">
        <v>86</v>
      </c>
      <c r="B88" s="382" t="s">
        <v>416</v>
      </c>
      <c r="C88" s="384">
        <v>3262.1</v>
      </c>
      <c r="D88" s="383">
        <v>590</v>
      </c>
      <c r="E88" s="379">
        <f t="shared" si="7"/>
        <v>0.13499518304431599</v>
      </c>
      <c r="F88" s="377">
        <f t="shared" si="8"/>
        <v>1303.7585037331405</v>
      </c>
      <c r="G88" s="377">
        <f t="shared" si="4"/>
        <v>286.82687082129092</v>
      </c>
      <c r="H88" s="377">
        <f>F88*'92'!$C$20/100</f>
        <v>259.30043610931142</v>
      </c>
      <c r="I88" s="377">
        <f>E88*мат.вода!$F$42</f>
        <v>60.744101403170156</v>
      </c>
      <c r="J88" s="377">
        <f t="shared" si="9"/>
        <v>0.58570550015846023</v>
      </c>
    </row>
    <row r="89" spans="1:10" s="425" customFormat="1" ht="10.5" x14ac:dyDescent="0.2">
      <c r="A89" s="381">
        <v>87</v>
      </c>
      <c r="B89" s="382" t="s">
        <v>417</v>
      </c>
      <c r="C89" s="384">
        <v>1516.8</v>
      </c>
      <c r="D89" s="383">
        <v>270</v>
      </c>
      <c r="E89" s="379">
        <f t="shared" si="7"/>
        <v>6.1777456647398837E-2</v>
      </c>
      <c r="F89" s="377">
        <f t="shared" si="8"/>
        <v>596.63524747109807</v>
      </c>
      <c r="G89" s="377">
        <f t="shared" si="4"/>
        <v>131.25975444364158</v>
      </c>
      <c r="H89" s="377">
        <f>F89*'92'!$C$20/100</f>
        <v>118.66291143985434</v>
      </c>
      <c r="I89" s="377">
        <f>E89*мат.вода!$F$42</f>
        <v>27.798148099755835</v>
      </c>
      <c r="J89" s="377">
        <f t="shared" si="9"/>
        <v>0.57644782532591632</v>
      </c>
    </row>
    <row r="90" spans="1:10" s="425" customFormat="1" ht="10.5" x14ac:dyDescent="0.2">
      <c r="A90" s="381">
        <v>88</v>
      </c>
      <c r="B90" s="382" t="s">
        <v>418</v>
      </c>
      <c r="C90" s="384">
        <v>752.42</v>
      </c>
      <c r="D90" s="383">
        <v>75</v>
      </c>
      <c r="E90" s="379">
        <f t="shared" si="7"/>
        <v>1.7160404624277453E-2</v>
      </c>
      <c r="F90" s="377">
        <f t="shared" si="8"/>
        <v>165.73201318641614</v>
      </c>
      <c r="G90" s="377">
        <f t="shared" si="4"/>
        <v>36.461042901011552</v>
      </c>
      <c r="H90" s="377">
        <f>F90*'92'!$C$20/100</f>
        <v>32.961919844403987</v>
      </c>
      <c r="I90" s="377">
        <f>E90*мат.вода!$F$42</f>
        <v>7.7217078054877311</v>
      </c>
      <c r="J90" s="377">
        <f t="shared" si="9"/>
        <v>0.32279402958097797</v>
      </c>
    </row>
    <row r="91" spans="1:10" s="425" customFormat="1" ht="10.5" x14ac:dyDescent="0.2">
      <c r="A91" s="381">
        <v>89</v>
      </c>
      <c r="B91" s="382" t="s">
        <v>419</v>
      </c>
      <c r="C91" s="384">
        <v>771.7</v>
      </c>
      <c r="D91" s="383">
        <v>75</v>
      </c>
      <c r="E91" s="379">
        <f t="shared" si="7"/>
        <v>1.7160404624277453E-2</v>
      </c>
      <c r="F91" s="377">
        <f t="shared" si="8"/>
        <v>165.73201318641614</v>
      </c>
      <c r="G91" s="377">
        <f t="shared" si="4"/>
        <v>36.461042901011552</v>
      </c>
      <c r="H91" s="377">
        <f>F91*'92'!$C$20/100</f>
        <v>32.961919844403987</v>
      </c>
      <c r="I91" s="377">
        <f>E91*мат.вода!$F$42</f>
        <v>7.7217078054877311</v>
      </c>
      <c r="J91" s="377">
        <f t="shared" si="9"/>
        <v>0.31472940746056682</v>
      </c>
    </row>
    <row r="92" spans="1:10" s="425" customFormat="1" ht="10.5" x14ac:dyDescent="0.2">
      <c r="A92" s="381">
        <v>90</v>
      </c>
      <c r="B92" s="382" t="s">
        <v>420</v>
      </c>
      <c r="C92" s="384">
        <v>1545</v>
      </c>
      <c r="D92" s="383">
        <v>198</v>
      </c>
      <c r="E92" s="379">
        <f t="shared" si="7"/>
        <v>4.530346820809248E-2</v>
      </c>
      <c r="F92" s="377">
        <f t="shared" si="8"/>
        <v>437.53251481213863</v>
      </c>
      <c r="G92" s="377">
        <f t="shared" ref="G92:G155" si="10">F92*22/100</f>
        <v>96.257153258670499</v>
      </c>
      <c r="H92" s="377">
        <f>F92*'92'!$C$20/100</f>
        <v>87.019468389226532</v>
      </c>
      <c r="I92" s="377">
        <f>E92*мат.вода!$F$42</f>
        <v>20.385308606487612</v>
      </c>
      <c r="J92" s="377">
        <f t="shared" si="9"/>
        <v>0.41501258580357492</v>
      </c>
    </row>
    <row r="93" spans="1:10" s="425" customFormat="1" ht="10.5" x14ac:dyDescent="0.2">
      <c r="A93" s="381">
        <v>91</v>
      </c>
      <c r="B93" s="382" t="s">
        <v>421</v>
      </c>
      <c r="C93" s="384">
        <v>769.7</v>
      </c>
      <c r="D93" s="383">
        <v>74</v>
      </c>
      <c r="E93" s="379">
        <f t="shared" si="7"/>
        <v>1.6931599229287088E-2</v>
      </c>
      <c r="F93" s="377">
        <f t="shared" si="8"/>
        <v>163.52225301059727</v>
      </c>
      <c r="G93" s="377">
        <f t="shared" si="10"/>
        <v>35.974895662331399</v>
      </c>
      <c r="H93" s="377">
        <f>F93*'92'!$C$20/100</f>
        <v>32.522427579811932</v>
      </c>
      <c r="I93" s="377">
        <f>E93*мат.вода!$F$42</f>
        <v>7.6187517014145616</v>
      </c>
      <c r="J93" s="377">
        <f t="shared" si="9"/>
        <v>0.31133990899591418</v>
      </c>
    </row>
    <row r="94" spans="1:10" s="425" customFormat="1" ht="10.5" x14ac:dyDescent="0.2">
      <c r="A94" s="381">
        <v>92</v>
      </c>
      <c r="B94" s="382" t="s">
        <v>422</v>
      </c>
      <c r="C94" s="384">
        <v>776.9</v>
      </c>
      <c r="D94" s="383">
        <v>75</v>
      </c>
      <c r="E94" s="379">
        <f t="shared" si="7"/>
        <v>1.7160404624277453E-2</v>
      </c>
      <c r="F94" s="377">
        <f t="shared" si="8"/>
        <v>165.73201318641614</v>
      </c>
      <c r="G94" s="377">
        <f t="shared" si="10"/>
        <v>36.461042901011552</v>
      </c>
      <c r="H94" s="377">
        <f>F94*'92'!$C$20/100</f>
        <v>32.961919844403987</v>
      </c>
      <c r="I94" s="377">
        <f>E94*мат.вода!$F$42</f>
        <v>7.7217078054877311</v>
      </c>
      <c r="J94" s="377">
        <f t="shared" si="9"/>
        <v>0.31262283915216815</v>
      </c>
    </row>
    <row r="95" spans="1:10" s="425" customFormat="1" ht="10.5" x14ac:dyDescent="0.2">
      <c r="A95" s="381">
        <v>93</v>
      </c>
      <c r="B95" s="382" t="s">
        <v>423</v>
      </c>
      <c r="C95" s="384">
        <v>1935.6</v>
      </c>
      <c r="D95" s="383">
        <v>188</v>
      </c>
      <c r="E95" s="379">
        <f t="shared" si="7"/>
        <v>4.3015414258188819E-2</v>
      </c>
      <c r="F95" s="377">
        <f t="shared" si="8"/>
        <v>415.4349130539498</v>
      </c>
      <c r="G95" s="377">
        <f t="shared" si="10"/>
        <v>91.395680871868947</v>
      </c>
      <c r="H95" s="377">
        <f>F95*'92'!$C$20/100</f>
        <v>82.624545743305987</v>
      </c>
      <c r="I95" s="377">
        <f>E95*мат.вода!$F$42</f>
        <v>19.355747565755912</v>
      </c>
      <c r="J95" s="377">
        <f t="shared" si="9"/>
        <v>0.31453341973283772</v>
      </c>
    </row>
    <row r="96" spans="1:10" s="425" customFormat="1" ht="10.5" x14ac:dyDescent="0.2">
      <c r="A96" s="381">
        <v>94</v>
      </c>
      <c r="B96" s="382" t="s">
        <v>424</v>
      </c>
      <c r="C96" s="384">
        <v>1513.72</v>
      </c>
      <c r="D96" s="383">
        <v>150</v>
      </c>
      <c r="E96" s="379">
        <f t="shared" si="7"/>
        <v>3.4320809248554907E-2</v>
      </c>
      <c r="F96" s="377">
        <f t="shared" si="8"/>
        <v>331.46402637283228</v>
      </c>
      <c r="G96" s="377">
        <f t="shared" si="10"/>
        <v>72.922085802023105</v>
      </c>
      <c r="H96" s="377">
        <f>F96*'92'!$C$20/100</f>
        <v>65.923839688807973</v>
      </c>
      <c r="I96" s="377">
        <f>E96*мат.вода!$F$42</f>
        <v>15.443415610975462</v>
      </c>
      <c r="J96" s="377">
        <f t="shared" si="9"/>
        <v>0.32090040923991148</v>
      </c>
    </row>
    <row r="97" spans="1:10" s="425" customFormat="1" ht="10.5" x14ac:dyDescent="0.2">
      <c r="A97" s="381">
        <v>95</v>
      </c>
      <c r="B97" s="382" t="s">
        <v>425</v>
      </c>
      <c r="C97" s="384">
        <v>1500.3</v>
      </c>
      <c r="D97" s="383">
        <v>270</v>
      </c>
      <c r="E97" s="379">
        <f t="shared" si="7"/>
        <v>6.1777456647398837E-2</v>
      </c>
      <c r="F97" s="377">
        <f t="shared" si="8"/>
        <v>596.63524747109807</v>
      </c>
      <c r="G97" s="377">
        <f t="shared" si="10"/>
        <v>131.25975444364158</v>
      </c>
      <c r="H97" s="377">
        <f>F97*'92'!$C$20/100</f>
        <v>118.66291143985434</v>
      </c>
      <c r="I97" s="377">
        <f>E97*мат.вода!$F$42</f>
        <v>27.798148099755835</v>
      </c>
      <c r="J97" s="377">
        <f t="shared" si="9"/>
        <v>0.58278748347287201</v>
      </c>
    </row>
    <row r="98" spans="1:10" s="425" customFormat="1" ht="10.5" x14ac:dyDescent="0.2">
      <c r="A98" s="381">
        <v>96</v>
      </c>
      <c r="B98" s="382" t="s">
        <v>426</v>
      </c>
      <c r="C98" s="384">
        <v>735.9</v>
      </c>
      <c r="D98" s="383">
        <v>75</v>
      </c>
      <c r="E98" s="379">
        <f t="shared" si="7"/>
        <v>1.7160404624277453E-2</v>
      </c>
      <c r="F98" s="377">
        <f t="shared" si="8"/>
        <v>165.73201318641614</v>
      </c>
      <c r="G98" s="377">
        <f t="shared" si="10"/>
        <v>36.461042901011552</v>
      </c>
      <c r="H98" s="377">
        <f>F98*'92'!$C$20/100</f>
        <v>32.961919844403987</v>
      </c>
      <c r="I98" s="377">
        <f>E98*мат.вода!$F$42</f>
        <v>7.7217078054877311</v>
      </c>
      <c r="J98" s="377">
        <f t="shared" si="9"/>
        <v>0.33004033664535865</v>
      </c>
    </row>
    <row r="99" spans="1:10" s="425" customFormat="1" ht="10.5" x14ac:dyDescent="0.2">
      <c r="A99" s="381">
        <v>97</v>
      </c>
      <c r="B99" s="382" t="s">
        <v>427</v>
      </c>
      <c r="C99" s="384">
        <v>757.7</v>
      </c>
      <c r="D99" s="383">
        <v>75</v>
      </c>
      <c r="E99" s="379">
        <f t="shared" si="7"/>
        <v>1.7160404624277453E-2</v>
      </c>
      <c r="F99" s="377">
        <f t="shared" si="8"/>
        <v>165.73201318641614</v>
      </c>
      <c r="G99" s="377">
        <f t="shared" si="10"/>
        <v>36.461042901011552</v>
      </c>
      <c r="H99" s="377">
        <f>F99*'92'!$C$20/100</f>
        <v>32.961919844403987</v>
      </c>
      <c r="I99" s="377">
        <f>E99*мат.вода!$F$42</f>
        <v>7.7217078054877311</v>
      </c>
      <c r="J99" s="377">
        <f t="shared" si="9"/>
        <v>0.32054465321013514</v>
      </c>
    </row>
    <row r="100" spans="1:10" s="425" customFormat="1" ht="10.5" x14ac:dyDescent="0.2">
      <c r="A100" s="381">
        <v>98</v>
      </c>
      <c r="B100" s="382" t="s">
        <v>428</v>
      </c>
      <c r="C100" s="384">
        <v>1915.15</v>
      </c>
      <c r="D100" s="383">
        <v>159</v>
      </c>
      <c r="E100" s="379">
        <f t="shared" si="7"/>
        <v>3.6380057803468202E-2</v>
      </c>
      <c r="F100" s="377">
        <f t="shared" si="8"/>
        <v>351.35186795520218</v>
      </c>
      <c r="G100" s="377">
        <f t="shared" si="10"/>
        <v>77.297410950144481</v>
      </c>
      <c r="H100" s="377">
        <f>F100*'92'!$C$20/100</f>
        <v>69.879270070136442</v>
      </c>
      <c r="I100" s="377">
        <f>E100*мат.вода!$F$42</f>
        <v>16.370020547633988</v>
      </c>
      <c r="J100" s="377">
        <f t="shared" si="9"/>
        <v>0.26885547843412633</v>
      </c>
    </row>
    <row r="101" spans="1:10" s="425" customFormat="1" ht="10.5" x14ac:dyDescent="0.2">
      <c r="A101" s="381">
        <v>99</v>
      </c>
      <c r="B101" s="382" t="s">
        <v>429</v>
      </c>
      <c r="C101" s="384">
        <v>1544.5</v>
      </c>
      <c r="D101" s="383">
        <v>220</v>
      </c>
      <c r="E101" s="379">
        <f t="shared" si="7"/>
        <v>5.0337186897880533E-2</v>
      </c>
      <c r="F101" s="377">
        <f t="shared" si="8"/>
        <v>486.14723868015403</v>
      </c>
      <c r="G101" s="377">
        <f t="shared" si="10"/>
        <v>106.95239250963388</v>
      </c>
      <c r="H101" s="377">
        <f>F101*'92'!$C$20/100</f>
        <v>96.688298210251688</v>
      </c>
      <c r="I101" s="377">
        <f>E101*мат.вода!$F$42</f>
        <v>22.650342896097346</v>
      </c>
      <c r="J101" s="377">
        <f t="shared" si="9"/>
        <v>0.46127437507033792</v>
      </c>
    </row>
    <row r="102" spans="1:10" s="425" customFormat="1" ht="10.5" x14ac:dyDescent="0.2">
      <c r="A102" s="381">
        <v>100</v>
      </c>
      <c r="B102" s="382" t="s">
        <v>430</v>
      </c>
      <c r="C102" s="384">
        <v>1552.3</v>
      </c>
      <c r="D102" s="383">
        <v>220</v>
      </c>
      <c r="E102" s="379">
        <f t="shared" si="7"/>
        <v>5.0337186897880533E-2</v>
      </c>
      <c r="F102" s="377">
        <f t="shared" si="8"/>
        <v>486.14723868015403</v>
      </c>
      <c r="G102" s="377">
        <f t="shared" si="10"/>
        <v>106.95239250963388</v>
      </c>
      <c r="H102" s="377">
        <f>F102*'92'!$C$20/100</f>
        <v>96.688298210251688</v>
      </c>
      <c r="I102" s="377">
        <f>E102*мат.вода!$F$42</f>
        <v>22.650342896097346</v>
      </c>
      <c r="J102" s="377">
        <f t="shared" si="9"/>
        <v>0.4589565627109044</v>
      </c>
    </row>
    <row r="103" spans="1:10" s="425" customFormat="1" ht="10.5" x14ac:dyDescent="0.2">
      <c r="A103" s="381">
        <v>101</v>
      </c>
      <c r="B103" s="382" t="s">
        <v>431</v>
      </c>
      <c r="C103" s="384">
        <v>1287.0999999999999</v>
      </c>
      <c r="D103" s="383">
        <v>82</v>
      </c>
      <c r="E103" s="379">
        <f t="shared" si="7"/>
        <v>1.8762042389210018E-2</v>
      </c>
      <c r="F103" s="377">
        <f t="shared" si="8"/>
        <v>181.20033441714833</v>
      </c>
      <c r="G103" s="377">
        <f t="shared" si="10"/>
        <v>39.864073571772636</v>
      </c>
      <c r="H103" s="377">
        <f>F103*'92'!$C$20/100</f>
        <v>36.038365696548361</v>
      </c>
      <c r="I103" s="377">
        <f>E103*мат.вода!$F$42</f>
        <v>8.4424005339999209</v>
      </c>
      <c r="J103" s="377">
        <f t="shared" si="9"/>
        <v>0.2063127761785947</v>
      </c>
    </row>
    <row r="104" spans="1:10" s="425" customFormat="1" ht="10.5" x14ac:dyDescent="0.2">
      <c r="A104" s="381">
        <v>102</v>
      </c>
      <c r="B104" s="382" t="s">
        <v>432</v>
      </c>
      <c r="C104" s="384">
        <v>3473.9</v>
      </c>
      <c r="D104" s="383">
        <v>281</v>
      </c>
      <c r="E104" s="379">
        <f t="shared" si="7"/>
        <v>6.4294315992292864E-2</v>
      </c>
      <c r="F104" s="377">
        <f t="shared" si="8"/>
        <v>620.94260940510583</v>
      </c>
      <c r="G104" s="377">
        <f t="shared" si="10"/>
        <v>136.6073740691233</v>
      </c>
      <c r="H104" s="377">
        <f>F104*'92'!$C$20/100</f>
        <v>123.49732635036693</v>
      </c>
      <c r="I104" s="377">
        <f>E104*мат.вода!$F$42</f>
        <v>28.9306652445607</v>
      </c>
      <c r="J104" s="377">
        <f t="shared" si="9"/>
        <v>0.26194708398893368</v>
      </c>
    </row>
    <row r="105" spans="1:10" s="425" customFormat="1" ht="10.5" x14ac:dyDescent="0.2">
      <c r="A105" s="381">
        <v>103</v>
      </c>
      <c r="B105" s="382" t="s">
        <v>433</v>
      </c>
      <c r="C105" s="384">
        <v>1838.18</v>
      </c>
      <c r="D105" s="383">
        <v>180</v>
      </c>
      <c r="E105" s="379">
        <f t="shared" si="7"/>
        <v>4.1184971098265889E-2</v>
      </c>
      <c r="F105" s="377">
        <f t="shared" si="8"/>
        <v>397.75683164739871</v>
      </c>
      <c r="G105" s="377">
        <f t="shared" si="10"/>
        <v>87.506502962427717</v>
      </c>
      <c r="H105" s="377">
        <f>F105*'92'!$C$20/100</f>
        <v>79.108607626569565</v>
      </c>
      <c r="I105" s="377">
        <f>E105*мат.вода!$F$42</f>
        <v>18.532098733170553</v>
      </c>
      <c r="J105" s="377">
        <f t="shared" si="9"/>
        <v>0.31710933693629922</v>
      </c>
    </row>
    <row r="106" spans="1:10" s="425" customFormat="1" ht="10.5" x14ac:dyDescent="0.2">
      <c r="A106" s="381">
        <v>104</v>
      </c>
      <c r="B106" s="382" t="s">
        <v>434</v>
      </c>
      <c r="C106" s="384">
        <v>4517.6000000000004</v>
      </c>
      <c r="D106" s="383">
        <v>710</v>
      </c>
      <c r="E106" s="379">
        <f t="shared" si="7"/>
        <v>0.16245183044315992</v>
      </c>
      <c r="F106" s="377">
        <f t="shared" si="8"/>
        <v>1568.9297248314062</v>
      </c>
      <c r="G106" s="377">
        <f t="shared" si="10"/>
        <v>345.16453946290937</v>
      </c>
      <c r="H106" s="377">
        <f>F106*'92'!$C$20/100</f>
        <v>312.03950786035779</v>
      </c>
      <c r="I106" s="377">
        <f>E106*мат.вода!$F$42</f>
        <v>73.098833891950534</v>
      </c>
      <c r="J106" s="377">
        <f t="shared" si="9"/>
        <v>0.50895001904697712</v>
      </c>
    </row>
    <row r="107" spans="1:10" s="425" customFormat="1" ht="10.5" x14ac:dyDescent="0.2">
      <c r="A107" s="381">
        <v>105</v>
      </c>
      <c r="B107" s="382" t="s">
        <v>435</v>
      </c>
      <c r="C107" s="384">
        <v>4524.9399999999996</v>
      </c>
      <c r="D107" s="383">
        <v>710</v>
      </c>
      <c r="E107" s="379">
        <f t="shared" si="7"/>
        <v>0.16245183044315992</v>
      </c>
      <c r="F107" s="377">
        <f t="shared" si="8"/>
        <v>1568.9297248314062</v>
      </c>
      <c r="G107" s="377">
        <f t="shared" si="10"/>
        <v>345.16453946290937</v>
      </c>
      <c r="H107" s="377">
        <f>F107*'92'!$C$20/100</f>
        <v>312.03950786035779</v>
      </c>
      <c r="I107" s="377">
        <f>E107*мат.вода!$F$42</f>
        <v>73.098833891950534</v>
      </c>
      <c r="J107" s="377">
        <f t="shared" si="9"/>
        <v>0.50812444055537176</v>
      </c>
    </row>
    <row r="108" spans="1:10" s="425" customFormat="1" ht="10.5" x14ac:dyDescent="0.2">
      <c r="A108" s="381">
        <v>106</v>
      </c>
      <c r="B108" s="382" t="s">
        <v>436</v>
      </c>
      <c r="C108" s="384">
        <v>4742.2700000000004</v>
      </c>
      <c r="D108" s="383">
        <v>750</v>
      </c>
      <c r="E108" s="379">
        <f t="shared" si="7"/>
        <v>0.17160404624277453</v>
      </c>
      <c r="F108" s="377">
        <f t="shared" si="8"/>
        <v>1657.3201318641613</v>
      </c>
      <c r="G108" s="377">
        <f t="shared" si="10"/>
        <v>364.61042901011547</v>
      </c>
      <c r="H108" s="377">
        <f>F108*'92'!$C$20/100</f>
        <v>329.61919844403985</v>
      </c>
      <c r="I108" s="377">
        <f>E108*мат.вода!$F$42</f>
        <v>77.217078054877305</v>
      </c>
      <c r="J108" s="377">
        <f t="shared" si="9"/>
        <v>0.51215279546993187</v>
      </c>
    </row>
    <row r="109" spans="1:10" s="425" customFormat="1" ht="10.5" x14ac:dyDescent="0.2">
      <c r="A109" s="381">
        <v>107</v>
      </c>
      <c r="B109" s="382" t="s">
        <v>437</v>
      </c>
      <c r="C109" s="384">
        <v>2538.3000000000002</v>
      </c>
      <c r="D109" s="383">
        <v>356</v>
      </c>
      <c r="E109" s="379">
        <f t="shared" si="7"/>
        <v>8.1454720616570317E-2</v>
      </c>
      <c r="F109" s="377">
        <f t="shared" si="8"/>
        <v>786.67462259152194</v>
      </c>
      <c r="G109" s="377">
        <f t="shared" si="10"/>
        <v>173.06841697013482</v>
      </c>
      <c r="H109" s="377">
        <f>F109*'92'!$C$20/100</f>
        <v>156.45924619477091</v>
      </c>
      <c r="I109" s="377">
        <f>E109*мат.вода!$F$42</f>
        <v>36.652373050048432</v>
      </c>
      <c r="J109" s="377">
        <f t="shared" si="9"/>
        <v>0.45418376819386053</v>
      </c>
    </row>
    <row r="110" spans="1:10" s="425" customFormat="1" ht="10.5" x14ac:dyDescent="0.2">
      <c r="A110" s="381">
        <v>108</v>
      </c>
      <c r="B110" s="382" t="s">
        <v>438</v>
      </c>
      <c r="C110" s="384">
        <v>4452.8999999999996</v>
      </c>
      <c r="D110" s="383">
        <v>710</v>
      </c>
      <c r="E110" s="379">
        <f t="shared" si="7"/>
        <v>0.16245183044315992</v>
      </c>
      <c r="F110" s="377">
        <f t="shared" si="8"/>
        <v>1568.9297248314062</v>
      </c>
      <c r="G110" s="377">
        <f t="shared" si="10"/>
        <v>345.16453946290937</v>
      </c>
      <c r="H110" s="377">
        <f>F110*'92'!$C$20/100</f>
        <v>312.03950786035779</v>
      </c>
      <c r="I110" s="377">
        <f>E110*мат.вода!$F$42</f>
        <v>73.098833891950534</v>
      </c>
      <c r="J110" s="377">
        <f t="shared" si="9"/>
        <v>0.51634499001698309</v>
      </c>
    </row>
    <row r="111" spans="1:10" s="425" customFormat="1" ht="10.5" x14ac:dyDescent="0.2">
      <c r="A111" s="381">
        <v>109</v>
      </c>
      <c r="B111" s="382" t="s">
        <v>439</v>
      </c>
      <c r="C111" s="384">
        <v>1573.08</v>
      </c>
      <c r="D111" s="383">
        <v>148</v>
      </c>
      <c r="E111" s="379">
        <f t="shared" si="7"/>
        <v>3.3863198458574176E-2</v>
      </c>
      <c r="F111" s="377">
        <f t="shared" si="8"/>
        <v>327.04450602119454</v>
      </c>
      <c r="G111" s="377">
        <f t="shared" si="10"/>
        <v>71.949791324662797</v>
      </c>
      <c r="H111" s="377">
        <f>F111*'92'!$C$20/100</f>
        <v>65.044855159623864</v>
      </c>
      <c r="I111" s="377">
        <f>E111*мат.вода!$F$42</f>
        <v>15.237503402829123</v>
      </c>
      <c r="J111" s="377">
        <f t="shared" si="9"/>
        <v>0.30467405084821519</v>
      </c>
    </row>
    <row r="112" spans="1:10" s="425" customFormat="1" ht="10.5" x14ac:dyDescent="0.2">
      <c r="A112" s="381">
        <v>110</v>
      </c>
      <c r="B112" s="382" t="s">
        <v>440</v>
      </c>
      <c r="C112" s="384">
        <v>3168.45</v>
      </c>
      <c r="D112" s="383">
        <v>356</v>
      </c>
      <c r="E112" s="379">
        <f t="shared" si="7"/>
        <v>8.1454720616570317E-2</v>
      </c>
      <c r="F112" s="377">
        <f t="shared" si="8"/>
        <v>786.67462259152194</v>
      </c>
      <c r="G112" s="377">
        <f t="shared" si="10"/>
        <v>173.06841697013482</v>
      </c>
      <c r="H112" s="377">
        <f>F112*'92'!$C$20/100</f>
        <v>156.45924619477091</v>
      </c>
      <c r="I112" s="377">
        <f>E112*мат.вода!$F$42</f>
        <v>36.652373050048432</v>
      </c>
      <c r="J112" s="377">
        <f t="shared" si="9"/>
        <v>0.36385445842808828</v>
      </c>
    </row>
    <row r="113" spans="1:10" s="425" customFormat="1" ht="10.5" x14ac:dyDescent="0.2">
      <c r="A113" s="381">
        <v>111</v>
      </c>
      <c r="B113" s="382" t="s">
        <v>441</v>
      </c>
      <c r="C113" s="384">
        <v>3182.6</v>
      </c>
      <c r="D113" s="383">
        <v>356</v>
      </c>
      <c r="E113" s="379">
        <f t="shared" si="7"/>
        <v>8.1454720616570317E-2</v>
      </c>
      <c r="F113" s="377">
        <f t="shared" si="8"/>
        <v>786.67462259152194</v>
      </c>
      <c r="G113" s="377">
        <f t="shared" si="10"/>
        <v>173.06841697013482</v>
      </c>
      <c r="H113" s="377">
        <f>F113*'92'!$C$20/100</f>
        <v>156.45924619477091</v>
      </c>
      <c r="I113" s="377">
        <f>E113*мат.вода!$F$42</f>
        <v>36.652373050048432</v>
      </c>
      <c r="J113" s="377">
        <f t="shared" si="9"/>
        <v>0.36223674316799981</v>
      </c>
    </row>
    <row r="114" spans="1:10" s="425" customFormat="1" ht="10.5" x14ac:dyDescent="0.2">
      <c r="A114" s="381">
        <v>112</v>
      </c>
      <c r="B114" s="382" t="s">
        <v>442</v>
      </c>
      <c r="C114" s="384">
        <v>2283.1999999999998</v>
      </c>
      <c r="D114" s="383">
        <v>305</v>
      </c>
      <c r="E114" s="379">
        <f t="shared" si="7"/>
        <v>6.9785645472061647E-2</v>
      </c>
      <c r="F114" s="377">
        <f t="shared" si="8"/>
        <v>673.97685362475897</v>
      </c>
      <c r="G114" s="377">
        <f t="shared" si="10"/>
        <v>148.27490779744699</v>
      </c>
      <c r="H114" s="377">
        <f>F114*'92'!$C$20/100</f>
        <v>134.04514070057621</v>
      </c>
      <c r="I114" s="377">
        <f>E114*мат.вода!$F$42</f>
        <v>31.401611742316774</v>
      </c>
      <c r="J114" s="377">
        <f t="shared" si="9"/>
        <v>0.4325939531644617</v>
      </c>
    </row>
    <row r="115" spans="1:10" s="425" customFormat="1" ht="10.5" x14ac:dyDescent="0.2">
      <c r="A115" s="381">
        <v>113</v>
      </c>
      <c r="B115" s="382" t="s">
        <v>443</v>
      </c>
      <c r="C115" s="384">
        <v>1091.7</v>
      </c>
      <c r="D115" s="383">
        <v>100</v>
      </c>
      <c r="E115" s="379">
        <f t="shared" si="7"/>
        <v>2.2880539499036606E-2</v>
      </c>
      <c r="F115" s="377">
        <f t="shared" si="8"/>
        <v>220.97601758188819</v>
      </c>
      <c r="G115" s="377">
        <f t="shared" si="10"/>
        <v>48.614723868015396</v>
      </c>
      <c r="H115" s="377">
        <f>F115*'92'!$C$20/100</f>
        <v>43.949226459205313</v>
      </c>
      <c r="I115" s="377">
        <f>E115*мат.вода!$F$42</f>
        <v>10.295610407316975</v>
      </c>
      <c r="J115" s="377">
        <f t="shared" si="9"/>
        <v>0.29663422031366299</v>
      </c>
    </row>
    <row r="116" spans="1:10" s="425" customFormat="1" ht="10.5" x14ac:dyDescent="0.2">
      <c r="A116" s="381">
        <v>114</v>
      </c>
      <c r="B116" s="382" t="s">
        <v>444</v>
      </c>
      <c r="C116" s="384">
        <v>1733.3</v>
      </c>
      <c r="D116" s="383">
        <v>132</v>
      </c>
      <c r="E116" s="379">
        <f t="shared" si="7"/>
        <v>3.0202312138728319E-2</v>
      </c>
      <c r="F116" s="377">
        <f t="shared" si="8"/>
        <v>291.68834320809242</v>
      </c>
      <c r="G116" s="377">
        <f t="shared" si="10"/>
        <v>64.171435505780337</v>
      </c>
      <c r="H116" s="377">
        <f>F116*'92'!$C$20/100</f>
        <v>58.012978926151021</v>
      </c>
      <c r="I116" s="377">
        <f>E116*мат.вода!$F$42</f>
        <v>13.590205737658406</v>
      </c>
      <c r="J116" s="377">
        <f t="shared" si="9"/>
        <v>0.24661799075617735</v>
      </c>
    </row>
    <row r="117" spans="1:10" s="425" customFormat="1" ht="10.5" x14ac:dyDescent="0.2">
      <c r="A117" s="381">
        <v>115</v>
      </c>
      <c r="B117" s="382" t="s">
        <v>445</v>
      </c>
      <c r="C117" s="384">
        <v>1752.82</v>
      </c>
      <c r="D117" s="383">
        <v>135</v>
      </c>
      <c r="E117" s="379">
        <f t="shared" si="7"/>
        <v>3.0888728323699419E-2</v>
      </c>
      <c r="F117" s="377">
        <f t="shared" si="8"/>
        <v>298.31762373554903</v>
      </c>
      <c r="G117" s="377">
        <f t="shared" si="10"/>
        <v>65.629877221820792</v>
      </c>
      <c r="H117" s="377">
        <f>F117*'92'!$C$20/100</f>
        <v>59.33145571992717</v>
      </c>
      <c r="I117" s="377">
        <f>E117*мат.вода!$F$42</f>
        <v>13.899074049877918</v>
      </c>
      <c r="J117" s="377">
        <f t="shared" si="9"/>
        <v>0.24941410454420587</v>
      </c>
    </row>
    <row r="118" spans="1:10" s="425" customFormat="1" ht="10.5" x14ac:dyDescent="0.2">
      <c r="A118" s="381">
        <v>116</v>
      </c>
      <c r="B118" s="382" t="s">
        <v>446</v>
      </c>
      <c r="C118" s="384">
        <v>3688.59</v>
      </c>
      <c r="D118" s="383">
        <v>422</v>
      </c>
      <c r="E118" s="379">
        <f t="shared" si="7"/>
        <v>9.6555876685934475E-2</v>
      </c>
      <c r="F118" s="377">
        <f t="shared" si="8"/>
        <v>932.51879419556815</v>
      </c>
      <c r="G118" s="377">
        <f t="shared" si="10"/>
        <v>205.15413472302498</v>
      </c>
      <c r="H118" s="377">
        <f>F118*'92'!$C$20/100</f>
        <v>185.46573565784641</v>
      </c>
      <c r="I118" s="377">
        <f>E118*мат.вода!$F$42</f>
        <v>43.447475918877636</v>
      </c>
      <c r="J118" s="377">
        <f t="shared" si="9"/>
        <v>0.37049011695398981</v>
      </c>
    </row>
    <row r="119" spans="1:10" s="425" customFormat="1" ht="10.5" x14ac:dyDescent="0.2">
      <c r="A119" s="381">
        <v>117</v>
      </c>
      <c r="B119" s="382" t="s">
        <v>447</v>
      </c>
      <c r="C119" s="384">
        <v>3868.13</v>
      </c>
      <c r="D119" s="383">
        <v>241</v>
      </c>
      <c r="E119" s="379">
        <f t="shared" si="7"/>
        <v>5.514210019267822E-2</v>
      </c>
      <c r="F119" s="377">
        <f t="shared" si="8"/>
        <v>532.55220237235051</v>
      </c>
      <c r="G119" s="377">
        <f t="shared" si="10"/>
        <v>117.16148452191712</v>
      </c>
      <c r="H119" s="377">
        <f>F119*'92'!$C$20/100</f>
        <v>105.9176357666848</v>
      </c>
      <c r="I119" s="377">
        <f>E119*мат.вода!$F$42</f>
        <v>24.812421081633911</v>
      </c>
      <c r="J119" s="377">
        <f t="shared" si="9"/>
        <v>0.20176254255740794</v>
      </c>
    </row>
    <row r="120" spans="1:10" s="425" customFormat="1" ht="10.5" x14ac:dyDescent="0.2">
      <c r="A120" s="381">
        <v>118</v>
      </c>
      <c r="B120" s="382" t="s">
        <v>448</v>
      </c>
      <c r="C120" s="384">
        <v>2821.38</v>
      </c>
      <c r="D120" s="383">
        <v>220</v>
      </c>
      <c r="E120" s="379">
        <f t="shared" si="7"/>
        <v>5.0337186897880533E-2</v>
      </c>
      <c r="F120" s="377">
        <f t="shared" si="8"/>
        <v>486.14723868015403</v>
      </c>
      <c r="G120" s="377">
        <f t="shared" si="10"/>
        <v>106.95239250963388</v>
      </c>
      <c r="H120" s="377">
        <f>F120*'92'!$C$20/100</f>
        <v>96.688298210251688</v>
      </c>
      <c r="I120" s="377">
        <f>E120*мат.вода!$F$42</f>
        <v>22.650342896097346</v>
      </c>
      <c r="J120" s="377">
        <f t="shared" si="9"/>
        <v>0.25251411447452554</v>
      </c>
    </row>
    <row r="121" spans="1:10" s="425" customFormat="1" ht="10.5" x14ac:dyDescent="0.2">
      <c r="A121" s="381">
        <v>119</v>
      </c>
      <c r="B121" s="382" t="s">
        <v>449</v>
      </c>
      <c r="C121" s="384">
        <v>4277.29</v>
      </c>
      <c r="D121" s="383">
        <v>335</v>
      </c>
      <c r="E121" s="379">
        <f t="shared" ref="E121:E160" si="11">D121/$E$163</f>
        <v>7.6649807321772637E-2</v>
      </c>
      <c r="F121" s="377">
        <f t="shared" ref="F121:F160" si="12">E121*$F$163</f>
        <v>740.26965889932546</v>
      </c>
      <c r="G121" s="377">
        <f t="shared" si="10"/>
        <v>162.85932495785161</v>
      </c>
      <c r="H121" s="377">
        <f>F121*'92'!$C$20/100</f>
        <v>147.2299086383378</v>
      </c>
      <c r="I121" s="377">
        <f>E121*мат.вода!$F$42</f>
        <v>34.490294864511867</v>
      </c>
      <c r="J121" s="377">
        <f t="shared" si="9"/>
        <v>0.25363002914462823</v>
      </c>
    </row>
    <row r="122" spans="1:10" s="425" customFormat="1" ht="10.5" x14ac:dyDescent="0.2">
      <c r="A122" s="381">
        <v>120</v>
      </c>
      <c r="B122" s="382" t="s">
        <v>450</v>
      </c>
      <c r="C122" s="384">
        <v>2171.3000000000002</v>
      </c>
      <c r="D122" s="383">
        <v>162</v>
      </c>
      <c r="E122" s="379">
        <f t="shared" si="11"/>
        <v>3.7066473988439305E-2</v>
      </c>
      <c r="F122" s="377">
        <f t="shared" si="12"/>
        <v>357.98114848265891</v>
      </c>
      <c r="G122" s="377">
        <f t="shared" si="10"/>
        <v>78.755852666184964</v>
      </c>
      <c r="H122" s="377">
        <f>F122*'92'!$C$20/100</f>
        <v>71.197746863912613</v>
      </c>
      <c r="I122" s="377">
        <f>E122*мат.вода!$F$42</f>
        <v>16.678888859853501</v>
      </c>
      <c r="J122" s="377">
        <f t="shared" si="9"/>
        <v>0.24161269141648317</v>
      </c>
    </row>
    <row r="123" spans="1:10" s="425" customFormat="1" ht="10.5" x14ac:dyDescent="0.2">
      <c r="A123" s="381">
        <v>121</v>
      </c>
      <c r="B123" s="382" t="s">
        <v>451</v>
      </c>
      <c r="C123" s="384">
        <v>5707.1</v>
      </c>
      <c r="D123" s="383">
        <v>620</v>
      </c>
      <c r="E123" s="379">
        <f t="shared" si="11"/>
        <v>0.14185934489402696</v>
      </c>
      <c r="F123" s="377">
        <f t="shared" si="12"/>
        <v>1370.0513090077068</v>
      </c>
      <c r="G123" s="377">
        <f t="shared" si="10"/>
        <v>301.41128798169552</v>
      </c>
      <c r="H123" s="377">
        <f>F123*'92'!$C$20/100</f>
        <v>272.48520404707295</v>
      </c>
      <c r="I123" s="377">
        <f>E123*мат.вода!$F$42</f>
        <v>63.832784525365248</v>
      </c>
      <c r="J123" s="377">
        <f t="shared" si="9"/>
        <v>0.35180399599828993</v>
      </c>
    </row>
    <row r="124" spans="1:10" s="425" customFormat="1" ht="10.5" x14ac:dyDescent="0.2">
      <c r="A124" s="381">
        <v>122</v>
      </c>
      <c r="B124" s="382" t="s">
        <v>452</v>
      </c>
      <c r="C124" s="384">
        <v>1727.35</v>
      </c>
      <c r="D124" s="383">
        <v>145</v>
      </c>
      <c r="E124" s="379">
        <f t="shared" si="11"/>
        <v>3.317678227360308E-2</v>
      </c>
      <c r="F124" s="377">
        <f t="shared" si="12"/>
        <v>320.41522549373786</v>
      </c>
      <c r="G124" s="377">
        <f t="shared" si="10"/>
        <v>70.491349608622329</v>
      </c>
      <c r="H124" s="377">
        <f>F124*'92'!$C$20/100</f>
        <v>63.726378365847701</v>
      </c>
      <c r="I124" s="377">
        <f>E124*мат.вода!$F$42</f>
        <v>14.928635090609614</v>
      </c>
      <c r="J124" s="377">
        <f t="shared" si="9"/>
        <v>0.27183928477657543</v>
      </c>
    </row>
    <row r="125" spans="1:10" s="425" customFormat="1" ht="10.5" x14ac:dyDescent="0.2">
      <c r="A125" s="381">
        <v>123</v>
      </c>
      <c r="B125" s="382" t="s">
        <v>453</v>
      </c>
      <c r="C125" s="384">
        <v>2522.5500000000002</v>
      </c>
      <c r="D125" s="383">
        <v>140</v>
      </c>
      <c r="E125" s="379">
        <f t="shared" si="11"/>
        <v>3.2032755298651246E-2</v>
      </c>
      <c r="F125" s="377">
        <f t="shared" si="12"/>
        <v>309.36642461464345</v>
      </c>
      <c r="G125" s="377">
        <f t="shared" si="10"/>
        <v>68.060613415221553</v>
      </c>
      <c r="H125" s="377">
        <f>F125*'92'!$C$20/100</f>
        <v>61.528917042887436</v>
      </c>
      <c r="I125" s="377">
        <f>E125*мат.вода!$F$42</f>
        <v>14.413854570243764</v>
      </c>
      <c r="J125" s="377">
        <f t="shared" si="9"/>
        <v>0.17972678822738744</v>
      </c>
    </row>
    <row r="126" spans="1:10" s="425" customFormat="1" ht="10.5" x14ac:dyDescent="0.2">
      <c r="A126" s="381">
        <v>124</v>
      </c>
      <c r="B126" s="382" t="s">
        <v>454</v>
      </c>
      <c r="C126" s="384">
        <v>2516.6999999999998</v>
      </c>
      <c r="D126" s="383">
        <v>228</v>
      </c>
      <c r="E126" s="379">
        <f t="shared" si="11"/>
        <v>5.2167630057803463E-2</v>
      </c>
      <c r="F126" s="377">
        <f t="shared" si="12"/>
        <v>503.82532008670506</v>
      </c>
      <c r="G126" s="377">
        <f t="shared" si="10"/>
        <v>110.84157041907511</v>
      </c>
      <c r="H126" s="377">
        <f>F126*'92'!$C$20/100</f>
        <v>100.20423632698812</v>
      </c>
      <c r="I126" s="377">
        <f>E126*мат.вода!$F$42</f>
        <v>23.473991728682705</v>
      </c>
      <c r="J126" s="377">
        <f t="shared" si="9"/>
        <v>0.29337828051076853</v>
      </c>
    </row>
    <row r="127" spans="1:10" s="425" customFormat="1" ht="10.5" x14ac:dyDescent="0.2">
      <c r="A127" s="381">
        <v>125</v>
      </c>
      <c r="B127" s="382" t="s">
        <v>455</v>
      </c>
      <c r="C127" s="384">
        <v>1774.47</v>
      </c>
      <c r="D127" s="383">
        <v>145</v>
      </c>
      <c r="E127" s="379">
        <f t="shared" si="11"/>
        <v>3.317678227360308E-2</v>
      </c>
      <c r="F127" s="377">
        <f t="shared" si="12"/>
        <v>320.41522549373786</v>
      </c>
      <c r="G127" s="377">
        <f t="shared" si="10"/>
        <v>70.491349608622329</v>
      </c>
      <c r="H127" s="377">
        <f>F127*'92'!$C$20/100</f>
        <v>63.726378365847701</v>
      </c>
      <c r="I127" s="377">
        <f>E127*мат.вода!$F$42</f>
        <v>14.928635090609614</v>
      </c>
      <c r="J127" s="377">
        <f t="shared" si="9"/>
        <v>0.26462075355391612</v>
      </c>
    </row>
    <row r="128" spans="1:10" s="425" customFormat="1" ht="10.5" x14ac:dyDescent="0.2">
      <c r="A128" s="381">
        <v>126</v>
      </c>
      <c r="B128" s="382" t="s">
        <v>456</v>
      </c>
      <c r="C128" s="384">
        <v>1727.7</v>
      </c>
      <c r="D128" s="383">
        <v>180</v>
      </c>
      <c r="E128" s="379">
        <f t="shared" si="11"/>
        <v>4.1184971098265889E-2</v>
      </c>
      <c r="F128" s="377">
        <f t="shared" si="12"/>
        <v>397.75683164739871</v>
      </c>
      <c r="G128" s="377">
        <f t="shared" si="10"/>
        <v>87.506502962427717</v>
      </c>
      <c r="H128" s="377">
        <f>F128*'92'!$C$20/100</f>
        <v>79.108607626569565</v>
      </c>
      <c r="I128" s="377">
        <f>E128*мат.вода!$F$42</f>
        <v>18.532098733170553</v>
      </c>
      <c r="J128" s="377">
        <f t="shared" si="9"/>
        <v>0.33738730159724867</v>
      </c>
    </row>
    <row r="129" spans="1:10" s="425" customFormat="1" ht="10.5" x14ac:dyDescent="0.2">
      <c r="A129" s="381">
        <v>127</v>
      </c>
      <c r="B129" s="382" t="s">
        <v>457</v>
      </c>
      <c r="C129" s="384">
        <v>3216.3</v>
      </c>
      <c r="D129" s="383">
        <v>320</v>
      </c>
      <c r="E129" s="379">
        <f t="shared" si="11"/>
        <v>7.3217726396917135E-2</v>
      </c>
      <c r="F129" s="377">
        <f t="shared" si="12"/>
        <v>707.12325626204222</v>
      </c>
      <c r="G129" s="377">
        <f t="shared" si="10"/>
        <v>155.56711637764928</v>
      </c>
      <c r="H129" s="377">
        <f>F129*'92'!$C$20/100</f>
        <v>140.63752466945701</v>
      </c>
      <c r="I129" s="377">
        <f>E129*мат.вода!$F$42</f>
        <v>32.945953303414321</v>
      </c>
      <c r="J129" s="377">
        <f t="shared" si="9"/>
        <v>0.32219440058842858</v>
      </c>
    </row>
    <row r="130" spans="1:10" s="425" customFormat="1" ht="10.5" x14ac:dyDescent="0.2">
      <c r="A130" s="381">
        <v>128</v>
      </c>
      <c r="B130" s="382" t="s">
        <v>458</v>
      </c>
      <c r="C130" s="384">
        <v>3895.1</v>
      </c>
      <c r="D130" s="383">
        <v>554</v>
      </c>
      <c r="E130" s="379">
        <f t="shared" si="11"/>
        <v>0.1267581888246628</v>
      </c>
      <c r="F130" s="377">
        <f t="shared" si="12"/>
        <v>1224.2071374036607</v>
      </c>
      <c r="G130" s="377">
        <f t="shared" si="10"/>
        <v>269.32557022880536</v>
      </c>
      <c r="H130" s="377">
        <f>F130*'92'!$C$20/100</f>
        <v>243.47871458399746</v>
      </c>
      <c r="I130" s="377">
        <f>E130*мат.вода!$F$42</f>
        <v>57.037681656536044</v>
      </c>
      <c r="J130" s="377">
        <f t="shared" si="9"/>
        <v>0.46059128234782154</v>
      </c>
    </row>
    <row r="131" spans="1:10" s="425" customFormat="1" ht="10.5" x14ac:dyDescent="0.2">
      <c r="A131" s="381">
        <v>129</v>
      </c>
      <c r="B131" s="382" t="s">
        <v>459</v>
      </c>
      <c r="C131" s="384">
        <v>4002.8</v>
      </c>
      <c r="D131" s="383">
        <v>662</v>
      </c>
      <c r="E131" s="379">
        <f t="shared" si="11"/>
        <v>0.15146917148362232</v>
      </c>
      <c r="F131" s="377">
        <f t="shared" si="12"/>
        <v>1462.8612363920997</v>
      </c>
      <c r="G131" s="377">
        <f t="shared" si="10"/>
        <v>321.82947200626194</v>
      </c>
      <c r="H131" s="377">
        <f>F131*'92'!$C$20/100</f>
        <v>290.94387915993917</v>
      </c>
      <c r="I131" s="377">
        <f>E131*мат.вода!$F$42</f>
        <v>68.156940896438371</v>
      </c>
      <c r="J131" s="377">
        <f t="shared" si="9"/>
        <v>0.53557298102696593</v>
      </c>
    </row>
    <row r="132" spans="1:10" s="425" customFormat="1" ht="10.5" x14ac:dyDescent="0.2">
      <c r="A132" s="381">
        <v>130</v>
      </c>
      <c r="B132" s="382" t="s">
        <v>460</v>
      </c>
      <c r="C132" s="384">
        <v>3852.63</v>
      </c>
      <c r="D132" s="383">
        <v>560</v>
      </c>
      <c r="E132" s="379">
        <f t="shared" si="11"/>
        <v>0.12813102119460498</v>
      </c>
      <c r="F132" s="377">
        <f t="shared" si="12"/>
        <v>1237.4656984585738</v>
      </c>
      <c r="G132" s="377">
        <f t="shared" si="10"/>
        <v>272.24245366088621</v>
      </c>
      <c r="H132" s="377">
        <f>F132*'92'!$C$20/100</f>
        <v>246.11566817154974</v>
      </c>
      <c r="I132" s="377">
        <f>E132*мат.вода!$F$42</f>
        <v>57.655418280975056</v>
      </c>
      <c r="J132" s="377">
        <f t="shared" ref="J132:J160" si="13">(F132+G132+H132+I132)/C132</f>
        <v>0.47071201713426536</v>
      </c>
    </row>
    <row r="133" spans="1:10" s="425" customFormat="1" ht="10.5" x14ac:dyDescent="0.2">
      <c r="A133" s="381">
        <v>131</v>
      </c>
      <c r="B133" s="382" t="s">
        <v>461</v>
      </c>
      <c r="C133" s="384">
        <v>3560.4</v>
      </c>
      <c r="D133" s="383">
        <v>400</v>
      </c>
      <c r="E133" s="379">
        <f t="shared" si="11"/>
        <v>9.1522157996146422E-2</v>
      </c>
      <c r="F133" s="377">
        <f t="shared" si="12"/>
        <v>883.90407032755274</v>
      </c>
      <c r="G133" s="377">
        <f t="shared" si="10"/>
        <v>194.45889547206158</v>
      </c>
      <c r="H133" s="377">
        <f>F133*'92'!$C$20/100</f>
        <v>175.79690583682125</v>
      </c>
      <c r="I133" s="377">
        <f>E133*мат.вода!$F$42</f>
        <v>41.182441629267899</v>
      </c>
      <c r="J133" s="377">
        <f t="shared" si="13"/>
        <v>0.36381932178005377</v>
      </c>
    </row>
    <row r="134" spans="1:10" s="425" customFormat="1" ht="10.5" x14ac:dyDescent="0.2">
      <c r="A134" s="381">
        <v>132</v>
      </c>
      <c r="B134" s="382" t="s">
        <v>462</v>
      </c>
      <c r="C134" s="384">
        <v>944.7</v>
      </c>
      <c r="D134" s="383">
        <v>60</v>
      </c>
      <c r="E134" s="379">
        <f t="shared" si="11"/>
        <v>1.3728323699421964E-2</v>
      </c>
      <c r="F134" s="377">
        <f t="shared" si="12"/>
        <v>132.58561054913292</v>
      </c>
      <c r="G134" s="377">
        <f t="shared" si="10"/>
        <v>29.168834320809243</v>
      </c>
      <c r="H134" s="377">
        <f>F134*'92'!$C$20/100</f>
        <v>26.369535875523194</v>
      </c>
      <c r="I134" s="377">
        <f>E134*мат.вода!$F$42</f>
        <v>6.1773662443901856</v>
      </c>
      <c r="J134" s="377">
        <f t="shared" si="13"/>
        <v>0.20567518470398596</v>
      </c>
    </row>
    <row r="135" spans="1:10" s="425" customFormat="1" ht="10.5" x14ac:dyDescent="0.2">
      <c r="A135" s="381">
        <v>133</v>
      </c>
      <c r="B135" s="382" t="s">
        <v>463</v>
      </c>
      <c r="C135" s="384">
        <v>2428.5</v>
      </c>
      <c r="D135" s="383">
        <v>430</v>
      </c>
      <c r="E135" s="379">
        <f t="shared" si="11"/>
        <v>9.8386319845857412E-2</v>
      </c>
      <c r="F135" s="377">
        <f t="shared" si="12"/>
        <v>950.19687560211923</v>
      </c>
      <c r="G135" s="377">
        <f t="shared" si="10"/>
        <v>209.04331263246621</v>
      </c>
      <c r="H135" s="377">
        <f>F135*'92'!$C$20/100</f>
        <v>188.98167377458284</v>
      </c>
      <c r="I135" s="377">
        <f>E135*мат.вода!$F$42</f>
        <v>44.271124751462999</v>
      </c>
      <c r="J135" s="377">
        <f t="shared" si="13"/>
        <v>0.57339632973466392</v>
      </c>
    </row>
    <row r="136" spans="1:10" s="425" customFormat="1" ht="10.5" x14ac:dyDescent="0.2">
      <c r="A136" s="381">
        <v>134</v>
      </c>
      <c r="B136" s="382" t="s">
        <v>464</v>
      </c>
      <c r="C136" s="384">
        <v>4861.91</v>
      </c>
      <c r="D136" s="383">
        <v>700</v>
      </c>
      <c r="E136" s="379">
        <f t="shared" si="11"/>
        <v>0.16016377649325625</v>
      </c>
      <c r="F136" s="377">
        <f t="shared" si="12"/>
        <v>1546.8321230732174</v>
      </c>
      <c r="G136" s="377">
        <f t="shared" si="10"/>
        <v>340.30306707610782</v>
      </c>
      <c r="H136" s="377">
        <f>F136*'92'!$C$20/100</f>
        <v>307.6445852144372</v>
      </c>
      <c r="I136" s="377">
        <f>E136*мат.вода!$F$42</f>
        <v>72.069272851218827</v>
      </c>
      <c r="J136" s="377">
        <f t="shared" si="13"/>
        <v>0.46624660847588323</v>
      </c>
    </row>
    <row r="137" spans="1:10" s="425" customFormat="1" ht="10.5" x14ac:dyDescent="0.2">
      <c r="A137" s="381">
        <v>135</v>
      </c>
      <c r="B137" s="382" t="s">
        <v>465</v>
      </c>
      <c r="C137" s="384">
        <v>3078.77</v>
      </c>
      <c r="D137" s="383">
        <v>670</v>
      </c>
      <c r="E137" s="379">
        <f t="shared" si="11"/>
        <v>0.15329961464354527</v>
      </c>
      <c r="F137" s="377">
        <f t="shared" si="12"/>
        <v>1480.5393177986509</v>
      </c>
      <c r="G137" s="377">
        <f t="shared" si="10"/>
        <v>325.71864991570322</v>
      </c>
      <c r="H137" s="377">
        <f>F137*'92'!$C$20/100</f>
        <v>294.45981727667561</v>
      </c>
      <c r="I137" s="377">
        <f>E137*мат.вода!$F$42</f>
        <v>68.980589729023734</v>
      </c>
      <c r="J137" s="377">
        <f t="shared" si="13"/>
        <v>0.70472895822684178</v>
      </c>
    </row>
    <row r="138" spans="1:10" s="425" customFormat="1" ht="10.5" x14ac:dyDescent="0.2">
      <c r="A138" s="381">
        <v>136</v>
      </c>
      <c r="B138" s="382" t="s">
        <v>466</v>
      </c>
      <c r="C138" s="384">
        <v>3188.68</v>
      </c>
      <c r="D138" s="383">
        <v>270</v>
      </c>
      <c r="E138" s="379">
        <f t="shared" si="11"/>
        <v>6.1777456647398837E-2</v>
      </c>
      <c r="F138" s="377">
        <f t="shared" si="12"/>
        <v>596.63524747109807</v>
      </c>
      <c r="G138" s="377">
        <f t="shared" si="10"/>
        <v>131.25975444364158</v>
      </c>
      <c r="H138" s="377">
        <f>F138*'92'!$C$20/100</f>
        <v>118.66291143985434</v>
      </c>
      <c r="I138" s="377">
        <f>E138*мат.вода!$F$42</f>
        <v>27.798148099755835</v>
      </c>
      <c r="J138" s="377">
        <f t="shared" si="13"/>
        <v>0.27420627389839991</v>
      </c>
    </row>
    <row r="139" spans="1:10" s="425" customFormat="1" ht="10.5" x14ac:dyDescent="0.2">
      <c r="A139" s="381">
        <v>137</v>
      </c>
      <c r="B139" s="382" t="s">
        <v>467</v>
      </c>
      <c r="C139" s="384">
        <v>2782.65</v>
      </c>
      <c r="D139" s="383">
        <v>230</v>
      </c>
      <c r="E139" s="379">
        <f t="shared" si="11"/>
        <v>5.2625240847784194E-2</v>
      </c>
      <c r="F139" s="377">
        <f t="shared" si="12"/>
        <v>508.24484043834286</v>
      </c>
      <c r="G139" s="377">
        <f t="shared" si="10"/>
        <v>111.81386489643542</v>
      </c>
      <c r="H139" s="377">
        <f>F139*'92'!$C$20/100</f>
        <v>101.08322085617223</v>
      </c>
      <c r="I139" s="377">
        <f>E139*мат.вода!$F$42</f>
        <v>23.679903936829042</v>
      </c>
      <c r="J139" s="377">
        <f t="shared" si="13"/>
        <v>0.26766637202946097</v>
      </c>
    </row>
    <row r="140" spans="1:10" s="425" customFormat="1" ht="10.5" x14ac:dyDescent="0.2">
      <c r="A140" s="381">
        <v>138</v>
      </c>
      <c r="B140" s="382" t="s">
        <v>468</v>
      </c>
      <c r="C140" s="384">
        <v>2258.6</v>
      </c>
      <c r="D140" s="383">
        <v>500</v>
      </c>
      <c r="E140" s="379">
        <f t="shared" si="11"/>
        <v>0.11440269749518303</v>
      </c>
      <c r="F140" s="377">
        <f t="shared" si="12"/>
        <v>1104.880087909441</v>
      </c>
      <c r="G140" s="377">
        <f t="shared" si="10"/>
        <v>243.07361934007702</v>
      </c>
      <c r="H140" s="377">
        <f>F140*'92'!$C$20/100</f>
        <v>219.74613229602659</v>
      </c>
      <c r="I140" s="377">
        <f>E140*мат.вода!$F$42</f>
        <v>51.478052036584877</v>
      </c>
      <c r="J140" s="377">
        <f t="shared" si="13"/>
        <v>0.7168944884362568</v>
      </c>
    </row>
    <row r="141" spans="1:10" s="425" customFormat="1" ht="10.5" x14ac:dyDescent="0.2">
      <c r="A141" s="381">
        <v>139</v>
      </c>
      <c r="B141" s="382" t="s">
        <v>469</v>
      </c>
      <c r="C141" s="384">
        <v>1910</v>
      </c>
      <c r="D141" s="383">
        <v>325</v>
      </c>
      <c r="E141" s="379">
        <f t="shared" si="11"/>
        <v>7.4361753371868969E-2</v>
      </c>
      <c r="F141" s="377">
        <f t="shared" si="12"/>
        <v>718.17205714113663</v>
      </c>
      <c r="G141" s="377">
        <f t="shared" si="10"/>
        <v>157.99785257105006</v>
      </c>
      <c r="H141" s="377">
        <f>F141*'92'!$C$20/100</f>
        <v>142.83498599241727</v>
      </c>
      <c r="I141" s="377">
        <f>E141*мат.вода!$F$42</f>
        <v>33.460733823780167</v>
      </c>
      <c r="J141" s="377">
        <f t="shared" si="13"/>
        <v>0.55102912540753102</v>
      </c>
    </row>
    <row r="142" spans="1:10" s="425" customFormat="1" ht="10.5" x14ac:dyDescent="0.2">
      <c r="A142" s="381">
        <v>140</v>
      </c>
      <c r="B142" s="382" t="s">
        <v>470</v>
      </c>
      <c r="C142" s="384">
        <v>2522.5</v>
      </c>
      <c r="D142" s="383">
        <v>214</v>
      </c>
      <c r="E142" s="379">
        <f t="shared" si="11"/>
        <v>4.896435452793834E-2</v>
      </c>
      <c r="F142" s="377">
        <f t="shared" si="12"/>
        <v>472.88867762524075</v>
      </c>
      <c r="G142" s="377">
        <f t="shared" si="10"/>
        <v>104.03550907755296</v>
      </c>
      <c r="H142" s="377">
        <f>F142*'92'!$C$20/100</f>
        <v>94.051344622699375</v>
      </c>
      <c r="I142" s="377">
        <f>E142*мат.вода!$F$42</f>
        <v>22.032606271658327</v>
      </c>
      <c r="J142" s="377">
        <f t="shared" si="13"/>
        <v>0.274730678928504</v>
      </c>
    </row>
    <row r="143" spans="1:10" s="425" customFormat="1" ht="10.5" x14ac:dyDescent="0.2">
      <c r="A143" s="381">
        <v>141</v>
      </c>
      <c r="B143" s="382" t="s">
        <v>471</v>
      </c>
      <c r="C143" s="384">
        <v>3459.82</v>
      </c>
      <c r="D143" s="383">
        <v>345</v>
      </c>
      <c r="E143" s="379">
        <f t="shared" si="11"/>
        <v>7.8937861271676291E-2</v>
      </c>
      <c r="F143" s="377">
        <f t="shared" si="12"/>
        <v>762.36726065751429</v>
      </c>
      <c r="G143" s="377">
        <f t="shared" si="10"/>
        <v>167.72079734465314</v>
      </c>
      <c r="H143" s="377">
        <f>F143*'92'!$C$20/100</f>
        <v>151.62483128425833</v>
      </c>
      <c r="I143" s="377">
        <f>E143*мат.вода!$F$42</f>
        <v>35.519855905243567</v>
      </c>
      <c r="J143" s="377">
        <f t="shared" si="13"/>
        <v>0.32291643645960461</v>
      </c>
    </row>
    <row r="144" spans="1:10" s="425" customFormat="1" ht="10.5" x14ac:dyDescent="0.2">
      <c r="A144" s="381">
        <v>142</v>
      </c>
      <c r="B144" s="382" t="s">
        <v>472</v>
      </c>
      <c r="C144" s="384">
        <v>1752.03</v>
      </c>
      <c r="D144" s="383">
        <v>132</v>
      </c>
      <c r="E144" s="379">
        <f t="shared" si="11"/>
        <v>3.0202312138728319E-2</v>
      </c>
      <c r="F144" s="377">
        <f t="shared" si="12"/>
        <v>291.68834320809242</v>
      </c>
      <c r="G144" s="377">
        <f t="shared" si="10"/>
        <v>64.171435505780337</v>
      </c>
      <c r="H144" s="377">
        <f>F144*'92'!$C$20/100</f>
        <v>58.012978926151021</v>
      </c>
      <c r="I144" s="377">
        <f>E144*мат.вода!$F$42</f>
        <v>13.590205737658406</v>
      </c>
      <c r="J144" s="377">
        <f t="shared" si="13"/>
        <v>0.24398153192450026</v>
      </c>
    </row>
    <row r="145" spans="1:10" s="425" customFormat="1" ht="10.5" x14ac:dyDescent="0.2">
      <c r="A145" s="381">
        <v>143</v>
      </c>
      <c r="B145" s="382" t="s">
        <v>473</v>
      </c>
      <c r="C145" s="384">
        <v>4953.7</v>
      </c>
      <c r="D145" s="383">
        <v>500</v>
      </c>
      <c r="E145" s="379">
        <f t="shared" si="11"/>
        <v>0.11440269749518303</v>
      </c>
      <c r="F145" s="377">
        <f t="shared" si="12"/>
        <v>1104.880087909441</v>
      </c>
      <c r="G145" s="377">
        <f t="shared" si="10"/>
        <v>243.07361934007702</v>
      </c>
      <c r="H145" s="377">
        <f>F145*'92'!$C$20/100</f>
        <v>219.74613229602659</v>
      </c>
      <c r="I145" s="377">
        <f>E145*мат.вода!$F$42</f>
        <v>51.478052036584877</v>
      </c>
      <c r="J145" s="377">
        <f t="shared" si="13"/>
        <v>0.3268623234314007</v>
      </c>
    </row>
    <row r="146" spans="1:10" s="425" customFormat="1" ht="10.5" x14ac:dyDescent="0.2">
      <c r="A146" s="381">
        <v>144</v>
      </c>
      <c r="B146" s="382" t="s">
        <v>474</v>
      </c>
      <c r="C146" s="384">
        <v>1706.17</v>
      </c>
      <c r="D146" s="383">
        <v>160</v>
      </c>
      <c r="E146" s="379">
        <f t="shared" si="11"/>
        <v>3.6608863198458567E-2</v>
      </c>
      <c r="F146" s="377">
        <f t="shared" si="12"/>
        <v>353.56162813102111</v>
      </c>
      <c r="G146" s="377">
        <f t="shared" si="10"/>
        <v>77.783558188824642</v>
      </c>
      <c r="H146" s="377">
        <f>F146*'92'!$C$20/100</f>
        <v>70.318762334728504</v>
      </c>
      <c r="I146" s="377">
        <f>E146*мат.вода!$F$42</f>
        <v>16.47297665170716</v>
      </c>
      <c r="J146" s="377">
        <f t="shared" si="13"/>
        <v>0.30368423152809004</v>
      </c>
    </row>
    <row r="147" spans="1:10" s="425" customFormat="1" ht="10.5" x14ac:dyDescent="0.2">
      <c r="A147" s="381">
        <v>145</v>
      </c>
      <c r="B147" s="382" t="s">
        <v>475</v>
      </c>
      <c r="C147" s="384">
        <v>1135.3399999999999</v>
      </c>
      <c r="D147" s="383">
        <v>150</v>
      </c>
      <c r="E147" s="379">
        <f t="shared" si="11"/>
        <v>3.4320809248554907E-2</v>
      </c>
      <c r="F147" s="377">
        <f t="shared" si="12"/>
        <v>331.46402637283228</v>
      </c>
      <c r="G147" s="377">
        <f t="shared" si="10"/>
        <v>72.922085802023105</v>
      </c>
      <c r="H147" s="377">
        <f>F147*'92'!$C$20/100</f>
        <v>65.923839688807973</v>
      </c>
      <c r="I147" s="377">
        <f>E147*мат.вода!$F$42</f>
        <v>15.443415610975462</v>
      </c>
      <c r="J147" s="377">
        <f t="shared" si="13"/>
        <v>0.42784836918864733</v>
      </c>
    </row>
    <row r="148" spans="1:10" s="425" customFormat="1" ht="10.5" x14ac:dyDescent="0.2">
      <c r="A148" s="381">
        <v>146</v>
      </c>
      <c r="B148" s="382" t="s">
        <v>476</v>
      </c>
      <c r="C148" s="384">
        <v>1716.28</v>
      </c>
      <c r="D148" s="383">
        <v>105</v>
      </c>
      <c r="E148" s="379">
        <f t="shared" si="11"/>
        <v>2.4024566473988436E-2</v>
      </c>
      <c r="F148" s="377">
        <f t="shared" si="12"/>
        <v>232.0248184609826</v>
      </c>
      <c r="G148" s="377">
        <f t="shared" si="10"/>
        <v>51.045460061416172</v>
      </c>
      <c r="H148" s="377">
        <f>F148*'92'!$C$20/100</f>
        <v>46.146687782165579</v>
      </c>
      <c r="I148" s="377">
        <f>E148*мат.вода!$F$42</f>
        <v>10.810390927682823</v>
      </c>
      <c r="J148" s="377">
        <f t="shared" si="13"/>
        <v>0.1981188134991069</v>
      </c>
    </row>
    <row r="149" spans="1:10" s="425" customFormat="1" ht="10.5" x14ac:dyDescent="0.2">
      <c r="A149" s="381">
        <v>147</v>
      </c>
      <c r="B149" s="382" t="s">
        <v>477</v>
      </c>
      <c r="C149" s="384">
        <v>2696.17</v>
      </c>
      <c r="D149" s="383">
        <v>230</v>
      </c>
      <c r="E149" s="379">
        <f t="shared" si="11"/>
        <v>5.2625240847784194E-2</v>
      </c>
      <c r="F149" s="377">
        <f t="shared" si="12"/>
        <v>508.24484043834286</v>
      </c>
      <c r="G149" s="377">
        <f t="shared" si="10"/>
        <v>111.81386489643542</v>
      </c>
      <c r="H149" s="377">
        <f>F149*'92'!$C$20/100</f>
        <v>101.08322085617223</v>
      </c>
      <c r="I149" s="377">
        <f>E149*мат.вода!$F$42</f>
        <v>23.679903936829042</v>
      </c>
      <c r="J149" s="377">
        <f t="shared" si="13"/>
        <v>0.27625180538607713</v>
      </c>
    </row>
    <row r="150" spans="1:10" s="425" customFormat="1" ht="10.5" x14ac:dyDescent="0.2">
      <c r="A150" s="381">
        <v>148</v>
      </c>
      <c r="B150" s="382" t="s">
        <v>478</v>
      </c>
      <c r="C150" s="384">
        <v>1747.74</v>
      </c>
      <c r="D150" s="383">
        <v>95</v>
      </c>
      <c r="E150" s="379">
        <f t="shared" si="11"/>
        <v>2.1736512524084775E-2</v>
      </c>
      <c r="F150" s="377">
        <f t="shared" si="12"/>
        <v>209.92721670279377</v>
      </c>
      <c r="G150" s="377">
        <f t="shared" si="10"/>
        <v>46.183987674614627</v>
      </c>
      <c r="H150" s="377">
        <f>F150*'92'!$C$20/100</f>
        <v>41.751765136245048</v>
      </c>
      <c r="I150" s="377">
        <f>E150*мат.вода!$F$42</f>
        <v>9.7808298869511265</v>
      </c>
      <c r="J150" s="377">
        <f t="shared" si="13"/>
        <v>0.17602377893771648</v>
      </c>
    </row>
    <row r="151" spans="1:10" s="425" customFormat="1" ht="10.5" x14ac:dyDescent="0.2">
      <c r="A151" s="381">
        <v>149</v>
      </c>
      <c r="B151" s="382" t="s">
        <v>479</v>
      </c>
      <c r="C151" s="384">
        <v>1129.0999999999999</v>
      </c>
      <c r="D151" s="383">
        <v>86</v>
      </c>
      <c r="E151" s="379">
        <f t="shared" si="11"/>
        <v>1.967726396917148E-2</v>
      </c>
      <c r="F151" s="377">
        <f t="shared" si="12"/>
        <v>190.03937512042384</v>
      </c>
      <c r="G151" s="377">
        <f t="shared" si="10"/>
        <v>41.808662526493244</v>
      </c>
      <c r="H151" s="377">
        <f>F151*'92'!$C$20/100</f>
        <v>37.796334754916572</v>
      </c>
      <c r="I151" s="377">
        <f>E151*мат.вода!$F$42</f>
        <v>8.8542249502925987</v>
      </c>
      <c r="J151" s="377">
        <f t="shared" si="13"/>
        <v>0.2466553869029548</v>
      </c>
    </row>
    <row r="152" spans="1:10" s="425" customFormat="1" ht="10.5" x14ac:dyDescent="0.2">
      <c r="A152" s="381">
        <v>150</v>
      </c>
      <c r="B152" s="382" t="s">
        <v>480</v>
      </c>
      <c r="C152" s="384">
        <v>1724</v>
      </c>
      <c r="D152" s="383">
        <v>180</v>
      </c>
      <c r="E152" s="379">
        <f t="shared" si="11"/>
        <v>4.1184971098265889E-2</v>
      </c>
      <c r="F152" s="377">
        <f t="shared" si="12"/>
        <v>397.75683164739871</v>
      </c>
      <c r="G152" s="377">
        <f t="shared" si="10"/>
        <v>87.506502962427717</v>
      </c>
      <c r="H152" s="377">
        <f>F152*'92'!$C$20/100</f>
        <v>79.108607626569565</v>
      </c>
      <c r="I152" s="377">
        <f>E152*мат.вода!$F$42</f>
        <v>18.532098733170553</v>
      </c>
      <c r="J152" s="377">
        <f t="shared" si="13"/>
        <v>0.33811139267376245</v>
      </c>
    </row>
    <row r="153" spans="1:10" s="425" customFormat="1" ht="10.5" x14ac:dyDescent="0.2">
      <c r="A153" s="381">
        <v>151</v>
      </c>
      <c r="B153" s="382" t="s">
        <v>481</v>
      </c>
      <c r="C153" s="384">
        <v>1775.1</v>
      </c>
      <c r="D153" s="383">
        <v>180</v>
      </c>
      <c r="E153" s="379">
        <f t="shared" si="11"/>
        <v>4.1184971098265889E-2</v>
      </c>
      <c r="F153" s="377">
        <f t="shared" si="12"/>
        <v>397.75683164739871</v>
      </c>
      <c r="G153" s="377">
        <f t="shared" si="10"/>
        <v>87.506502962427717</v>
      </c>
      <c r="H153" s="377">
        <f>F153*'92'!$C$20/100</f>
        <v>79.108607626569565</v>
      </c>
      <c r="I153" s="377">
        <f>E153*мат.вода!$F$42</f>
        <v>18.532098733170553</v>
      </c>
      <c r="J153" s="377">
        <f t="shared" si="13"/>
        <v>0.32837814262270665</v>
      </c>
    </row>
    <row r="154" spans="1:10" s="425" customFormat="1" ht="10.5" x14ac:dyDescent="0.2">
      <c r="A154" s="381">
        <v>152</v>
      </c>
      <c r="B154" s="382" t="s">
        <v>482</v>
      </c>
      <c r="C154" s="384">
        <v>3140.4</v>
      </c>
      <c r="D154" s="383">
        <v>270</v>
      </c>
      <c r="E154" s="379">
        <f t="shared" si="11"/>
        <v>6.1777456647398837E-2</v>
      </c>
      <c r="F154" s="377">
        <f t="shared" si="12"/>
        <v>596.63524747109807</v>
      </c>
      <c r="G154" s="377">
        <f t="shared" si="10"/>
        <v>131.25975444364158</v>
      </c>
      <c r="H154" s="377">
        <f>F154*'92'!$C$20/100</f>
        <v>118.66291143985434</v>
      </c>
      <c r="I154" s="377">
        <f>E154*мат.вода!$F$42</f>
        <v>27.798148099755835</v>
      </c>
      <c r="J154" s="377">
        <f t="shared" si="13"/>
        <v>0.27842187665722512</v>
      </c>
    </row>
    <row r="155" spans="1:10" s="425" customFormat="1" ht="10.5" x14ac:dyDescent="0.2">
      <c r="A155" s="381">
        <v>153</v>
      </c>
      <c r="B155" s="382" t="s">
        <v>483</v>
      </c>
      <c r="C155" s="384">
        <v>6074.77</v>
      </c>
      <c r="D155" s="383">
        <v>572</v>
      </c>
      <c r="E155" s="379">
        <f t="shared" si="11"/>
        <v>0.1308766859344894</v>
      </c>
      <c r="F155" s="377">
        <f t="shared" si="12"/>
        <v>1263.9828205684005</v>
      </c>
      <c r="G155" s="377">
        <f t="shared" si="10"/>
        <v>278.07622052504814</v>
      </c>
      <c r="H155" s="377">
        <f>F155*'92'!$C$20/100</f>
        <v>251.38957534665442</v>
      </c>
      <c r="I155" s="377">
        <f>E155*мат.вода!$F$42</f>
        <v>58.8908915298531</v>
      </c>
      <c r="J155" s="377">
        <f t="shared" si="13"/>
        <v>0.30492339758870812</v>
      </c>
    </row>
    <row r="156" spans="1:10" s="425" customFormat="1" ht="10.5" x14ac:dyDescent="0.2">
      <c r="A156" s="381">
        <v>154</v>
      </c>
      <c r="B156" s="382" t="s">
        <v>484</v>
      </c>
      <c r="C156" s="384">
        <v>1960.16</v>
      </c>
      <c r="D156" s="383">
        <v>230</v>
      </c>
      <c r="E156" s="379">
        <f t="shared" si="11"/>
        <v>5.2625240847784194E-2</v>
      </c>
      <c r="F156" s="377">
        <f t="shared" si="12"/>
        <v>508.24484043834286</v>
      </c>
      <c r="G156" s="377">
        <f t="shared" ref="G156:G161" si="14">F156*22/100</f>
        <v>111.81386489643542</v>
      </c>
      <c r="H156" s="377">
        <f>F156*'92'!$C$20/100</f>
        <v>101.08322085617223</v>
      </c>
      <c r="I156" s="377">
        <f>E156*мат.вода!$F$42</f>
        <v>23.679903936829042</v>
      </c>
      <c r="J156" s="377">
        <f t="shared" si="13"/>
        <v>0.3799801190350684</v>
      </c>
    </row>
    <row r="157" spans="1:10" s="425" customFormat="1" ht="10.5" x14ac:dyDescent="0.2">
      <c r="A157" s="381">
        <v>155</v>
      </c>
      <c r="B157" s="382" t="s">
        <v>485</v>
      </c>
      <c r="C157" s="384">
        <v>5972.33</v>
      </c>
      <c r="D157" s="383">
        <v>550</v>
      </c>
      <c r="E157" s="379">
        <f t="shared" si="11"/>
        <v>0.12584296724470134</v>
      </c>
      <c r="F157" s="377">
        <f t="shared" si="12"/>
        <v>1215.3680967003852</v>
      </c>
      <c r="G157" s="377">
        <f t="shared" si="14"/>
        <v>267.38098127408472</v>
      </c>
      <c r="H157" s="377">
        <f>F157*'92'!$C$20/100</f>
        <v>241.72074552562924</v>
      </c>
      <c r="I157" s="377">
        <f>E157*мат.вода!$F$42</f>
        <v>56.62585724024337</v>
      </c>
      <c r="J157" s="377">
        <f t="shared" si="13"/>
        <v>0.29822459253596884</v>
      </c>
    </row>
    <row r="158" spans="1:10" s="425" customFormat="1" ht="10.5" x14ac:dyDescent="0.2">
      <c r="A158" s="381">
        <v>156</v>
      </c>
      <c r="B158" s="382" t="s">
        <v>486</v>
      </c>
      <c r="C158" s="384">
        <v>2589.9</v>
      </c>
      <c r="D158" s="383">
        <v>230</v>
      </c>
      <c r="E158" s="379">
        <f t="shared" si="11"/>
        <v>5.2625240847784194E-2</v>
      </c>
      <c r="F158" s="377">
        <f t="shared" si="12"/>
        <v>508.24484043834286</v>
      </c>
      <c r="G158" s="377">
        <f t="shared" si="14"/>
        <v>111.81386489643542</v>
      </c>
      <c r="H158" s="377">
        <f>F158*'92'!$C$20/100</f>
        <v>101.08322085617223</v>
      </c>
      <c r="I158" s="377">
        <f>E158*мат.вода!$F$42</f>
        <v>23.679903936829042</v>
      </c>
      <c r="J158" s="377">
        <f t="shared" si="13"/>
        <v>0.28758709993736425</v>
      </c>
    </row>
    <row r="159" spans="1:10" s="425" customFormat="1" ht="10.5" x14ac:dyDescent="0.2">
      <c r="A159" s="381">
        <v>157</v>
      </c>
      <c r="B159" s="382" t="s">
        <v>487</v>
      </c>
      <c r="C159" s="384">
        <v>3904.03</v>
      </c>
      <c r="D159" s="383">
        <v>322</v>
      </c>
      <c r="E159" s="379">
        <f t="shared" si="11"/>
        <v>7.3675337186897866E-2</v>
      </c>
      <c r="F159" s="377">
        <f t="shared" si="12"/>
        <v>711.54277661367996</v>
      </c>
      <c r="G159" s="377">
        <f t="shared" si="14"/>
        <v>156.53941085500958</v>
      </c>
      <c r="H159" s="377">
        <f>F159*'92'!$C$20/100</f>
        <v>141.5165091986411</v>
      </c>
      <c r="I159" s="377">
        <f>E159*мат.вода!$F$42</f>
        <v>33.151865511560658</v>
      </c>
      <c r="J159" s="377">
        <f t="shared" si="13"/>
        <v>0.26709593988235009</v>
      </c>
    </row>
    <row r="160" spans="1:10" s="425" customFormat="1" ht="10.5" x14ac:dyDescent="0.2">
      <c r="A160" s="381">
        <v>158</v>
      </c>
      <c r="B160" s="382" t="s">
        <v>488</v>
      </c>
      <c r="C160" s="384">
        <v>3894.85</v>
      </c>
      <c r="D160" s="383">
        <v>356</v>
      </c>
      <c r="E160" s="379">
        <f t="shared" si="11"/>
        <v>8.1454720616570317E-2</v>
      </c>
      <c r="F160" s="377">
        <f t="shared" si="12"/>
        <v>786.67462259152194</v>
      </c>
      <c r="G160" s="377">
        <f t="shared" si="14"/>
        <v>173.06841697013482</v>
      </c>
      <c r="H160" s="377">
        <f>F160*'92'!$C$20/100</f>
        <v>156.45924619477091</v>
      </c>
      <c r="I160" s="377">
        <f>E160*мат.вода!$F$42</f>
        <v>36.652373050048432</v>
      </c>
      <c r="J160" s="377">
        <f t="shared" si="13"/>
        <v>0.29599462336328131</v>
      </c>
    </row>
    <row r="161" spans="1:253" s="390" customFormat="1" ht="10.5" x14ac:dyDescent="0.2">
      <c r="A161" s="385">
        <v>159</v>
      </c>
      <c r="B161" s="427" t="s">
        <v>22</v>
      </c>
      <c r="C161" s="428">
        <f>SUM(C3:C160)</f>
        <v>264830.12</v>
      </c>
      <c r="D161" s="429">
        <f>SUM(D3:D160)</f>
        <v>30605</v>
      </c>
      <c r="E161" s="389">
        <f>мат.вода!D3</f>
        <v>7.0025891136801537</v>
      </c>
      <c r="F161" s="387">
        <f>E161*ЗП!M52</f>
        <v>67629.710180936891</v>
      </c>
      <c r="G161" s="387">
        <f t="shared" si="14"/>
        <v>14878.536239806115</v>
      </c>
      <c r="H161" s="387">
        <f>F161*'92'!$C$20/100</f>
        <v>13450.660757839789</v>
      </c>
      <c r="I161" s="387">
        <f>мат.вода!F41/12</f>
        <v>3150.9715651593601</v>
      </c>
      <c r="J161" s="387">
        <f>(F161+G161+H161+I161)/C161</f>
        <v>0.37423945110073642</v>
      </c>
      <c r="IS161" s="390">
        <f>SUM(A161:IR161)</f>
        <v>394711.37557230692</v>
      </c>
    </row>
    <row r="162" spans="1:253" s="380" customFormat="1" ht="10.5" x14ac:dyDescent="0.2">
      <c r="A162" s="430"/>
      <c r="B162" s="431"/>
      <c r="C162" s="432"/>
      <c r="D162" s="433"/>
      <c r="E162" s="395"/>
      <c r="F162" s="393"/>
      <c r="G162" s="393"/>
      <c r="H162" s="391"/>
      <c r="I162" s="391"/>
      <c r="J162" s="393"/>
    </row>
    <row r="163" spans="1:253" s="380" customFormat="1" ht="10.5" x14ac:dyDescent="0.2">
      <c r="A163" s="430"/>
      <c r="B163" s="431"/>
      <c r="C163" s="432"/>
      <c r="D163" s="433"/>
      <c r="E163" s="395">
        <f>D161/E161</f>
        <v>4370.5263157894742</v>
      </c>
      <c r="F163" s="393">
        <f>F161/E161</f>
        <v>9657.8149999999987</v>
      </c>
      <c r="G163" s="393"/>
      <c r="H163" s="391"/>
      <c r="I163" s="393"/>
      <c r="J163" s="393"/>
    </row>
    <row r="164" spans="1:253" s="380" customFormat="1" ht="10.5" x14ac:dyDescent="0.2">
      <c r="A164" s="430"/>
      <c r="B164" s="431"/>
      <c r="C164" s="432"/>
      <c r="D164" s="433"/>
      <c r="E164" s="395"/>
      <c r="F164" s="393"/>
      <c r="G164" s="393"/>
      <c r="H164" s="391"/>
      <c r="I164" s="391"/>
      <c r="J164" s="393"/>
    </row>
    <row r="165" spans="1:253" s="84" customFormat="1" ht="12" x14ac:dyDescent="0.2">
      <c r="A165" s="86"/>
      <c r="B165" s="216"/>
      <c r="C165" s="42"/>
      <c r="D165" s="256"/>
      <c r="E165" s="47"/>
      <c r="F165" s="46"/>
      <c r="G165" s="46"/>
      <c r="H165" s="39"/>
      <c r="I165" s="39"/>
      <c r="J165" s="46"/>
    </row>
    <row r="166" spans="1:253" s="370" customFormat="1" ht="15.75" customHeight="1" x14ac:dyDescent="0.2">
      <c r="A166" s="404"/>
      <c r="B166" s="364" t="s">
        <v>234</v>
      </c>
      <c r="C166" s="367"/>
      <c r="D166" s="458"/>
      <c r="E166" s="509" t="s">
        <v>648</v>
      </c>
      <c r="F166" s="509"/>
      <c r="G166" s="366"/>
      <c r="H166" s="503"/>
      <c r="I166" s="503"/>
      <c r="J166" s="503"/>
      <c r="K166" s="503"/>
      <c r="L166" s="503"/>
      <c r="M166" s="367"/>
      <c r="N166" s="368"/>
      <c r="O166" s="368"/>
      <c r="P166" s="369"/>
      <c r="Q166" s="369"/>
      <c r="R166" s="369"/>
      <c r="S166" s="369"/>
      <c r="T166" s="369"/>
      <c r="U166" s="368"/>
      <c r="V166" s="368"/>
      <c r="W166" s="369"/>
    </row>
    <row r="167" spans="1:253" s="84" customFormat="1" ht="12" x14ac:dyDescent="0.2">
      <c r="A167" s="86"/>
      <c r="B167" s="216"/>
      <c r="C167" s="42"/>
      <c r="D167" s="256"/>
      <c r="E167" s="47"/>
      <c r="F167" s="46"/>
      <c r="G167" s="46"/>
      <c r="H167" s="39"/>
      <c r="I167" s="39"/>
      <c r="J167" s="46"/>
    </row>
    <row r="168" spans="1:253" s="84" customFormat="1" ht="12" x14ac:dyDescent="0.2">
      <c r="A168" s="86"/>
      <c r="B168" s="216"/>
      <c r="C168" s="42"/>
      <c r="D168" s="256"/>
      <c r="E168" s="47"/>
      <c r="F168" s="46"/>
      <c r="G168" s="46"/>
      <c r="H168" s="39"/>
      <c r="I168" s="39"/>
      <c r="J168" s="46"/>
    </row>
    <row r="169" spans="1:253" s="84" customFormat="1" ht="12" x14ac:dyDescent="0.2">
      <c r="A169" s="86"/>
      <c r="B169" s="216"/>
      <c r="C169" s="42"/>
      <c r="D169" s="256"/>
      <c r="E169" s="47"/>
      <c r="F169" s="46"/>
      <c r="G169" s="46"/>
      <c r="H169" s="39"/>
      <c r="I169" s="39"/>
      <c r="J169" s="46"/>
    </row>
    <row r="170" spans="1:253" s="84" customFormat="1" ht="12" x14ac:dyDescent="0.2">
      <c r="A170" s="86"/>
      <c r="B170" s="216"/>
      <c r="C170" s="42"/>
      <c r="D170" s="256"/>
      <c r="E170" s="47"/>
      <c r="F170" s="46"/>
      <c r="G170" s="46"/>
      <c r="H170" s="39"/>
      <c r="I170" s="39"/>
      <c r="J170" s="46"/>
    </row>
    <row r="171" spans="1:253" s="84" customFormat="1" ht="12" x14ac:dyDescent="0.2">
      <c r="A171" s="86"/>
      <c r="B171" s="216"/>
      <c r="C171" s="42"/>
      <c r="D171" s="256"/>
      <c r="E171" s="47"/>
      <c r="F171" s="46"/>
      <c r="G171" s="46"/>
      <c r="H171" s="39"/>
      <c r="I171" s="39"/>
      <c r="J171" s="46"/>
    </row>
    <row r="172" spans="1:253" s="84" customFormat="1" ht="12" x14ac:dyDescent="0.2">
      <c r="A172" s="86"/>
      <c r="B172" s="216"/>
      <c r="C172" s="42"/>
      <c r="D172" s="256"/>
      <c r="E172" s="47"/>
      <c r="F172" s="46"/>
      <c r="G172" s="46"/>
      <c r="H172" s="39"/>
      <c r="I172" s="39"/>
      <c r="J172" s="46"/>
    </row>
    <row r="173" spans="1:253" s="84" customFormat="1" ht="12" x14ac:dyDescent="0.2">
      <c r="A173" s="86"/>
      <c r="B173" s="216"/>
      <c r="C173" s="42"/>
      <c r="D173" s="256"/>
      <c r="E173" s="47"/>
      <c r="F173" s="46"/>
      <c r="G173" s="46"/>
      <c r="H173" s="39"/>
      <c r="I173" s="39"/>
      <c r="J173" s="46"/>
    </row>
    <row r="174" spans="1:253" s="84" customFormat="1" ht="12" x14ac:dyDescent="0.2">
      <c r="A174" s="86"/>
      <c r="B174" s="216"/>
      <c r="C174" s="42"/>
      <c r="D174" s="256"/>
      <c r="E174" s="47"/>
      <c r="F174" s="46"/>
      <c r="G174" s="46"/>
      <c r="H174" s="39"/>
      <c r="I174" s="39"/>
      <c r="J174" s="46"/>
    </row>
    <row r="175" spans="1:253" s="84" customFormat="1" ht="12" x14ac:dyDescent="0.2">
      <c r="A175" s="86"/>
      <c r="B175" s="216"/>
      <c r="C175" s="42"/>
      <c r="D175" s="256"/>
      <c r="E175" s="47"/>
      <c r="F175" s="46"/>
      <c r="G175" s="46"/>
      <c r="H175" s="39"/>
      <c r="I175" s="39"/>
      <c r="J175" s="46"/>
    </row>
    <row r="176" spans="1:253" s="84" customFormat="1" ht="12" x14ac:dyDescent="0.2">
      <c r="A176" s="86"/>
      <c r="B176" s="216"/>
      <c r="C176" s="42"/>
      <c r="D176" s="256"/>
      <c r="E176" s="47"/>
      <c r="F176" s="46"/>
      <c r="G176" s="46"/>
      <c r="H176" s="39"/>
      <c r="I176" s="39"/>
      <c r="J176" s="46"/>
    </row>
    <row r="177" spans="1:10" s="84" customFormat="1" ht="12" x14ac:dyDescent="0.2">
      <c r="A177" s="86"/>
      <c r="B177" s="216"/>
      <c r="C177" s="42"/>
      <c r="D177" s="256"/>
      <c r="E177" s="47"/>
      <c r="F177" s="46"/>
      <c r="G177" s="46"/>
      <c r="H177" s="39"/>
      <c r="I177" s="39"/>
      <c r="J177" s="46"/>
    </row>
    <row r="178" spans="1:10" s="84" customFormat="1" ht="12" x14ac:dyDescent="0.2">
      <c r="A178" s="86"/>
      <c r="B178" s="216"/>
      <c r="C178" s="42"/>
      <c r="D178" s="256"/>
      <c r="E178" s="47"/>
      <c r="F178" s="46"/>
      <c r="G178" s="46"/>
      <c r="H178" s="39"/>
      <c r="I178" s="39"/>
      <c r="J178" s="46"/>
    </row>
    <row r="179" spans="1:10" s="84" customFormat="1" ht="12" x14ac:dyDescent="0.2">
      <c r="A179" s="86"/>
      <c r="B179" s="216"/>
      <c r="C179" s="42"/>
      <c r="D179" s="256"/>
      <c r="E179" s="47"/>
      <c r="F179" s="46"/>
      <c r="G179" s="46"/>
      <c r="H179" s="39"/>
      <c r="I179" s="39"/>
      <c r="J179" s="46"/>
    </row>
    <row r="180" spans="1:10" s="84" customFormat="1" ht="12" x14ac:dyDescent="0.2">
      <c r="A180" s="86"/>
      <c r="B180" s="216"/>
      <c r="C180" s="42"/>
      <c r="D180" s="256"/>
      <c r="E180" s="47"/>
      <c r="F180" s="46"/>
      <c r="G180" s="46"/>
      <c r="H180" s="39"/>
      <c r="I180" s="39"/>
      <c r="J180" s="46"/>
    </row>
    <row r="181" spans="1:10" s="84" customFormat="1" ht="12" x14ac:dyDescent="0.2">
      <c r="A181" s="86"/>
      <c r="B181" s="216"/>
      <c r="C181" s="42"/>
      <c r="D181" s="256"/>
      <c r="E181" s="47"/>
      <c r="F181" s="46"/>
      <c r="G181" s="46"/>
      <c r="H181" s="39"/>
      <c r="I181" s="39"/>
      <c r="J181" s="46"/>
    </row>
    <row r="182" spans="1:10" s="84" customFormat="1" ht="12" x14ac:dyDescent="0.2">
      <c r="A182" s="86"/>
      <c r="B182" s="216"/>
      <c r="C182" s="42"/>
      <c r="D182" s="256"/>
      <c r="E182" s="47"/>
      <c r="F182" s="46"/>
      <c r="G182" s="46"/>
      <c r="H182" s="39"/>
      <c r="I182" s="39"/>
      <c r="J182" s="46"/>
    </row>
  </sheetData>
  <mergeCells count="3">
    <mergeCell ref="A1:J1"/>
    <mergeCell ref="E166:F166"/>
    <mergeCell ref="H166:L166"/>
  </mergeCells>
  <phoneticPr fontId="2" type="noConversion"/>
  <pageMargins left="0.78740157480314965" right="0" top="0.23622047244094491" bottom="0.19685039370078741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G19" sqref="G19"/>
    </sheetView>
  </sheetViews>
  <sheetFormatPr defaultRowHeight="12.75" x14ac:dyDescent="0.2"/>
  <cols>
    <col min="1" max="1" width="5.85546875" style="62" customWidth="1"/>
    <col min="2" max="2" width="34.140625" style="32" customWidth="1"/>
    <col min="3" max="3" width="9.140625" style="31"/>
    <col min="4" max="4" width="9.42578125" style="35" bestFit="1" customWidth="1"/>
    <col min="5" max="5" width="9.140625" style="29"/>
    <col min="6" max="6" width="9.140625" style="35"/>
  </cols>
  <sheetData>
    <row r="1" spans="1:6" ht="50.25" customHeight="1" x14ac:dyDescent="0.2">
      <c r="A1" s="513" t="s">
        <v>612</v>
      </c>
      <c r="B1" s="513"/>
      <c r="C1" s="513"/>
      <c r="D1" s="513"/>
      <c r="E1" s="513"/>
      <c r="F1" s="513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59" t="s">
        <v>96</v>
      </c>
      <c r="F2" s="36" t="s">
        <v>97</v>
      </c>
    </row>
    <row r="3" spans="1:6" x14ac:dyDescent="0.2">
      <c r="A3" s="67" t="s">
        <v>99</v>
      </c>
      <c r="B3" s="60" t="s">
        <v>141</v>
      </c>
      <c r="C3" s="37" t="s">
        <v>98</v>
      </c>
      <c r="D3" s="36">
        <v>3</v>
      </c>
      <c r="E3" s="59"/>
      <c r="F3" s="36"/>
    </row>
    <row r="4" spans="1:6" x14ac:dyDescent="0.2">
      <c r="A4" s="67" t="s">
        <v>100</v>
      </c>
      <c r="B4" s="61" t="s">
        <v>139</v>
      </c>
      <c r="C4" s="37" t="s">
        <v>140</v>
      </c>
      <c r="D4" s="36">
        <f>'ТО злив.кан'!D161</f>
        <v>27603</v>
      </c>
      <c r="E4" s="59"/>
      <c r="F4" s="36"/>
    </row>
    <row r="5" spans="1:6" x14ac:dyDescent="0.2">
      <c r="A5" s="68" t="s">
        <v>3</v>
      </c>
      <c r="B5" s="63" t="s">
        <v>134</v>
      </c>
      <c r="C5" s="37"/>
      <c r="D5" s="36"/>
      <c r="E5" s="59"/>
      <c r="F5" s="64">
        <f>SUM(F6:F11)</f>
        <v>7121.82</v>
      </c>
    </row>
    <row r="6" spans="1:6" x14ac:dyDescent="0.2">
      <c r="A6" s="67" t="s">
        <v>171</v>
      </c>
      <c r="B6" s="482" t="s">
        <v>630</v>
      </c>
      <c r="C6" s="66" t="s">
        <v>120</v>
      </c>
      <c r="D6" s="93">
        <f>D3</f>
        <v>3</v>
      </c>
      <c r="E6" s="483">
        <v>468</v>
      </c>
      <c r="F6" s="36">
        <f>D6*E6</f>
        <v>1404</v>
      </c>
    </row>
    <row r="7" spans="1:6" x14ac:dyDescent="0.2">
      <c r="A7" s="67" t="s">
        <v>172</v>
      </c>
      <c r="B7" s="486" t="s">
        <v>135</v>
      </c>
      <c r="C7" s="66" t="s">
        <v>120</v>
      </c>
      <c r="D7" s="93">
        <f>D3</f>
        <v>3</v>
      </c>
      <c r="E7" s="37">
        <v>17</v>
      </c>
      <c r="F7" s="36">
        <f>D7*E7</f>
        <v>51</v>
      </c>
    </row>
    <row r="8" spans="1:6" x14ac:dyDescent="0.2">
      <c r="A8" s="67" t="s">
        <v>173</v>
      </c>
      <c r="B8" s="487" t="s">
        <v>169</v>
      </c>
      <c r="C8" s="66" t="s">
        <v>120</v>
      </c>
      <c r="D8" s="93">
        <f>D3</f>
        <v>3</v>
      </c>
      <c r="E8" s="484">
        <v>723</v>
      </c>
      <c r="F8" s="36">
        <f>D8*E8</f>
        <v>2169</v>
      </c>
    </row>
    <row r="9" spans="1:6" x14ac:dyDescent="0.2">
      <c r="A9" s="67" t="s">
        <v>174</v>
      </c>
      <c r="B9" s="486" t="s">
        <v>136</v>
      </c>
      <c r="C9" s="66" t="s">
        <v>120</v>
      </c>
      <c r="D9" s="93">
        <f>D3</f>
        <v>3</v>
      </c>
      <c r="E9" s="37">
        <v>175</v>
      </c>
      <c r="F9" s="36">
        <f>D9*E9</f>
        <v>525</v>
      </c>
    </row>
    <row r="10" spans="1:6" x14ac:dyDescent="0.2">
      <c r="A10" s="67" t="s">
        <v>175</v>
      </c>
      <c r="B10" s="482" t="s">
        <v>633</v>
      </c>
      <c r="C10" s="66" t="s">
        <v>120</v>
      </c>
      <c r="D10" s="93">
        <f>D3</f>
        <v>3</v>
      </c>
      <c r="E10" s="484">
        <v>562.94000000000005</v>
      </c>
      <c r="F10" s="36">
        <f t="shared" ref="F10:F11" si="0">D10*E10</f>
        <v>1688.8200000000002</v>
      </c>
    </row>
    <row r="11" spans="1:6" x14ac:dyDescent="0.2">
      <c r="A11" s="67" t="s">
        <v>176</v>
      </c>
      <c r="B11" s="482" t="s">
        <v>636</v>
      </c>
      <c r="C11" s="66" t="s">
        <v>120</v>
      </c>
      <c r="D11" s="93">
        <f>D3</f>
        <v>3</v>
      </c>
      <c r="E11" s="483">
        <v>428</v>
      </c>
      <c r="F11" s="36">
        <f t="shared" si="0"/>
        <v>1284</v>
      </c>
    </row>
    <row r="12" spans="1:6" x14ac:dyDescent="0.2">
      <c r="A12" s="68" t="s">
        <v>4</v>
      </c>
      <c r="B12" s="63" t="s">
        <v>118</v>
      </c>
      <c r="C12" s="37"/>
      <c r="D12" s="36"/>
      <c r="E12" s="59"/>
      <c r="F12" s="64">
        <f>SUM(F13:F25)</f>
        <v>3474.0299999999997</v>
      </c>
    </row>
    <row r="13" spans="1:6" s="96" customFormat="1" x14ac:dyDescent="0.2">
      <c r="A13" s="67" t="s">
        <v>104</v>
      </c>
      <c r="B13" s="97" t="s">
        <v>149</v>
      </c>
      <c r="C13" s="37" t="s">
        <v>120</v>
      </c>
      <c r="D13" s="98">
        <f>D3</f>
        <v>3</v>
      </c>
      <c r="E13" s="99">
        <v>193</v>
      </c>
      <c r="F13" s="36">
        <f t="shared" ref="F13:F25" si="1">D13*E13</f>
        <v>579</v>
      </c>
    </row>
    <row r="14" spans="1:6" s="96" customFormat="1" x14ac:dyDescent="0.2">
      <c r="A14" s="67" t="s">
        <v>106</v>
      </c>
      <c r="B14" s="97" t="s">
        <v>152</v>
      </c>
      <c r="C14" s="37" t="s">
        <v>120</v>
      </c>
      <c r="D14" s="98">
        <f>D3</f>
        <v>3</v>
      </c>
      <c r="E14" s="37">
        <v>18.5</v>
      </c>
      <c r="F14" s="36">
        <f t="shared" si="1"/>
        <v>55.5</v>
      </c>
    </row>
    <row r="15" spans="1:6" s="96" customFormat="1" x14ac:dyDescent="0.2">
      <c r="A15" s="67" t="s">
        <v>108</v>
      </c>
      <c r="B15" s="97" t="s">
        <v>153</v>
      </c>
      <c r="C15" s="37" t="s">
        <v>120</v>
      </c>
      <c r="D15" s="98">
        <f>$D$3</f>
        <v>3</v>
      </c>
      <c r="E15" s="37">
        <v>30.5</v>
      </c>
      <c r="F15" s="36">
        <f t="shared" si="1"/>
        <v>91.5</v>
      </c>
    </row>
    <row r="16" spans="1:6" s="96" customFormat="1" x14ac:dyDescent="0.2">
      <c r="A16" s="67" t="s">
        <v>180</v>
      </c>
      <c r="B16" s="97" t="s">
        <v>156</v>
      </c>
      <c r="C16" s="37" t="s">
        <v>120</v>
      </c>
      <c r="D16" s="98">
        <f t="shared" ref="D16:D21" si="2">$D$3</f>
        <v>3</v>
      </c>
      <c r="E16" s="99">
        <v>140</v>
      </c>
      <c r="F16" s="36">
        <f t="shared" si="1"/>
        <v>420</v>
      </c>
    </row>
    <row r="17" spans="1:23" s="96" customFormat="1" x14ac:dyDescent="0.2">
      <c r="A17" s="67" t="s">
        <v>181</v>
      </c>
      <c r="B17" s="97" t="s">
        <v>157</v>
      </c>
      <c r="C17" s="37" t="s">
        <v>120</v>
      </c>
      <c r="D17" s="98">
        <f t="shared" si="2"/>
        <v>3</v>
      </c>
      <c r="E17" s="99">
        <v>50</v>
      </c>
      <c r="F17" s="36">
        <f t="shared" si="1"/>
        <v>150</v>
      </c>
    </row>
    <row r="18" spans="1:23" s="96" customFormat="1" x14ac:dyDescent="0.2">
      <c r="A18" s="67" t="s">
        <v>182</v>
      </c>
      <c r="B18" s="97" t="s">
        <v>159</v>
      </c>
      <c r="C18" s="37" t="s">
        <v>120</v>
      </c>
      <c r="D18" s="98">
        <f t="shared" si="2"/>
        <v>3</v>
      </c>
      <c r="E18" s="99">
        <v>70.849999999999994</v>
      </c>
      <c r="F18" s="36">
        <f t="shared" si="1"/>
        <v>212.54999999999998</v>
      </c>
    </row>
    <row r="19" spans="1:23" s="96" customFormat="1" x14ac:dyDescent="0.2">
      <c r="A19" s="67" t="s">
        <v>183</v>
      </c>
      <c r="B19" s="97" t="s">
        <v>148</v>
      </c>
      <c r="C19" s="37" t="s">
        <v>120</v>
      </c>
      <c r="D19" s="98">
        <f t="shared" si="2"/>
        <v>3</v>
      </c>
      <c r="E19" s="99">
        <v>45</v>
      </c>
      <c r="F19" s="36">
        <f t="shared" si="1"/>
        <v>135</v>
      </c>
    </row>
    <row r="20" spans="1:23" s="96" customFormat="1" x14ac:dyDescent="0.2">
      <c r="A20" s="67" t="s">
        <v>184</v>
      </c>
      <c r="B20" s="97" t="s">
        <v>163</v>
      </c>
      <c r="C20" s="37" t="s">
        <v>120</v>
      </c>
      <c r="D20" s="98">
        <f t="shared" si="2"/>
        <v>3</v>
      </c>
      <c r="E20" s="99">
        <v>128.5</v>
      </c>
      <c r="F20" s="36">
        <f t="shared" si="1"/>
        <v>385.5</v>
      </c>
    </row>
    <row r="21" spans="1:23" s="96" customFormat="1" x14ac:dyDescent="0.2">
      <c r="A21" s="67" t="s">
        <v>185</v>
      </c>
      <c r="B21" s="97" t="s">
        <v>164</v>
      </c>
      <c r="C21" s="37" t="s">
        <v>120</v>
      </c>
      <c r="D21" s="98">
        <f t="shared" si="2"/>
        <v>3</v>
      </c>
      <c r="E21" s="99">
        <v>222.66</v>
      </c>
      <c r="F21" s="36">
        <f t="shared" si="1"/>
        <v>667.98</v>
      </c>
    </row>
    <row r="22" spans="1:23" s="96" customFormat="1" x14ac:dyDescent="0.2">
      <c r="A22" s="67" t="s">
        <v>186</v>
      </c>
      <c r="B22" s="97" t="s">
        <v>165</v>
      </c>
      <c r="C22" s="37" t="s">
        <v>120</v>
      </c>
      <c r="D22" s="98">
        <v>1</v>
      </c>
      <c r="E22" s="99">
        <v>432</v>
      </c>
      <c r="F22" s="36">
        <f t="shared" si="1"/>
        <v>432</v>
      </c>
    </row>
    <row r="23" spans="1:23" s="96" customFormat="1" x14ac:dyDescent="0.2">
      <c r="A23" s="67" t="s">
        <v>187</v>
      </c>
      <c r="B23" s="97" t="s">
        <v>166</v>
      </c>
      <c r="C23" s="37" t="s">
        <v>120</v>
      </c>
      <c r="D23" s="98">
        <v>1</v>
      </c>
      <c r="E23" s="99">
        <v>300</v>
      </c>
      <c r="F23" s="36">
        <f t="shared" si="1"/>
        <v>300</v>
      </c>
    </row>
    <row r="24" spans="1:23" s="96" customFormat="1" x14ac:dyDescent="0.2">
      <c r="A24" s="67" t="s">
        <v>188</v>
      </c>
      <c r="B24" s="97" t="s">
        <v>167</v>
      </c>
      <c r="C24" s="37" t="s">
        <v>120</v>
      </c>
      <c r="D24" s="98">
        <v>1</v>
      </c>
      <c r="E24" s="99">
        <v>20</v>
      </c>
      <c r="F24" s="36">
        <f t="shared" si="1"/>
        <v>20</v>
      </c>
    </row>
    <row r="25" spans="1:23" s="96" customFormat="1" x14ac:dyDescent="0.2">
      <c r="A25" s="67" t="s">
        <v>189</v>
      </c>
      <c r="B25" s="97" t="s">
        <v>168</v>
      </c>
      <c r="C25" s="37" t="s">
        <v>120</v>
      </c>
      <c r="D25" s="98">
        <v>1</v>
      </c>
      <c r="E25" s="99">
        <v>25</v>
      </c>
      <c r="F25" s="36">
        <f t="shared" si="1"/>
        <v>25</v>
      </c>
    </row>
    <row r="26" spans="1:23" s="96" customFormat="1" x14ac:dyDescent="0.2">
      <c r="A26" s="68" t="s">
        <v>5</v>
      </c>
      <c r="B26" s="63" t="s">
        <v>646</v>
      </c>
      <c r="C26" s="37"/>
      <c r="D26" s="98"/>
      <c r="E26" s="99"/>
      <c r="F26" s="64">
        <v>1100</v>
      </c>
    </row>
    <row r="27" spans="1:23" x14ac:dyDescent="0.2">
      <c r="A27" s="72"/>
      <c r="B27" s="73" t="s">
        <v>137</v>
      </c>
      <c r="C27" s="69"/>
      <c r="D27" s="74"/>
      <c r="E27" s="30"/>
      <c r="F27" s="74">
        <f>F5+F12+F26</f>
        <v>11695.849999999999</v>
      </c>
    </row>
    <row r="28" spans="1:23" x14ac:dyDescent="0.2">
      <c r="A28" s="72"/>
      <c r="B28" s="73" t="s">
        <v>138</v>
      </c>
      <c r="C28" s="69"/>
      <c r="D28" s="74"/>
      <c r="E28" s="30"/>
      <c r="F28" s="74">
        <f>F27/D3/12</f>
        <v>324.88472222222219</v>
      </c>
    </row>
    <row r="29" spans="1:23" ht="15" customHeight="1" x14ac:dyDescent="0.2"/>
    <row r="30" spans="1:23" s="370" customFormat="1" ht="15.75" customHeight="1" x14ac:dyDescent="0.2">
      <c r="A30" s="404"/>
      <c r="B30" s="364" t="s">
        <v>234</v>
      </c>
      <c r="C30" s="367"/>
      <c r="D30" s="367"/>
      <c r="E30" s="511" t="s">
        <v>604</v>
      </c>
      <c r="F30" s="511"/>
      <c r="G30" s="366"/>
      <c r="H30" s="503"/>
      <c r="I30" s="503"/>
      <c r="J30" s="503"/>
      <c r="K30" s="503"/>
      <c r="L30" s="503"/>
      <c r="M30" s="367"/>
      <c r="N30" s="368"/>
      <c r="O30" s="368"/>
      <c r="P30" s="369"/>
      <c r="Q30" s="369"/>
      <c r="R30" s="369"/>
      <c r="S30" s="369"/>
      <c r="T30" s="369"/>
      <c r="U30" s="368"/>
      <c r="V30" s="368"/>
      <c r="W30" s="369"/>
    </row>
  </sheetData>
  <mergeCells count="3">
    <mergeCell ref="A1:F1"/>
    <mergeCell ref="E30:F30"/>
    <mergeCell ref="H30:L30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66"/>
  <sheetViews>
    <sheetView topLeftCell="A130" zoomScale="130" zoomScaleNormal="130" workbookViewId="0">
      <selection activeCell="E166" sqref="E166:F166"/>
    </sheetView>
  </sheetViews>
  <sheetFormatPr defaultRowHeight="12.75" x14ac:dyDescent="0.2"/>
  <cols>
    <col min="1" max="1" width="4" style="51" customWidth="1"/>
    <col min="2" max="2" width="19.28515625" style="28" customWidth="1"/>
    <col min="3" max="3" width="9.140625" style="28" customWidth="1"/>
    <col min="4" max="4" width="9.85546875" style="202" customWidth="1"/>
    <col min="5" max="5" width="9.42578125" style="263" bestFit="1" customWidth="1"/>
    <col min="6" max="6" width="8.42578125" style="263" bestFit="1" customWidth="1"/>
    <col min="7" max="7" width="7.28515625" style="263" bestFit="1" customWidth="1"/>
    <col min="8" max="8" width="8.140625" style="169" customWidth="1"/>
    <col min="9" max="9" width="9.7109375" style="169" bestFit="1" customWidth="1"/>
    <col min="10" max="10" width="8.7109375" style="263" customWidth="1"/>
  </cols>
  <sheetData>
    <row r="1" spans="1:10" ht="33" customHeight="1" x14ac:dyDescent="0.2">
      <c r="A1" s="512" t="s">
        <v>595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0" s="2" customFormat="1" ht="61.5" customHeight="1" x14ac:dyDescent="0.2">
      <c r="A2" s="87" t="s">
        <v>1</v>
      </c>
      <c r="B2" s="87" t="s">
        <v>0</v>
      </c>
      <c r="C2" s="87" t="s">
        <v>72</v>
      </c>
      <c r="D2" s="198" t="s">
        <v>216</v>
      </c>
      <c r="E2" s="233" t="s">
        <v>85</v>
      </c>
      <c r="F2" s="233" t="s">
        <v>86</v>
      </c>
      <c r="G2" s="233" t="s">
        <v>276</v>
      </c>
      <c r="H2" s="87" t="s">
        <v>75</v>
      </c>
      <c r="I2" s="87" t="s">
        <v>81</v>
      </c>
      <c r="J2" s="233" t="s">
        <v>237</v>
      </c>
    </row>
    <row r="3" spans="1:10" s="158" customFormat="1" ht="11.25" x14ac:dyDescent="0.2">
      <c r="A3" s="281">
        <v>1</v>
      </c>
      <c r="B3" s="463" t="s">
        <v>331</v>
      </c>
      <c r="C3" s="339">
        <v>394.86</v>
      </c>
      <c r="D3" s="339">
        <v>43</v>
      </c>
      <c r="E3" s="233">
        <f>D3/$E$164</f>
        <v>4.6734050646668841E-3</v>
      </c>
      <c r="F3" s="233">
        <f>E3*$F$164</f>
        <v>45.134881534615808</v>
      </c>
      <c r="G3" s="233">
        <f t="shared" ref="G3:G66" si="0">F3*22/100</f>
        <v>9.9296739376154779</v>
      </c>
      <c r="H3" s="233">
        <f>F3*'92'!$C$20/100</f>
        <v>8.9767349030948385</v>
      </c>
      <c r="I3" s="233">
        <f>E3*'мат. канал'!$F$28</f>
        <v>1.5183179062662271</v>
      </c>
      <c r="J3" s="233">
        <f t="shared" ref="J3:J66" si="1">(F3+G3+H3+I3)/C3</f>
        <v>0.16603253882791966</v>
      </c>
    </row>
    <row r="4" spans="1:10" s="158" customFormat="1" ht="11.25" x14ac:dyDescent="0.2">
      <c r="A4" s="281">
        <v>2</v>
      </c>
      <c r="B4" s="463" t="s">
        <v>332</v>
      </c>
      <c r="C4" s="330">
        <v>326.89999999999998</v>
      </c>
      <c r="D4" s="339">
        <v>24</v>
      </c>
      <c r="E4" s="233">
        <f>D4/$E$164</f>
        <v>2.6084121291164004E-3</v>
      </c>
      <c r="F4" s="233">
        <f>E4*$F$164</f>
        <v>25.191561786762311</v>
      </c>
      <c r="G4" s="233">
        <f t="shared" si="0"/>
        <v>5.5421435930877081</v>
      </c>
      <c r="H4" s="233">
        <f>F4*'92'!$C$20/100</f>
        <v>5.010270643587817</v>
      </c>
      <c r="I4" s="233">
        <f>E4*'мат. канал'!$F$28</f>
        <v>0.84743325000905689</v>
      </c>
      <c r="J4" s="233">
        <f t="shared" si="1"/>
        <v>0.11193456492336157</v>
      </c>
    </row>
    <row r="5" spans="1:10" s="158" customFormat="1" ht="11.25" x14ac:dyDescent="0.2">
      <c r="A5" s="281">
        <v>3</v>
      </c>
      <c r="B5" s="463" t="s">
        <v>333</v>
      </c>
      <c r="C5" s="330">
        <v>490.6</v>
      </c>
      <c r="D5" s="339">
        <v>35</v>
      </c>
      <c r="E5" s="233">
        <f>D5/$E$164</f>
        <v>3.8039343549614172E-3</v>
      </c>
      <c r="F5" s="233">
        <f>E5*$F$164</f>
        <v>36.737694272361701</v>
      </c>
      <c r="G5" s="233">
        <f t="shared" si="0"/>
        <v>8.0822927399195734</v>
      </c>
      <c r="H5" s="233">
        <f>F5*'92'!$C$20/100</f>
        <v>7.3066446885655658</v>
      </c>
      <c r="I5" s="233">
        <f>E5*'мат. канал'!$F$28</f>
        <v>1.235840156263208</v>
      </c>
      <c r="J5" s="233">
        <f t="shared" si="1"/>
        <v>0.10876981625990634</v>
      </c>
    </row>
    <row r="6" spans="1:10" s="158" customFormat="1" ht="11.25" x14ac:dyDescent="0.2">
      <c r="A6" s="281">
        <v>4</v>
      </c>
      <c r="B6" s="463" t="s">
        <v>334</v>
      </c>
      <c r="C6" s="330">
        <v>341.5</v>
      </c>
      <c r="D6" s="339">
        <v>50</v>
      </c>
      <c r="E6" s="233">
        <f>D6/$E$164</f>
        <v>5.4341919356591679E-3</v>
      </c>
      <c r="F6" s="233">
        <f>E6*$F$164</f>
        <v>52.482420389088148</v>
      </c>
      <c r="G6" s="233">
        <f t="shared" si="0"/>
        <v>11.546132485599392</v>
      </c>
      <c r="H6" s="233">
        <f>F6*'92'!$C$20/100</f>
        <v>10.438063840807951</v>
      </c>
      <c r="I6" s="233">
        <f>E6*'мат. канал'!$F$28</f>
        <v>1.7654859375188687</v>
      </c>
      <c r="J6" s="233">
        <f t="shared" si="1"/>
        <v>0.2232272405651958</v>
      </c>
    </row>
    <row r="7" spans="1:10" s="158" customFormat="1" ht="11.25" x14ac:dyDescent="0.2">
      <c r="A7" s="281">
        <v>5</v>
      </c>
      <c r="B7" s="463" t="s">
        <v>335</v>
      </c>
      <c r="C7" s="330">
        <v>375.1</v>
      </c>
      <c r="D7" s="339">
        <v>50</v>
      </c>
      <c r="E7" s="233">
        <f>D7/$E$164</f>
        <v>5.4341919356591679E-3</v>
      </c>
      <c r="F7" s="233">
        <f>E7*$F$164</f>
        <v>52.482420389088148</v>
      </c>
      <c r="G7" s="233">
        <f t="shared" si="0"/>
        <v>11.546132485599392</v>
      </c>
      <c r="H7" s="233">
        <f>F7*'92'!$C$20/100</f>
        <v>10.438063840807951</v>
      </c>
      <c r="I7" s="233">
        <f>E7*'мат. канал'!$F$28</f>
        <v>1.7654859375188687</v>
      </c>
      <c r="J7" s="233">
        <f t="shared" si="1"/>
        <v>0.20323141203149656</v>
      </c>
    </row>
    <row r="8" spans="1:10" s="158" customFormat="1" ht="11.25" x14ac:dyDescent="0.2">
      <c r="A8" s="281">
        <v>6</v>
      </c>
      <c r="B8" s="463" t="s">
        <v>336</v>
      </c>
      <c r="C8" s="330">
        <v>386.23</v>
      </c>
      <c r="D8" s="258" t="s">
        <v>20</v>
      </c>
      <c r="E8" s="258" t="s">
        <v>20</v>
      </c>
      <c r="F8" s="464" t="s">
        <v>20</v>
      </c>
      <c r="G8" s="464" t="s">
        <v>20</v>
      </c>
      <c r="H8" s="464" t="s">
        <v>20</v>
      </c>
      <c r="I8" s="464" t="s">
        <v>20</v>
      </c>
      <c r="J8" s="464" t="s">
        <v>20</v>
      </c>
    </row>
    <row r="9" spans="1:10" s="158" customFormat="1" ht="11.25" x14ac:dyDescent="0.2">
      <c r="A9" s="281">
        <v>7</v>
      </c>
      <c r="B9" s="463" t="s">
        <v>337</v>
      </c>
      <c r="C9" s="330">
        <v>917</v>
      </c>
      <c r="D9" s="339">
        <v>165</v>
      </c>
      <c r="E9" s="233">
        <f>D9/$E$164</f>
        <v>1.7932833387675252E-2</v>
      </c>
      <c r="F9" s="233">
        <f>E9*$F$164</f>
        <v>173.19198728399087</v>
      </c>
      <c r="G9" s="233">
        <f t="shared" si="0"/>
        <v>38.102237202477994</v>
      </c>
      <c r="H9" s="233">
        <f>F9*'92'!$C$20/100</f>
        <v>34.445610674666234</v>
      </c>
      <c r="I9" s="233">
        <f>E9*'мат. канал'!$F$28</f>
        <v>5.8261035938122658</v>
      </c>
      <c r="J9" s="233">
        <f t="shared" si="1"/>
        <v>0.27433581107409744</v>
      </c>
    </row>
    <row r="10" spans="1:10" s="158" customFormat="1" ht="11.25" x14ac:dyDescent="0.2">
      <c r="A10" s="281">
        <v>8</v>
      </c>
      <c r="B10" s="463" t="s">
        <v>338</v>
      </c>
      <c r="C10" s="330">
        <v>354.4</v>
      </c>
      <c r="D10" s="339">
        <v>80</v>
      </c>
      <c r="E10" s="233">
        <f>D10/$E$164</f>
        <v>8.6947070970546676E-3</v>
      </c>
      <c r="F10" s="233">
        <f>E10*$F$164</f>
        <v>83.971872622541028</v>
      </c>
      <c r="G10" s="233">
        <f t="shared" si="0"/>
        <v>18.473811976959027</v>
      </c>
      <c r="H10" s="233">
        <f>F10*'92'!$C$20/100</f>
        <v>16.700902145292719</v>
      </c>
      <c r="I10" s="233">
        <f>E10*'мат. канал'!$F$28</f>
        <v>2.8247775000301898</v>
      </c>
      <c r="J10" s="233">
        <f t="shared" si="1"/>
        <v>0.34416299166146436</v>
      </c>
    </row>
    <row r="11" spans="1:10" s="158" customFormat="1" ht="11.25" x14ac:dyDescent="0.2">
      <c r="A11" s="281">
        <v>9</v>
      </c>
      <c r="B11" s="463" t="s">
        <v>339</v>
      </c>
      <c r="C11" s="330">
        <v>634.4</v>
      </c>
      <c r="D11" s="339">
        <v>66</v>
      </c>
      <c r="E11" s="233">
        <f t="shared" ref="E11:E23" si="2">D11/$E$164</f>
        <v>7.1731333550701009E-3</v>
      </c>
      <c r="F11" s="233">
        <f t="shared" ref="F11:F23" si="3">E11*$F$164</f>
        <v>69.276794913596348</v>
      </c>
      <c r="G11" s="233">
        <f t="shared" si="0"/>
        <v>15.240894880991195</v>
      </c>
      <c r="H11" s="233">
        <f>F11*'92'!$C$20/100</f>
        <v>13.778244269866496</v>
      </c>
      <c r="I11" s="233">
        <f>E11*'мат. канал'!$F$28</f>
        <v>2.3304414375249065</v>
      </c>
      <c r="J11" s="233">
        <f t="shared" si="1"/>
        <v>0.1586166070333842</v>
      </c>
    </row>
    <row r="12" spans="1:10" s="158" customFormat="1" ht="11.25" x14ac:dyDescent="0.2">
      <c r="A12" s="281">
        <v>10</v>
      </c>
      <c r="B12" s="463" t="s">
        <v>340</v>
      </c>
      <c r="C12" s="330">
        <v>637.20000000000005</v>
      </c>
      <c r="D12" s="339">
        <v>66</v>
      </c>
      <c r="E12" s="233">
        <f t="shared" si="2"/>
        <v>7.1731333550701009E-3</v>
      </c>
      <c r="F12" s="233">
        <f t="shared" si="3"/>
        <v>69.276794913596348</v>
      </c>
      <c r="G12" s="233">
        <f t="shared" si="0"/>
        <v>15.240894880991195</v>
      </c>
      <c r="H12" s="233">
        <f>F12*'92'!$C$20/100</f>
        <v>13.778244269866496</v>
      </c>
      <c r="I12" s="233">
        <f>E12*'мат. канал'!$F$28</f>
        <v>2.3304414375249065</v>
      </c>
      <c r="J12" s="233">
        <f t="shared" si="1"/>
        <v>0.1579196100156606</v>
      </c>
    </row>
    <row r="13" spans="1:10" s="158" customFormat="1" ht="11.25" x14ac:dyDescent="0.2">
      <c r="A13" s="281">
        <v>11</v>
      </c>
      <c r="B13" s="463" t="s">
        <v>341</v>
      </c>
      <c r="C13" s="330">
        <v>463.8</v>
      </c>
      <c r="D13" s="339">
        <v>66</v>
      </c>
      <c r="E13" s="233">
        <f t="shared" si="2"/>
        <v>7.1731333550701009E-3</v>
      </c>
      <c r="F13" s="233">
        <f t="shared" si="3"/>
        <v>69.276794913596348</v>
      </c>
      <c r="G13" s="233">
        <f t="shared" si="0"/>
        <v>15.240894880991195</v>
      </c>
      <c r="H13" s="233">
        <f>F13*'92'!$C$20/100</f>
        <v>13.778244269866496</v>
      </c>
      <c r="I13" s="233">
        <f>E13*'мат. канал'!$F$28</f>
        <v>2.3304414375249065</v>
      </c>
      <c r="J13" s="233">
        <f t="shared" si="1"/>
        <v>0.21696070612759583</v>
      </c>
    </row>
    <row r="14" spans="1:10" s="158" customFormat="1" ht="11.25" x14ac:dyDescent="0.2">
      <c r="A14" s="281">
        <v>12</v>
      </c>
      <c r="B14" s="463" t="s">
        <v>342</v>
      </c>
      <c r="C14" s="330">
        <v>633.29999999999995</v>
      </c>
      <c r="D14" s="339">
        <v>66</v>
      </c>
      <c r="E14" s="233">
        <f t="shared" si="2"/>
        <v>7.1731333550701009E-3</v>
      </c>
      <c r="F14" s="233">
        <f t="shared" si="3"/>
        <v>69.276794913596348</v>
      </c>
      <c r="G14" s="233">
        <f t="shared" si="0"/>
        <v>15.240894880991195</v>
      </c>
      <c r="H14" s="233">
        <f>F14*'92'!$C$20/100</f>
        <v>13.778244269866496</v>
      </c>
      <c r="I14" s="233">
        <f>E14*'мат. канал'!$F$28</f>
        <v>2.3304414375249065</v>
      </c>
      <c r="J14" s="233">
        <f t="shared" si="1"/>
        <v>0.15889211353541599</v>
      </c>
    </row>
    <row r="15" spans="1:10" s="158" customFormat="1" ht="11.25" x14ac:dyDescent="0.2">
      <c r="A15" s="281">
        <v>13</v>
      </c>
      <c r="B15" s="463" t="s">
        <v>343</v>
      </c>
      <c r="C15" s="330">
        <v>379.5</v>
      </c>
      <c r="D15" s="339">
        <v>34</v>
      </c>
      <c r="E15" s="233">
        <f t="shared" si="2"/>
        <v>3.695250516248234E-3</v>
      </c>
      <c r="F15" s="233">
        <f t="shared" si="3"/>
        <v>35.688045864579941</v>
      </c>
      <c r="G15" s="233">
        <f t="shared" si="0"/>
        <v>7.8513700902075865</v>
      </c>
      <c r="H15" s="233">
        <f>F15*'92'!$C$20/100</f>
        <v>7.0978834117494065</v>
      </c>
      <c r="I15" s="233">
        <f>E15*'мат. канал'!$F$28</f>
        <v>1.2005304375128307</v>
      </c>
      <c r="J15" s="233">
        <f t="shared" si="1"/>
        <v>0.13659507194743023</v>
      </c>
    </row>
    <row r="16" spans="1:10" s="158" customFormat="1" ht="11.25" x14ac:dyDescent="0.2">
      <c r="A16" s="281">
        <v>14</v>
      </c>
      <c r="B16" s="463" t="s">
        <v>344</v>
      </c>
      <c r="C16" s="330">
        <v>916.4</v>
      </c>
      <c r="D16" s="339">
        <v>90</v>
      </c>
      <c r="E16" s="233">
        <f t="shared" si="2"/>
        <v>9.7815454841865008E-3</v>
      </c>
      <c r="F16" s="233">
        <f t="shared" si="3"/>
        <v>94.468356700358655</v>
      </c>
      <c r="G16" s="233">
        <f t="shared" si="0"/>
        <v>20.783038474078904</v>
      </c>
      <c r="H16" s="233">
        <f>F16*'92'!$C$20/100</f>
        <v>18.788514913454311</v>
      </c>
      <c r="I16" s="233">
        <f>E16*'мат. канал'!$F$28</f>
        <v>3.1778746875339632</v>
      </c>
      <c r="J16" s="233">
        <f t="shared" si="1"/>
        <v>0.14973568831888462</v>
      </c>
    </row>
    <row r="17" spans="1:10" s="158" customFormat="1" ht="11.25" x14ac:dyDescent="0.2">
      <c r="A17" s="281">
        <v>15</v>
      </c>
      <c r="B17" s="463" t="s">
        <v>345</v>
      </c>
      <c r="C17" s="330">
        <v>922.1</v>
      </c>
      <c r="D17" s="339">
        <v>90</v>
      </c>
      <c r="E17" s="233">
        <f t="shared" si="2"/>
        <v>9.7815454841865008E-3</v>
      </c>
      <c r="F17" s="233">
        <f t="shared" si="3"/>
        <v>94.468356700358655</v>
      </c>
      <c r="G17" s="233">
        <f t="shared" si="0"/>
        <v>20.783038474078904</v>
      </c>
      <c r="H17" s="233">
        <f>F17*'92'!$C$20/100</f>
        <v>18.788514913454311</v>
      </c>
      <c r="I17" s="233">
        <f>E17*'мат. канал'!$F$28</f>
        <v>3.1778746875339632</v>
      </c>
      <c r="J17" s="233">
        <f t="shared" si="1"/>
        <v>0.14881009085286395</v>
      </c>
    </row>
    <row r="18" spans="1:10" s="158" customFormat="1" ht="11.25" x14ac:dyDescent="0.2">
      <c r="A18" s="281">
        <v>16</v>
      </c>
      <c r="B18" s="463" t="s">
        <v>346</v>
      </c>
      <c r="C18" s="330">
        <v>490.3</v>
      </c>
      <c r="D18" s="339">
        <v>80</v>
      </c>
      <c r="E18" s="233">
        <f t="shared" si="2"/>
        <v>8.6947070970546676E-3</v>
      </c>
      <c r="F18" s="233">
        <f t="shared" si="3"/>
        <v>83.971872622541028</v>
      </c>
      <c r="G18" s="233">
        <f t="shared" si="0"/>
        <v>18.473811976959027</v>
      </c>
      <c r="H18" s="233">
        <f>F18*'92'!$C$20/100</f>
        <v>16.700902145292719</v>
      </c>
      <c r="I18" s="233">
        <f>E18*'мат. канал'!$F$28</f>
        <v>2.8247775000301898</v>
      </c>
      <c r="J18" s="233">
        <f t="shared" si="1"/>
        <v>0.24876884406449717</v>
      </c>
    </row>
    <row r="19" spans="1:10" s="158" customFormat="1" ht="11.25" x14ac:dyDescent="0.2">
      <c r="A19" s="281">
        <v>17</v>
      </c>
      <c r="B19" s="463" t="s">
        <v>347</v>
      </c>
      <c r="C19" s="330">
        <v>502.4</v>
      </c>
      <c r="D19" s="339">
        <v>80</v>
      </c>
      <c r="E19" s="233">
        <f t="shared" si="2"/>
        <v>8.6947070970546676E-3</v>
      </c>
      <c r="F19" s="233">
        <f t="shared" si="3"/>
        <v>83.971872622541028</v>
      </c>
      <c r="G19" s="233">
        <f t="shared" si="0"/>
        <v>18.473811976959027</v>
      </c>
      <c r="H19" s="233">
        <f>F19*'92'!$C$20/100</f>
        <v>16.700902145292719</v>
      </c>
      <c r="I19" s="233">
        <f>E19*'мат. канал'!$F$28</f>
        <v>2.8247775000301898</v>
      </c>
      <c r="J19" s="233">
        <f t="shared" si="1"/>
        <v>0.24277739698412215</v>
      </c>
    </row>
    <row r="20" spans="1:10" s="158" customFormat="1" ht="11.25" x14ac:dyDescent="0.2">
      <c r="A20" s="281">
        <v>18</v>
      </c>
      <c r="B20" s="463" t="s">
        <v>348</v>
      </c>
      <c r="C20" s="330">
        <v>655.29999999999995</v>
      </c>
      <c r="D20" s="339">
        <v>90</v>
      </c>
      <c r="E20" s="233">
        <f t="shared" si="2"/>
        <v>9.7815454841865008E-3</v>
      </c>
      <c r="F20" s="233">
        <f t="shared" si="3"/>
        <v>94.468356700358655</v>
      </c>
      <c r="G20" s="233">
        <f t="shared" si="0"/>
        <v>20.783038474078904</v>
      </c>
      <c r="H20" s="233">
        <f>F20*'92'!$C$20/100</f>
        <v>18.788514913454311</v>
      </c>
      <c r="I20" s="233">
        <f>E20*'мат. канал'!$F$28</f>
        <v>3.1778746875339632</v>
      </c>
      <c r="J20" s="233">
        <f t="shared" si="1"/>
        <v>0.20939689420940921</v>
      </c>
    </row>
    <row r="21" spans="1:10" s="158" customFormat="1" ht="11.25" x14ac:dyDescent="0.2">
      <c r="A21" s="281">
        <v>19</v>
      </c>
      <c r="B21" s="463" t="s">
        <v>349</v>
      </c>
      <c r="C21" s="330">
        <v>663.8</v>
      </c>
      <c r="D21" s="339">
        <v>90</v>
      </c>
      <c r="E21" s="233">
        <f t="shared" si="2"/>
        <v>9.7815454841865008E-3</v>
      </c>
      <c r="F21" s="233">
        <f t="shared" si="3"/>
        <v>94.468356700358655</v>
      </c>
      <c r="G21" s="233">
        <f t="shared" si="0"/>
        <v>20.783038474078904</v>
      </c>
      <c r="H21" s="233">
        <f>F21*'92'!$C$20/100</f>
        <v>18.788514913454311</v>
      </c>
      <c r="I21" s="233">
        <f>E21*'мат. канал'!$F$28</f>
        <v>3.1778746875339632</v>
      </c>
      <c r="J21" s="233">
        <f t="shared" si="1"/>
        <v>0.2067155540455346</v>
      </c>
    </row>
    <row r="22" spans="1:10" s="158" customFormat="1" ht="11.25" x14ac:dyDescent="0.2">
      <c r="A22" s="281">
        <v>20</v>
      </c>
      <c r="B22" s="463" t="s">
        <v>350</v>
      </c>
      <c r="C22" s="330">
        <v>679.3</v>
      </c>
      <c r="D22" s="339">
        <v>90</v>
      </c>
      <c r="E22" s="233">
        <f t="shared" si="2"/>
        <v>9.7815454841865008E-3</v>
      </c>
      <c r="F22" s="233">
        <f t="shared" si="3"/>
        <v>94.468356700358655</v>
      </c>
      <c r="G22" s="233">
        <f t="shared" si="0"/>
        <v>20.783038474078904</v>
      </c>
      <c r="H22" s="233">
        <f>F22*'92'!$C$20/100</f>
        <v>18.788514913454311</v>
      </c>
      <c r="I22" s="233">
        <f>E22*'мат. канал'!$F$28</f>
        <v>3.1778746875339632</v>
      </c>
      <c r="J22" s="233">
        <f t="shared" si="1"/>
        <v>0.20199879990494019</v>
      </c>
    </row>
    <row r="23" spans="1:10" s="158" customFormat="1" ht="11.25" x14ac:dyDescent="0.2">
      <c r="A23" s="281">
        <v>21</v>
      </c>
      <c r="B23" s="463" t="s">
        <v>351</v>
      </c>
      <c r="C23" s="330">
        <v>828.8</v>
      </c>
      <c r="D23" s="339">
        <v>120</v>
      </c>
      <c r="E23" s="233">
        <f t="shared" si="2"/>
        <v>1.3042060645582002E-2</v>
      </c>
      <c r="F23" s="233">
        <f t="shared" si="3"/>
        <v>125.95780893381155</v>
      </c>
      <c r="G23" s="233">
        <f t="shared" si="0"/>
        <v>27.71071796543854</v>
      </c>
      <c r="H23" s="233">
        <f>F23*'92'!$C$20/100</f>
        <v>25.051353217939081</v>
      </c>
      <c r="I23" s="233">
        <f>E23*'мат. канал'!$F$28</f>
        <v>4.2371662500452842</v>
      </c>
      <c r="J23" s="233">
        <f t="shared" si="1"/>
        <v>0.22074933200679833</v>
      </c>
    </row>
    <row r="24" spans="1:10" s="158" customFormat="1" ht="11.25" x14ac:dyDescent="0.2">
      <c r="A24" s="281">
        <v>22</v>
      </c>
      <c r="B24" s="463" t="s">
        <v>352</v>
      </c>
      <c r="C24" s="330">
        <v>1413.6</v>
      </c>
      <c r="D24" s="339">
        <v>140</v>
      </c>
      <c r="E24" s="233">
        <f t="shared" ref="E24:E30" si="4">D24/$E$164</f>
        <v>1.5215737419845669E-2</v>
      </c>
      <c r="F24" s="233">
        <f t="shared" ref="F24:F30" si="5">E24*$F$164</f>
        <v>146.9507770894468</v>
      </c>
      <c r="G24" s="233">
        <f t="shared" si="0"/>
        <v>32.329170959678294</v>
      </c>
      <c r="H24" s="233">
        <f>F24*'92'!$C$20/100</f>
        <v>29.226578754262263</v>
      </c>
      <c r="I24" s="233">
        <f>E24*'мат. канал'!$F$28</f>
        <v>4.9433606250528319</v>
      </c>
      <c r="J24" s="233">
        <f t="shared" si="1"/>
        <v>0.15099737367603297</v>
      </c>
    </row>
    <row r="25" spans="1:10" s="158" customFormat="1" ht="11.25" x14ac:dyDescent="0.2">
      <c r="A25" s="281">
        <v>23</v>
      </c>
      <c r="B25" s="463" t="s">
        <v>353</v>
      </c>
      <c r="C25" s="330">
        <v>1478</v>
      </c>
      <c r="D25" s="339">
        <v>120</v>
      </c>
      <c r="E25" s="233">
        <f t="shared" si="4"/>
        <v>1.3042060645582002E-2</v>
      </c>
      <c r="F25" s="233">
        <f t="shared" si="5"/>
        <v>125.95780893381155</v>
      </c>
      <c r="G25" s="233">
        <f t="shared" si="0"/>
        <v>27.71071796543854</v>
      </c>
      <c r="H25" s="233">
        <f>F25*'92'!$C$20/100</f>
        <v>25.051353217939081</v>
      </c>
      <c r="I25" s="233">
        <f>E25*'мат. канал'!$F$28</f>
        <v>4.2371662500452842</v>
      </c>
      <c r="J25" s="233">
        <f t="shared" si="1"/>
        <v>0.12378690552586905</v>
      </c>
    </row>
    <row r="26" spans="1:10" s="158" customFormat="1" ht="11.25" x14ac:dyDescent="0.2">
      <c r="A26" s="281">
        <v>24</v>
      </c>
      <c r="B26" s="463" t="s">
        <v>354</v>
      </c>
      <c r="C26" s="330">
        <v>848.6</v>
      </c>
      <c r="D26" s="339">
        <v>110</v>
      </c>
      <c r="E26" s="233">
        <f t="shared" si="4"/>
        <v>1.1955222258450169E-2</v>
      </c>
      <c r="F26" s="233">
        <f t="shared" si="5"/>
        <v>115.46132485599392</v>
      </c>
      <c r="G26" s="233">
        <f t="shared" si="0"/>
        <v>25.401491468318664</v>
      </c>
      <c r="H26" s="233">
        <f>F26*'92'!$C$20/100</f>
        <v>22.963740449777493</v>
      </c>
      <c r="I26" s="233">
        <f>E26*'мат. канал'!$F$28</f>
        <v>3.8840690625415109</v>
      </c>
      <c r="J26" s="233">
        <f t="shared" si="1"/>
        <v>0.19763213037547911</v>
      </c>
    </row>
    <row r="27" spans="1:10" s="158" customFormat="1" ht="11.25" x14ac:dyDescent="0.2">
      <c r="A27" s="281">
        <v>25</v>
      </c>
      <c r="B27" s="463" t="s">
        <v>355</v>
      </c>
      <c r="C27" s="330">
        <v>834.8</v>
      </c>
      <c r="D27" s="339">
        <v>130</v>
      </c>
      <c r="E27" s="233">
        <f t="shared" si="4"/>
        <v>1.4128899032713835E-2</v>
      </c>
      <c r="F27" s="233">
        <f t="shared" si="5"/>
        <v>136.45429301162918</v>
      </c>
      <c r="G27" s="233">
        <f t="shared" si="0"/>
        <v>30.019944462558421</v>
      </c>
      <c r="H27" s="233">
        <f>F27*'92'!$C$20/100</f>
        <v>27.138965986100676</v>
      </c>
      <c r="I27" s="233">
        <f>E27*'мат. канал'!$F$28</f>
        <v>4.5902634375490585</v>
      </c>
      <c r="J27" s="233">
        <f t="shared" si="1"/>
        <v>0.2374262900069925</v>
      </c>
    </row>
    <row r="28" spans="1:10" s="158" customFormat="1" ht="11.25" x14ac:dyDescent="0.2">
      <c r="A28" s="281">
        <v>26</v>
      </c>
      <c r="B28" s="463" t="s">
        <v>356</v>
      </c>
      <c r="C28" s="330">
        <v>848.8</v>
      </c>
      <c r="D28" s="339">
        <v>120</v>
      </c>
      <c r="E28" s="233">
        <f t="shared" si="4"/>
        <v>1.3042060645582002E-2</v>
      </c>
      <c r="F28" s="233">
        <f t="shared" si="5"/>
        <v>125.95780893381155</v>
      </c>
      <c r="G28" s="233">
        <f t="shared" si="0"/>
        <v>27.71071796543854</v>
      </c>
      <c r="H28" s="233">
        <f>F28*'92'!$C$20/100</f>
        <v>25.051353217939081</v>
      </c>
      <c r="I28" s="233">
        <f>E28*'мат. канал'!$F$28</f>
        <v>4.2371662500452842</v>
      </c>
      <c r="J28" s="233">
        <f t="shared" si="1"/>
        <v>0.21554788686054957</v>
      </c>
    </row>
    <row r="29" spans="1:10" s="158" customFormat="1" ht="11.25" x14ac:dyDescent="0.2">
      <c r="A29" s="281">
        <v>27</v>
      </c>
      <c r="B29" s="463" t="s">
        <v>357</v>
      </c>
      <c r="C29" s="330">
        <v>646.76</v>
      </c>
      <c r="D29" s="339">
        <v>90</v>
      </c>
      <c r="E29" s="233">
        <f t="shared" si="4"/>
        <v>9.7815454841865008E-3</v>
      </c>
      <c r="F29" s="233">
        <f t="shared" si="5"/>
        <v>94.468356700358655</v>
      </c>
      <c r="G29" s="233">
        <f t="shared" si="0"/>
        <v>20.783038474078904</v>
      </c>
      <c r="H29" s="233">
        <f>F29*'92'!$C$20/100</f>
        <v>18.788514913454311</v>
      </c>
      <c r="I29" s="233">
        <f>E29*'мат. канал'!$F$28</f>
        <v>3.1778746875339632</v>
      </c>
      <c r="J29" s="233">
        <f t="shared" si="1"/>
        <v>0.21216182938868491</v>
      </c>
    </row>
    <row r="30" spans="1:10" s="158" customFormat="1" ht="11.25" x14ac:dyDescent="0.2">
      <c r="A30" s="281">
        <v>28</v>
      </c>
      <c r="B30" s="463" t="s">
        <v>358</v>
      </c>
      <c r="C30" s="330">
        <v>638.20000000000005</v>
      </c>
      <c r="D30" s="339">
        <v>90</v>
      </c>
      <c r="E30" s="233">
        <f t="shared" si="4"/>
        <v>9.7815454841865008E-3</v>
      </c>
      <c r="F30" s="233">
        <f t="shared" si="5"/>
        <v>94.468356700358655</v>
      </c>
      <c r="G30" s="233">
        <f t="shared" si="0"/>
        <v>20.783038474078904</v>
      </c>
      <c r="H30" s="233">
        <f>F30*'92'!$C$20/100</f>
        <v>18.788514913454311</v>
      </c>
      <c r="I30" s="233">
        <f>E30*'мат. канал'!$F$28</f>
        <v>3.1778746875339632</v>
      </c>
      <c r="J30" s="233">
        <f t="shared" si="1"/>
        <v>0.21500749729775281</v>
      </c>
    </row>
    <row r="31" spans="1:10" s="158" customFormat="1" ht="11.25" x14ac:dyDescent="0.2">
      <c r="A31" s="281">
        <v>29</v>
      </c>
      <c r="B31" s="463" t="s">
        <v>359</v>
      </c>
      <c r="C31" s="330">
        <v>385.2</v>
      </c>
      <c r="D31" s="339" t="s">
        <v>20</v>
      </c>
      <c r="E31" s="258" t="s">
        <v>20</v>
      </c>
      <c r="F31" s="258" t="s">
        <v>20</v>
      </c>
      <c r="G31" s="258" t="s">
        <v>20</v>
      </c>
      <c r="H31" s="258" t="s">
        <v>20</v>
      </c>
      <c r="I31" s="258" t="s">
        <v>20</v>
      </c>
      <c r="J31" s="258" t="s">
        <v>20</v>
      </c>
    </row>
    <row r="32" spans="1:10" s="158" customFormat="1" ht="11.25" x14ac:dyDescent="0.2">
      <c r="A32" s="281">
        <v>30</v>
      </c>
      <c r="B32" s="463" t="s">
        <v>360</v>
      </c>
      <c r="C32" s="330">
        <v>398.4</v>
      </c>
      <c r="D32" s="339" t="s">
        <v>20</v>
      </c>
      <c r="E32" s="258" t="s">
        <v>20</v>
      </c>
      <c r="F32" s="258" t="s">
        <v>20</v>
      </c>
      <c r="G32" s="258" t="s">
        <v>20</v>
      </c>
      <c r="H32" s="258" t="s">
        <v>20</v>
      </c>
      <c r="I32" s="258" t="s">
        <v>20</v>
      </c>
      <c r="J32" s="258" t="s">
        <v>20</v>
      </c>
    </row>
    <row r="33" spans="1:10" s="158" customFormat="1" ht="11.25" x14ac:dyDescent="0.2">
      <c r="A33" s="281">
        <v>31</v>
      </c>
      <c r="B33" s="463" t="s">
        <v>361</v>
      </c>
      <c r="C33" s="330">
        <v>977.25</v>
      </c>
      <c r="D33" s="339">
        <v>121</v>
      </c>
      <c r="E33" s="233">
        <f t="shared" ref="E33:E96" si="6">D33/$E$164</f>
        <v>1.3150744484295184E-2</v>
      </c>
      <c r="F33" s="233">
        <f t="shared" ref="F33:F96" si="7">E33*$F$164</f>
        <v>127.00745734159331</v>
      </c>
      <c r="G33" s="233">
        <f t="shared" si="0"/>
        <v>27.941640615150526</v>
      </c>
      <c r="H33" s="233">
        <f>F33*'92'!$C$20/100</f>
        <v>25.260114494755239</v>
      </c>
      <c r="I33" s="233">
        <f>E33*'мат. канал'!$F$28</f>
        <v>4.2724759687956615</v>
      </c>
      <c r="J33" s="233">
        <f t="shared" si="1"/>
        <v>0.18877635039170607</v>
      </c>
    </row>
    <row r="34" spans="1:10" s="158" customFormat="1" ht="11.25" x14ac:dyDescent="0.2">
      <c r="A34" s="281">
        <v>32</v>
      </c>
      <c r="B34" s="463" t="s">
        <v>362</v>
      </c>
      <c r="C34" s="330">
        <v>796.2</v>
      </c>
      <c r="D34" s="339">
        <v>120</v>
      </c>
      <c r="E34" s="233">
        <f t="shared" si="6"/>
        <v>1.3042060645582002E-2</v>
      </c>
      <c r="F34" s="233">
        <f t="shared" si="7"/>
        <v>125.95780893381155</v>
      </c>
      <c r="G34" s="233">
        <f t="shared" si="0"/>
        <v>27.71071796543854</v>
      </c>
      <c r="H34" s="233">
        <f>F34*'92'!$C$20/100</f>
        <v>25.051353217939081</v>
      </c>
      <c r="I34" s="233">
        <f>E34*'мат. канал'!$F$28</f>
        <v>4.2371662500452842</v>
      </c>
      <c r="J34" s="233">
        <f t="shared" si="1"/>
        <v>0.22978780000908622</v>
      </c>
    </row>
    <row r="35" spans="1:10" s="158" customFormat="1" ht="11.25" x14ac:dyDescent="0.2">
      <c r="A35" s="281">
        <v>33</v>
      </c>
      <c r="B35" s="463" t="s">
        <v>363</v>
      </c>
      <c r="C35" s="330">
        <v>394.3</v>
      </c>
      <c r="D35" s="339">
        <v>70</v>
      </c>
      <c r="E35" s="233">
        <f t="shared" si="6"/>
        <v>7.6078687099228343E-3</v>
      </c>
      <c r="F35" s="233">
        <f t="shared" si="7"/>
        <v>73.475388544723401</v>
      </c>
      <c r="G35" s="233">
        <f t="shared" si="0"/>
        <v>16.164585479839147</v>
      </c>
      <c r="H35" s="233">
        <f>F35*'92'!$C$20/100</f>
        <v>14.613289377131132</v>
      </c>
      <c r="I35" s="233">
        <f>E35*'мат. канал'!$F$28</f>
        <v>2.471680312526416</v>
      </c>
      <c r="J35" s="233">
        <f t="shared" si="1"/>
        <v>0.27066939821004338</v>
      </c>
    </row>
    <row r="36" spans="1:10" s="158" customFormat="1" ht="11.25" x14ac:dyDescent="0.2">
      <c r="A36" s="281">
        <v>34</v>
      </c>
      <c r="B36" s="463" t="s">
        <v>364</v>
      </c>
      <c r="C36" s="330">
        <v>462.9</v>
      </c>
      <c r="D36" s="339">
        <v>32</v>
      </c>
      <c r="E36" s="233">
        <f t="shared" si="6"/>
        <v>3.4778828388218673E-3</v>
      </c>
      <c r="F36" s="233">
        <f t="shared" si="7"/>
        <v>33.588749049016414</v>
      </c>
      <c r="G36" s="233">
        <f t="shared" si="0"/>
        <v>7.3895247907836108</v>
      </c>
      <c r="H36" s="233">
        <f>F36*'92'!$C$20/100</f>
        <v>6.6803608581170888</v>
      </c>
      <c r="I36" s="233">
        <f>E36*'мат. канал'!$F$28</f>
        <v>1.129911000012076</v>
      </c>
      <c r="J36" s="233">
        <f t="shared" si="1"/>
        <v>0.10539759278014517</v>
      </c>
    </row>
    <row r="37" spans="1:10" s="158" customFormat="1" ht="11.25" x14ac:dyDescent="0.2">
      <c r="A37" s="281">
        <v>35</v>
      </c>
      <c r="B37" s="463" t="s">
        <v>365</v>
      </c>
      <c r="C37" s="330">
        <v>411.79</v>
      </c>
      <c r="D37" s="339">
        <v>60</v>
      </c>
      <c r="E37" s="233">
        <f t="shared" si="6"/>
        <v>6.5210303227910011E-3</v>
      </c>
      <c r="F37" s="233">
        <f t="shared" si="7"/>
        <v>62.978904466905774</v>
      </c>
      <c r="G37" s="233">
        <f t="shared" si="0"/>
        <v>13.85535898271927</v>
      </c>
      <c r="H37" s="233">
        <f>F37*'92'!$C$20/100</f>
        <v>12.52567660896954</v>
      </c>
      <c r="I37" s="233">
        <f>E37*'мат. канал'!$F$28</f>
        <v>2.1185831250226421</v>
      </c>
      <c r="J37" s="233">
        <f t="shared" si="1"/>
        <v>0.22214848146778024</v>
      </c>
    </row>
    <row r="38" spans="1:10" s="158" customFormat="1" ht="11.25" x14ac:dyDescent="0.2">
      <c r="A38" s="281">
        <v>36</v>
      </c>
      <c r="B38" s="463" t="s">
        <v>366</v>
      </c>
      <c r="C38" s="330">
        <v>674.2</v>
      </c>
      <c r="D38" s="339">
        <v>80</v>
      </c>
      <c r="E38" s="233">
        <f t="shared" si="6"/>
        <v>8.6947070970546676E-3</v>
      </c>
      <c r="F38" s="233">
        <f t="shared" si="7"/>
        <v>83.971872622541028</v>
      </c>
      <c r="G38" s="233">
        <f t="shared" si="0"/>
        <v>18.473811976959027</v>
      </c>
      <c r="H38" s="233">
        <f>F38*'92'!$C$20/100</f>
        <v>16.700902145292719</v>
      </c>
      <c r="I38" s="233">
        <f>E38*'мат. канал'!$F$28</f>
        <v>2.8247775000301898</v>
      </c>
      <c r="J38" s="233">
        <f t="shared" si="1"/>
        <v>0.18091273249009635</v>
      </c>
    </row>
    <row r="39" spans="1:10" s="158" customFormat="1" ht="11.25" x14ac:dyDescent="0.2">
      <c r="A39" s="281">
        <v>37</v>
      </c>
      <c r="B39" s="463" t="s">
        <v>367</v>
      </c>
      <c r="C39" s="330">
        <v>169</v>
      </c>
      <c r="D39" s="339">
        <v>50</v>
      </c>
      <c r="E39" s="233">
        <f t="shared" si="6"/>
        <v>5.4341919356591679E-3</v>
      </c>
      <c r="F39" s="233">
        <f t="shared" si="7"/>
        <v>52.482420389088148</v>
      </c>
      <c r="G39" s="233">
        <f t="shared" si="0"/>
        <v>11.546132485599392</v>
      </c>
      <c r="H39" s="233">
        <f>F39*'92'!$C$20/100</f>
        <v>10.438063840807951</v>
      </c>
      <c r="I39" s="233">
        <f>E39*'мат. канал'!$F$28</f>
        <v>1.7654859375188687</v>
      </c>
      <c r="J39" s="233">
        <f t="shared" si="1"/>
        <v>0.45107753049120924</v>
      </c>
    </row>
    <row r="40" spans="1:10" s="158" customFormat="1" ht="11.25" x14ac:dyDescent="0.2">
      <c r="A40" s="281">
        <v>38</v>
      </c>
      <c r="B40" s="463" t="s">
        <v>368</v>
      </c>
      <c r="C40" s="330">
        <v>175.4</v>
      </c>
      <c r="D40" s="339">
        <v>50</v>
      </c>
      <c r="E40" s="233">
        <f t="shared" si="6"/>
        <v>5.4341919356591679E-3</v>
      </c>
      <c r="F40" s="233">
        <f t="shared" si="7"/>
        <v>52.482420389088148</v>
      </c>
      <c r="G40" s="233">
        <f t="shared" si="0"/>
        <v>11.546132485599392</v>
      </c>
      <c r="H40" s="233">
        <f>F40*'92'!$C$20/100</f>
        <v>10.438063840807951</v>
      </c>
      <c r="I40" s="233">
        <f>E40*'мат. канал'!$F$28</f>
        <v>1.7654859375188687</v>
      </c>
      <c r="J40" s="233">
        <f t="shared" si="1"/>
        <v>0.43461860121444906</v>
      </c>
    </row>
    <row r="41" spans="1:10" s="158" customFormat="1" ht="11.25" x14ac:dyDescent="0.2">
      <c r="A41" s="281">
        <v>39</v>
      </c>
      <c r="B41" s="463" t="s">
        <v>369</v>
      </c>
      <c r="C41" s="330">
        <v>173.5</v>
      </c>
      <c r="D41" s="339">
        <v>50</v>
      </c>
      <c r="E41" s="233">
        <f t="shared" si="6"/>
        <v>5.4341919356591679E-3</v>
      </c>
      <c r="F41" s="233">
        <f t="shared" si="7"/>
        <v>52.482420389088148</v>
      </c>
      <c r="G41" s="233">
        <f t="shared" si="0"/>
        <v>11.546132485599392</v>
      </c>
      <c r="H41" s="233">
        <f>F41*'92'!$C$20/100</f>
        <v>10.438063840807951</v>
      </c>
      <c r="I41" s="233">
        <f>E41*'мат. канал'!$F$28</f>
        <v>1.7654859375188687</v>
      </c>
      <c r="J41" s="233">
        <f t="shared" si="1"/>
        <v>0.43937811327385801</v>
      </c>
    </row>
    <row r="42" spans="1:10" s="158" customFormat="1" ht="11.25" x14ac:dyDescent="0.2">
      <c r="A42" s="281">
        <v>40</v>
      </c>
      <c r="B42" s="463" t="s">
        <v>370</v>
      </c>
      <c r="C42" s="330">
        <v>182</v>
      </c>
      <c r="D42" s="339">
        <v>50</v>
      </c>
      <c r="E42" s="233">
        <f t="shared" si="6"/>
        <v>5.4341919356591679E-3</v>
      </c>
      <c r="F42" s="233">
        <f t="shared" si="7"/>
        <v>52.482420389088148</v>
      </c>
      <c r="G42" s="233">
        <f t="shared" si="0"/>
        <v>11.546132485599392</v>
      </c>
      <c r="H42" s="233">
        <f>F42*'92'!$C$20/100</f>
        <v>10.438063840807951</v>
      </c>
      <c r="I42" s="233">
        <f>E42*'мат. канал'!$F$28</f>
        <v>1.7654859375188687</v>
      </c>
      <c r="J42" s="233">
        <f t="shared" si="1"/>
        <v>0.41885770688469431</v>
      </c>
    </row>
    <row r="43" spans="1:10" s="158" customFormat="1" ht="11.25" x14ac:dyDescent="0.2">
      <c r="A43" s="281">
        <v>41</v>
      </c>
      <c r="B43" s="463" t="s">
        <v>371</v>
      </c>
      <c r="C43" s="330">
        <v>629.6</v>
      </c>
      <c r="D43" s="339">
        <v>40</v>
      </c>
      <c r="E43" s="233">
        <f t="shared" si="6"/>
        <v>4.3473535485273338E-3</v>
      </c>
      <c r="F43" s="233">
        <f t="shared" si="7"/>
        <v>41.985936311270514</v>
      </c>
      <c r="G43" s="233">
        <f t="shared" si="0"/>
        <v>9.2369059884795135</v>
      </c>
      <c r="H43" s="233">
        <f>F43*'92'!$C$20/100</f>
        <v>8.3504510726463597</v>
      </c>
      <c r="I43" s="233">
        <f>E43*'мат. канал'!$F$28</f>
        <v>1.4123887500150949</v>
      </c>
      <c r="J43" s="233">
        <f t="shared" si="1"/>
        <v>9.6864171096587487E-2</v>
      </c>
    </row>
    <row r="44" spans="1:10" s="158" customFormat="1" ht="11.25" x14ac:dyDescent="0.2">
      <c r="A44" s="281">
        <v>42</v>
      </c>
      <c r="B44" s="463" t="s">
        <v>372</v>
      </c>
      <c r="C44" s="330">
        <v>628.9</v>
      </c>
      <c r="D44" s="339">
        <v>40</v>
      </c>
      <c r="E44" s="233">
        <f t="shared" si="6"/>
        <v>4.3473535485273338E-3</v>
      </c>
      <c r="F44" s="233">
        <f t="shared" si="7"/>
        <v>41.985936311270514</v>
      </c>
      <c r="G44" s="233">
        <f t="shared" si="0"/>
        <v>9.2369059884795135</v>
      </c>
      <c r="H44" s="233">
        <f>F44*'92'!$C$20/100</f>
        <v>8.3504510726463597</v>
      </c>
      <c r="I44" s="233">
        <f>E44*'мат. канал'!$F$28</f>
        <v>1.4123887500150949</v>
      </c>
      <c r="J44" s="233">
        <f t="shared" si="1"/>
        <v>9.6971986201958155E-2</v>
      </c>
    </row>
    <row r="45" spans="1:10" s="158" customFormat="1" ht="13.5" customHeight="1" x14ac:dyDescent="0.2">
      <c r="A45" s="281">
        <v>43</v>
      </c>
      <c r="B45" s="463" t="s">
        <v>373</v>
      </c>
      <c r="C45" s="330">
        <v>509.3</v>
      </c>
      <c r="D45" s="339">
        <v>40</v>
      </c>
      <c r="E45" s="233">
        <f t="shared" si="6"/>
        <v>4.3473535485273338E-3</v>
      </c>
      <c r="F45" s="233">
        <f t="shared" si="7"/>
        <v>41.985936311270514</v>
      </c>
      <c r="G45" s="233">
        <f t="shared" si="0"/>
        <v>9.2369059884795135</v>
      </c>
      <c r="H45" s="233">
        <f>F45*'92'!$C$20/100</f>
        <v>8.3504510726463597</v>
      </c>
      <c r="I45" s="233">
        <f>E45*'мат. канал'!$F$28</f>
        <v>1.4123887500150949</v>
      </c>
      <c r="J45" s="233">
        <f t="shared" si="1"/>
        <v>0.11974412354685153</v>
      </c>
    </row>
    <row r="46" spans="1:10" s="158" customFormat="1" ht="11.25" x14ac:dyDescent="0.2">
      <c r="A46" s="281">
        <v>44</v>
      </c>
      <c r="B46" s="463" t="s">
        <v>374</v>
      </c>
      <c r="C46" s="330">
        <v>404.4</v>
      </c>
      <c r="D46" s="339">
        <v>24</v>
      </c>
      <c r="E46" s="233">
        <f t="shared" si="6"/>
        <v>2.6084121291164004E-3</v>
      </c>
      <c r="F46" s="233">
        <f t="shared" si="7"/>
        <v>25.191561786762311</v>
      </c>
      <c r="G46" s="233">
        <f t="shared" si="0"/>
        <v>5.5421435930877081</v>
      </c>
      <c r="H46" s="233">
        <f>F46*'92'!$C$20/100</f>
        <v>5.010270643587817</v>
      </c>
      <c r="I46" s="233">
        <f>E46*'мат. канал'!$F$28</f>
        <v>0.84743325000905689</v>
      </c>
      <c r="J46" s="233">
        <f t="shared" si="1"/>
        <v>9.048320789675296E-2</v>
      </c>
    </row>
    <row r="47" spans="1:10" s="158" customFormat="1" ht="11.25" x14ac:dyDescent="0.2">
      <c r="A47" s="281">
        <v>45</v>
      </c>
      <c r="B47" s="463" t="s">
        <v>375</v>
      </c>
      <c r="C47" s="330">
        <v>409.8</v>
      </c>
      <c r="D47" s="339">
        <v>24</v>
      </c>
      <c r="E47" s="233">
        <f t="shared" si="6"/>
        <v>2.6084121291164004E-3</v>
      </c>
      <c r="F47" s="233">
        <f t="shared" si="7"/>
        <v>25.191561786762311</v>
      </c>
      <c r="G47" s="233">
        <f t="shared" si="0"/>
        <v>5.5421435930877081</v>
      </c>
      <c r="H47" s="233">
        <f>F47*'92'!$C$20/100</f>
        <v>5.010270643587817</v>
      </c>
      <c r="I47" s="233">
        <f>E47*'мат. канал'!$F$28</f>
        <v>0.84743325000905689</v>
      </c>
      <c r="J47" s="233">
        <f t="shared" si="1"/>
        <v>8.9290896226078303E-2</v>
      </c>
    </row>
    <row r="48" spans="1:10" s="158" customFormat="1" ht="11.25" x14ac:dyDescent="0.2">
      <c r="A48" s="281">
        <v>46</v>
      </c>
      <c r="B48" s="463" t="s">
        <v>376</v>
      </c>
      <c r="C48" s="330">
        <v>374.7</v>
      </c>
      <c r="D48" s="339">
        <v>38</v>
      </c>
      <c r="E48" s="233">
        <f t="shared" si="6"/>
        <v>4.1299858711009675E-3</v>
      </c>
      <c r="F48" s="233">
        <f t="shared" si="7"/>
        <v>39.886639495706994</v>
      </c>
      <c r="G48" s="233">
        <f t="shared" si="0"/>
        <v>8.7750606890555396</v>
      </c>
      <c r="H48" s="233">
        <f>F48*'92'!$C$20/100</f>
        <v>7.9329285190140437</v>
      </c>
      <c r="I48" s="233">
        <f>E48*'мат. канал'!$F$28</f>
        <v>1.3417693125143402</v>
      </c>
      <c r="J48" s="233">
        <f t="shared" si="1"/>
        <v>0.1546207579831623</v>
      </c>
    </row>
    <row r="49" spans="1:10" s="158" customFormat="1" ht="11.25" x14ac:dyDescent="0.2">
      <c r="A49" s="281">
        <v>47</v>
      </c>
      <c r="B49" s="463" t="s">
        <v>377</v>
      </c>
      <c r="C49" s="330">
        <v>618.4</v>
      </c>
      <c r="D49" s="339">
        <v>60</v>
      </c>
      <c r="E49" s="233">
        <f t="shared" si="6"/>
        <v>6.5210303227910011E-3</v>
      </c>
      <c r="F49" s="233">
        <f t="shared" si="7"/>
        <v>62.978904466905774</v>
      </c>
      <c r="G49" s="233">
        <f t="shared" si="0"/>
        <v>13.85535898271927</v>
      </c>
      <c r="H49" s="233">
        <f>F49*'92'!$C$20/100</f>
        <v>12.52567660896954</v>
      </c>
      <c r="I49" s="233">
        <f>E49*'мат. канал'!$F$28</f>
        <v>2.1185831250226421</v>
      </c>
      <c r="J49" s="233">
        <f t="shared" si="1"/>
        <v>0.14792775417790627</v>
      </c>
    </row>
    <row r="50" spans="1:10" s="158" customFormat="1" ht="11.25" x14ac:dyDescent="0.2">
      <c r="A50" s="281">
        <v>48</v>
      </c>
      <c r="B50" s="463" t="s">
        <v>378</v>
      </c>
      <c r="C50" s="330">
        <v>1126.3</v>
      </c>
      <c r="D50" s="339">
        <v>126</v>
      </c>
      <c r="E50" s="233">
        <f t="shared" si="6"/>
        <v>1.3694163677861103E-2</v>
      </c>
      <c r="F50" s="233">
        <f t="shared" si="7"/>
        <v>132.25569938050214</v>
      </c>
      <c r="G50" s="233">
        <f t="shared" si="0"/>
        <v>29.096253863710473</v>
      </c>
      <c r="H50" s="233">
        <f>F50*'92'!$C$20/100</f>
        <v>26.303920878836038</v>
      </c>
      <c r="I50" s="233">
        <f>E50*'мат. канал'!$F$28</f>
        <v>4.4490245625475486</v>
      </c>
      <c r="J50" s="233">
        <f t="shared" si="1"/>
        <v>0.17056281513415272</v>
      </c>
    </row>
    <row r="51" spans="1:10" s="158" customFormat="1" ht="11.25" x14ac:dyDescent="0.2">
      <c r="A51" s="281">
        <v>49</v>
      </c>
      <c r="B51" s="463" t="s">
        <v>379</v>
      </c>
      <c r="C51" s="330">
        <v>617</v>
      </c>
      <c r="D51" s="339">
        <v>136</v>
      </c>
      <c r="E51" s="233">
        <f t="shared" si="6"/>
        <v>1.4781002064992936E-2</v>
      </c>
      <c r="F51" s="233">
        <f t="shared" si="7"/>
        <v>142.75218345831976</v>
      </c>
      <c r="G51" s="233">
        <f t="shared" si="0"/>
        <v>31.405480360830346</v>
      </c>
      <c r="H51" s="233">
        <f>F51*'92'!$C$20/100</f>
        <v>28.391533646997626</v>
      </c>
      <c r="I51" s="233">
        <f>E51*'мат. канал'!$F$28</f>
        <v>4.8021217500513229</v>
      </c>
      <c r="J51" s="233">
        <f t="shared" si="1"/>
        <v>0.33606372644440691</v>
      </c>
    </row>
    <row r="52" spans="1:10" s="158" customFormat="1" ht="11.25" x14ac:dyDescent="0.2">
      <c r="A52" s="281">
        <v>50</v>
      </c>
      <c r="B52" s="463" t="s">
        <v>380</v>
      </c>
      <c r="C52" s="330">
        <v>452</v>
      </c>
      <c r="D52" s="339">
        <v>50</v>
      </c>
      <c r="E52" s="233">
        <f t="shared" si="6"/>
        <v>5.4341919356591679E-3</v>
      </c>
      <c r="F52" s="233">
        <f t="shared" si="7"/>
        <v>52.482420389088148</v>
      </c>
      <c r="G52" s="233">
        <f t="shared" si="0"/>
        <v>11.546132485599392</v>
      </c>
      <c r="H52" s="233">
        <f>F52*'92'!$C$20/100</f>
        <v>10.438063840807951</v>
      </c>
      <c r="I52" s="233">
        <f>E52*'мат. канал'!$F$28</f>
        <v>1.7654859375188687</v>
      </c>
      <c r="J52" s="233">
        <f t="shared" si="1"/>
        <v>0.16865509436507603</v>
      </c>
    </row>
    <row r="53" spans="1:10" s="158" customFormat="1" ht="11.25" x14ac:dyDescent="0.2">
      <c r="A53" s="281">
        <v>51</v>
      </c>
      <c r="B53" s="463" t="s">
        <v>381</v>
      </c>
      <c r="C53" s="330">
        <v>1245.5999999999999</v>
      </c>
      <c r="D53" s="339">
        <v>92</v>
      </c>
      <c r="E53" s="233">
        <f t="shared" si="6"/>
        <v>9.9989131616128688E-3</v>
      </c>
      <c r="F53" s="233">
        <f t="shared" si="7"/>
        <v>96.567653515922188</v>
      </c>
      <c r="G53" s="233">
        <f t="shared" si="0"/>
        <v>21.244883773502877</v>
      </c>
      <c r="H53" s="233">
        <f>F53*'92'!$C$20/100</f>
        <v>19.206037467086631</v>
      </c>
      <c r="I53" s="233">
        <f>E53*'мат. канал'!$F$28</f>
        <v>3.2484941250347186</v>
      </c>
      <c r="J53" s="233">
        <f t="shared" si="1"/>
        <v>0.11261004245467759</v>
      </c>
    </row>
    <row r="54" spans="1:10" s="158" customFormat="1" ht="11.25" x14ac:dyDescent="0.2">
      <c r="A54" s="281">
        <v>52</v>
      </c>
      <c r="B54" s="463" t="s">
        <v>382</v>
      </c>
      <c r="C54" s="330">
        <v>1275.5999999999999</v>
      </c>
      <c r="D54" s="339">
        <v>93</v>
      </c>
      <c r="E54" s="233">
        <f t="shared" si="6"/>
        <v>1.0107597000326051E-2</v>
      </c>
      <c r="F54" s="233">
        <f t="shared" si="7"/>
        <v>97.617301923703948</v>
      </c>
      <c r="G54" s="233">
        <f t="shared" si="0"/>
        <v>21.475806423214866</v>
      </c>
      <c r="H54" s="233">
        <f>F54*'92'!$C$20/100</f>
        <v>19.414798743902789</v>
      </c>
      <c r="I54" s="233">
        <f>E54*'мат. канал'!$F$28</f>
        <v>3.2838038437850954</v>
      </c>
      <c r="J54" s="233">
        <f t="shared" si="1"/>
        <v>0.11115687592866628</v>
      </c>
    </row>
    <row r="55" spans="1:10" s="158" customFormat="1" ht="11.25" x14ac:dyDescent="0.2">
      <c r="A55" s="281">
        <v>53</v>
      </c>
      <c r="B55" s="463" t="s">
        <v>383</v>
      </c>
      <c r="C55" s="330">
        <v>942.4</v>
      </c>
      <c r="D55" s="339">
        <v>150</v>
      </c>
      <c r="E55" s="233">
        <f t="shared" si="6"/>
        <v>1.6302575806977502E-2</v>
      </c>
      <c r="F55" s="233">
        <f t="shared" si="7"/>
        <v>157.44726116726443</v>
      </c>
      <c r="G55" s="233">
        <f t="shared" si="0"/>
        <v>34.638397456798174</v>
      </c>
      <c r="H55" s="233">
        <f>F55*'92'!$C$20/100</f>
        <v>31.314191522423855</v>
      </c>
      <c r="I55" s="233">
        <f>E55*'мат. канал'!$F$28</f>
        <v>5.2964578125566053</v>
      </c>
      <c r="J55" s="233">
        <f t="shared" si="1"/>
        <v>0.24267435055076728</v>
      </c>
    </row>
    <row r="56" spans="1:10" s="158" customFormat="1" ht="11.25" x14ac:dyDescent="0.2">
      <c r="A56" s="281">
        <v>54</v>
      </c>
      <c r="B56" s="463" t="s">
        <v>384</v>
      </c>
      <c r="C56" s="330">
        <v>567.95000000000005</v>
      </c>
      <c r="D56" s="339">
        <v>40</v>
      </c>
      <c r="E56" s="233">
        <f t="shared" si="6"/>
        <v>4.3473535485273338E-3</v>
      </c>
      <c r="F56" s="233">
        <f t="shared" si="7"/>
        <v>41.985936311270514</v>
      </c>
      <c r="G56" s="233">
        <f t="shared" si="0"/>
        <v>9.2369059884795135</v>
      </c>
      <c r="H56" s="233">
        <f>F56*'92'!$C$20/100</f>
        <v>8.3504510726463597</v>
      </c>
      <c r="I56" s="233">
        <f>E56*'мат. канал'!$F$28</f>
        <v>1.4123887500150949</v>
      </c>
      <c r="J56" s="233">
        <f t="shared" si="1"/>
        <v>0.10737861100873576</v>
      </c>
    </row>
    <row r="57" spans="1:10" s="158" customFormat="1" ht="11.25" x14ac:dyDescent="0.2">
      <c r="A57" s="281">
        <v>55</v>
      </c>
      <c r="B57" s="463" t="s">
        <v>385</v>
      </c>
      <c r="C57" s="330">
        <v>1119.5999999999999</v>
      </c>
      <c r="D57" s="339">
        <v>90</v>
      </c>
      <c r="E57" s="233">
        <f t="shared" si="6"/>
        <v>9.7815454841865008E-3</v>
      </c>
      <c r="F57" s="233">
        <f t="shared" si="7"/>
        <v>94.468356700358655</v>
      </c>
      <c r="G57" s="233">
        <f t="shared" si="0"/>
        <v>20.783038474078904</v>
      </c>
      <c r="H57" s="233">
        <f>F57*'92'!$C$20/100</f>
        <v>18.788514913454311</v>
      </c>
      <c r="I57" s="233">
        <f>E57*'мат. канал'!$F$28</f>
        <v>3.1778746875339632</v>
      </c>
      <c r="J57" s="233">
        <f t="shared" si="1"/>
        <v>0.12255965056754722</v>
      </c>
    </row>
    <row r="58" spans="1:10" s="158" customFormat="1" ht="11.25" x14ac:dyDescent="0.2">
      <c r="A58" s="281">
        <v>56</v>
      </c>
      <c r="B58" s="463" t="s">
        <v>386</v>
      </c>
      <c r="C58" s="330">
        <v>946.6</v>
      </c>
      <c r="D58" s="339">
        <v>90</v>
      </c>
      <c r="E58" s="233">
        <f t="shared" si="6"/>
        <v>9.7815454841865008E-3</v>
      </c>
      <c r="F58" s="233">
        <f t="shared" si="7"/>
        <v>94.468356700358655</v>
      </c>
      <c r="G58" s="233">
        <f t="shared" si="0"/>
        <v>20.783038474078904</v>
      </c>
      <c r="H58" s="233">
        <f>F58*'92'!$C$20/100</f>
        <v>18.788514913454311</v>
      </c>
      <c r="I58" s="233">
        <f>E58*'мат. канал'!$F$28</f>
        <v>3.1778746875339632</v>
      </c>
      <c r="J58" s="233">
        <f t="shared" si="1"/>
        <v>0.14495857254957306</v>
      </c>
    </row>
    <row r="59" spans="1:10" s="158" customFormat="1" ht="11.25" x14ac:dyDescent="0.2">
      <c r="A59" s="281">
        <v>57</v>
      </c>
      <c r="B59" s="463" t="s">
        <v>387</v>
      </c>
      <c r="C59" s="330">
        <v>1375.7</v>
      </c>
      <c r="D59" s="339">
        <v>130</v>
      </c>
      <c r="E59" s="233">
        <f t="shared" si="6"/>
        <v>1.4128899032713835E-2</v>
      </c>
      <c r="F59" s="233">
        <f t="shared" si="7"/>
        <v>136.45429301162918</v>
      </c>
      <c r="G59" s="233">
        <f t="shared" si="0"/>
        <v>30.019944462558421</v>
      </c>
      <c r="H59" s="233">
        <f>F59*'92'!$C$20/100</f>
        <v>27.138965986100676</v>
      </c>
      <c r="I59" s="233">
        <f>E59*'мат. канал'!$F$28</f>
        <v>4.5902634375490585</v>
      </c>
      <c r="J59" s="233">
        <f t="shared" si="1"/>
        <v>0.14407462884192579</v>
      </c>
    </row>
    <row r="60" spans="1:10" s="158" customFormat="1" ht="11.25" x14ac:dyDescent="0.2">
      <c r="A60" s="281">
        <v>58</v>
      </c>
      <c r="B60" s="463" t="s">
        <v>388</v>
      </c>
      <c r="C60" s="330">
        <v>1540.17</v>
      </c>
      <c r="D60" s="339">
        <v>162</v>
      </c>
      <c r="E60" s="233">
        <f t="shared" si="6"/>
        <v>1.7606781871535703E-2</v>
      </c>
      <c r="F60" s="233">
        <f t="shared" si="7"/>
        <v>170.0430420606456</v>
      </c>
      <c r="G60" s="233">
        <f t="shared" si="0"/>
        <v>37.409469253342031</v>
      </c>
      <c r="H60" s="233">
        <f>F60*'92'!$C$20/100</f>
        <v>33.81932684421777</v>
      </c>
      <c r="I60" s="233">
        <f>E60*'мат. канал'!$F$28</f>
        <v>5.7201744375611341</v>
      </c>
      <c r="J60" s="233">
        <f t="shared" si="1"/>
        <v>0.16036672094364032</v>
      </c>
    </row>
    <row r="61" spans="1:10" s="158" customFormat="1" ht="11.25" x14ac:dyDescent="0.2">
      <c r="A61" s="281">
        <v>59</v>
      </c>
      <c r="B61" s="463" t="s">
        <v>389</v>
      </c>
      <c r="C61" s="330">
        <v>1571.33</v>
      </c>
      <c r="D61" s="339">
        <v>162</v>
      </c>
      <c r="E61" s="233">
        <f t="shared" si="6"/>
        <v>1.7606781871535703E-2</v>
      </c>
      <c r="F61" s="233">
        <f t="shared" si="7"/>
        <v>170.0430420606456</v>
      </c>
      <c r="G61" s="233">
        <f t="shared" si="0"/>
        <v>37.409469253342031</v>
      </c>
      <c r="H61" s="233">
        <f>F61*'92'!$C$20/100</f>
        <v>33.81932684421777</v>
      </c>
      <c r="I61" s="233">
        <f>E61*'мат. канал'!$F$28</f>
        <v>5.7201744375611341</v>
      </c>
      <c r="J61" s="233">
        <f t="shared" si="1"/>
        <v>0.15718659517463968</v>
      </c>
    </row>
    <row r="62" spans="1:10" s="158" customFormat="1" ht="11.25" x14ac:dyDescent="0.2">
      <c r="A62" s="281">
        <v>60</v>
      </c>
      <c r="B62" s="463" t="s">
        <v>390</v>
      </c>
      <c r="C62" s="330">
        <v>1686.29</v>
      </c>
      <c r="D62" s="339">
        <v>96</v>
      </c>
      <c r="E62" s="233">
        <f t="shared" si="6"/>
        <v>1.0433648516465601E-2</v>
      </c>
      <c r="F62" s="233">
        <f t="shared" si="7"/>
        <v>100.76624714704924</v>
      </c>
      <c r="G62" s="233">
        <f t="shared" si="0"/>
        <v>22.168574372350832</v>
      </c>
      <c r="H62" s="233">
        <f>F62*'92'!$C$20/100</f>
        <v>20.041082574351268</v>
      </c>
      <c r="I62" s="233">
        <f>E62*'мат. канал'!$F$28</f>
        <v>3.3897330000362276</v>
      </c>
      <c r="J62" s="233">
        <f t="shared" si="1"/>
        <v>8.6797429323418607E-2</v>
      </c>
    </row>
    <row r="63" spans="1:10" s="158" customFormat="1" ht="11.25" x14ac:dyDescent="0.2">
      <c r="A63" s="281">
        <v>61</v>
      </c>
      <c r="B63" s="463" t="s">
        <v>391</v>
      </c>
      <c r="C63" s="330">
        <v>454.2</v>
      </c>
      <c r="D63" s="339">
        <v>50</v>
      </c>
      <c r="E63" s="233">
        <f t="shared" si="6"/>
        <v>5.4341919356591679E-3</v>
      </c>
      <c r="F63" s="233">
        <f t="shared" si="7"/>
        <v>52.482420389088148</v>
      </c>
      <c r="G63" s="233">
        <f t="shared" si="0"/>
        <v>11.546132485599392</v>
      </c>
      <c r="H63" s="233">
        <f>F63*'92'!$C$20/100</f>
        <v>10.438063840807951</v>
      </c>
      <c r="I63" s="233">
        <f>E63*'мат. канал'!$F$28</f>
        <v>1.7654859375188687</v>
      </c>
      <c r="J63" s="233">
        <f t="shared" si="1"/>
        <v>0.16783818285560187</v>
      </c>
    </row>
    <row r="64" spans="1:10" s="158" customFormat="1" ht="11.25" x14ac:dyDescent="0.2">
      <c r="A64" s="281">
        <v>62</v>
      </c>
      <c r="B64" s="463" t="s">
        <v>392</v>
      </c>
      <c r="C64" s="330">
        <v>752.4</v>
      </c>
      <c r="D64" s="339">
        <v>80</v>
      </c>
      <c r="E64" s="233">
        <f t="shared" si="6"/>
        <v>8.6947070970546676E-3</v>
      </c>
      <c r="F64" s="233">
        <f t="shared" si="7"/>
        <v>83.971872622541028</v>
      </c>
      <c r="G64" s="233">
        <f t="shared" si="0"/>
        <v>18.473811976959027</v>
      </c>
      <c r="H64" s="233">
        <f>F64*'92'!$C$20/100</f>
        <v>16.700902145292719</v>
      </c>
      <c r="I64" s="233">
        <f>E64*'мат. канал'!$F$28</f>
        <v>2.8247775000301898</v>
      </c>
      <c r="J64" s="233">
        <f t="shared" si="1"/>
        <v>0.16210973450933408</v>
      </c>
    </row>
    <row r="65" spans="1:10" s="158" customFormat="1" ht="11.25" x14ac:dyDescent="0.2">
      <c r="A65" s="281">
        <v>63</v>
      </c>
      <c r="B65" s="463" t="s">
        <v>393</v>
      </c>
      <c r="C65" s="330">
        <v>956.4</v>
      </c>
      <c r="D65" s="339">
        <v>80</v>
      </c>
      <c r="E65" s="233">
        <f t="shared" si="6"/>
        <v>8.6947070970546676E-3</v>
      </c>
      <c r="F65" s="233">
        <f t="shared" si="7"/>
        <v>83.971872622541028</v>
      </c>
      <c r="G65" s="233">
        <f t="shared" si="0"/>
        <v>18.473811976959027</v>
      </c>
      <c r="H65" s="233">
        <f>F65*'92'!$C$20/100</f>
        <v>16.700902145292719</v>
      </c>
      <c r="I65" s="233">
        <f>E65*'мат. канал'!$F$28</f>
        <v>2.8247775000301898</v>
      </c>
      <c r="J65" s="233">
        <f t="shared" si="1"/>
        <v>0.12753174847848492</v>
      </c>
    </row>
    <row r="66" spans="1:10" s="158" customFormat="1" ht="11.25" x14ac:dyDescent="0.2">
      <c r="A66" s="281">
        <v>64</v>
      </c>
      <c r="B66" s="463" t="s">
        <v>394</v>
      </c>
      <c r="C66" s="330">
        <v>955.5</v>
      </c>
      <c r="D66" s="339">
        <v>110</v>
      </c>
      <c r="E66" s="233">
        <f t="shared" si="6"/>
        <v>1.1955222258450169E-2</v>
      </c>
      <c r="F66" s="233">
        <f t="shared" si="7"/>
        <v>115.46132485599392</v>
      </c>
      <c r="G66" s="233">
        <f t="shared" si="0"/>
        <v>25.401491468318664</v>
      </c>
      <c r="H66" s="233">
        <f>F66*'92'!$C$20/100</f>
        <v>22.963740449777493</v>
      </c>
      <c r="I66" s="233">
        <f>E66*'мат. канал'!$F$28</f>
        <v>3.8840690625415109</v>
      </c>
      <c r="J66" s="233">
        <f t="shared" si="1"/>
        <v>0.17552132478977664</v>
      </c>
    </row>
    <row r="67" spans="1:10" s="158" customFormat="1" ht="11.25" x14ac:dyDescent="0.2">
      <c r="A67" s="281">
        <v>65</v>
      </c>
      <c r="B67" s="463" t="s">
        <v>395</v>
      </c>
      <c r="C67" s="330">
        <v>1548.5</v>
      </c>
      <c r="D67" s="339">
        <v>162</v>
      </c>
      <c r="E67" s="233">
        <f t="shared" si="6"/>
        <v>1.7606781871535703E-2</v>
      </c>
      <c r="F67" s="233">
        <f t="shared" si="7"/>
        <v>170.0430420606456</v>
      </c>
      <c r="G67" s="233">
        <f t="shared" ref="G67:G130" si="8">F67*22/100</f>
        <v>37.409469253342031</v>
      </c>
      <c r="H67" s="233">
        <f>F67*'92'!$C$20/100</f>
        <v>33.81932684421777</v>
      </c>
      <c r="I67" s="233">
        <f>E67*'мат. канал'!$F$28</f>
        <v>5.7201744375611341</v>
      </c>
      <c r="J67" s="233">
        <f t="shared" ref="J67:J130" si="9">(F67+G67+H67+I67)/C67</f>
        <v>0.15950404429820247</v>
      </c>
    </row>
    <row r="68" spans="1:10" s="158" customFormat="1" ht="11.25" x14ac:dyDescent="0.2">
      <c r="A68" s="281">
        <v>66</v>
      </c>
      <c r="B68" s="463" t="s">
        <v>396</v>
      </c>
      <c r="C68" s="330">
        <v>1567.3</v>
      </c>
      <c r="D68" s="339">
        <v>162</v>
      </c>
      <c r="E68" s="233">
        <f t="shared" si="6"/>
        <v>1.7606781871535703E-2</v>
      </c>
      <c r="F68" s="233">
        <f t="shared" si="7"/>
        <v>170.0430420606456</v>
      </c>
      <c r="G68" s="233">
        <f t="shared" si="8"/>
        <v>37.409469253342031</v>
      </c>
      <c r="H68" s="233">
        <f>F68*'92'!$C$20/100</f>
        <v>33.81932684421777</v>
      </c>
      <c r="I68" s="233">
        <f>E68*'мат. канал'!$F$28</f>
        <v>5.7201744375611341</v>
      </c>
      <c r="J68" s="233">
        <f t="shared" si="9"/>
        <v>0.15759076921825213</v>
      </c>
    </row>
    <row r="69" spans="1:10" s="158" customFormat="1" ht="11.25" x14ac:dyDescent="0.2">
      <c r="A69" s="281">
        <v>67</v>
      </c>
      <c r="B69" s="463" t="s">
        <v>397</v>
      </c>
      <c r="C69" s="330">
        <v>1558.46</v>
      </c>
      <c r="D69" s="339">
        <v>162</v>
      </c>
      <c r="E69" s="233">
        <f t="shared" si="6"/>
        <v>1.7606781871535703E-2</v>
      </c>
      <c r="F69" s="233">
        <f t="shared" si="7"/>
        <v>170.0430420606456</v>
      </c>
      <c r="G69" s="233">
        <f t="shared" si="8"/>
        <v>37.409469253342031</v>
      </c>
      <c r="H69" s="233">
        <f>F69*'92'!$C$20/100</f>
        <v>33.81932684421777</v>
      </c>
      <c r="I69" s="233">
        <f>E69*'мат. канал'!$F$28</f>
        <v>5.7201744375611341</v>
      </c>
      <c r="J69" s="233">
        <f t="shared" si="9"/>
        <v>0.1584846660137357</v>
      </c>
    </row>
    <row r="70" spans="1:10" s="158" customFormat="1" ht="11.25" x14ac:dyDescent="0.2">
      <c r="A70" s="281">
        <v>68</v>
      </c>
      <c r="B70" s="463" t="s">
        <v>398</v>
      </c>
      <c r="C70" s="330">
        <v>1575.7</v>
      </c>
      <c r="D70" s="339">
        <v>162</v>
      </c>
      <c r="E70" s="233">
        <f t="shared" si="6"/>
        <v>1.7606781871535703E-2</v>
      </c>
      <c r="F70" s="233">
        <f t="shared" si="7"/>
        <v>170.0430420606456</v>
      </c>
      <c r="G70" s="233">
        <f t="shared" si="8"/>
        <v>37.409469253342031</v>
      </c>
      <c r="H70" s="233">
        <f>F70*'92'!$C$20/100</f>
        <v>33.81932684421777</v>
      </c>
      <c r="I70" s="233">
        <f>E70*'мат. канал'!$F$28</f>
        <v>5.7201744375611341</v>
      </c>
      <c r="J70" s="233">
        <f t="shared" si="9"/>
        <v>0.15675065849829697</v>
      </c>
    </row>
    <row r="71" spans="1:10" s="158" customFormat="1" ht="11.25" x14ac:dyDescent="0.2">
      <c r="A71" s="281">
        <v>69</v>
      </c>
      <c r="B71" s="463" t="s">
        <v>399</v>
      </c>
      <c r="C71" s="330">
        <v>1546.3</v>
      </c>
      <c r="D71" s="339">
        <v>162</v>
      </c>
      <c r="E71" s="233">
        <f t="shared" si="6"/>
        <v>1.7606781871535703E-2</v>
      </c>
      <c r="F71" s="233">
        <f t="shared" si="7"/>
        <v>170.0430420606456</v>
      </c>
      <c r="G71" s="233">
        <f t="shared" si="8"/>
        <v>37.409469253342031</v>
      </c>
      <c r="H71" s="233">
        <f>F71*'92'!$C$20/100</f>
        <v>33.81932684421777</v>
      </c>
      <c r="I71" s="233">
        <f>E71*'мат. канал'!$F$28</f>
        <v>5.7201744375611341</v>
      </c>
      <c r="J71" s="233">
        <f t="shared" si="9"/>
        <v>0.15973097885000748</v>
      </c>
    </row>
    <row r="72" spans="1:10" s="158" customFormat="1" ht="11.25" x14ac:dyDescent="0.2">
      <c r="A72" s="281">
        <v>70</v>
      </c>
      <c r="B72" s="463" t="s">
        <v>400</v>
      </c>
      <c r="C72" s="330">
        <v>563.1</v>
      </c>
      <c r="D72" s="339">
        <v>40</v>
      </c>
      <c r="E72" s="233">
        <f t="shared" si="6"/>
        <v>4.3473535485273338E-3</v>
      </c>
      <c r="F72" s="233">
        <f t="shared" si="7"/>
        <v>41.985936311270514</v>
      </c>
      <c r="G72" s="233">
        <f t="shared" si="8"/>
        <v>9.2369059884795135</v>
      </c>
      <c r="H72" s="233">
        <f>F72*'92'!$C$20/100</f>
        <v>8.3504510726463597</v>
      </c>
      <c r="I72" s="233">
        <f>E72*'мат. канал'!$F$28</f>
        <v>1.4123887500150949</v>
      </c>
      <c r="J72" s="233">
        <f t="shared" si="9"/>
        <v>0.10830346674198452</v>
      </c>
    </row>
    <row r="73" spans="1:10" s="158" customFormat="1" ht="11.25" x14ac:dyDescent="0.2">
      <c r="A73" s="281">
        <v>71</v>
      </c>
      <c r="B73" s="463" t="s">
        <v>401</v>
      </c>
      <c r="C73" s="330">
        <v>549.6</v>
      </c>
      <c r="D73" s="339">
        <v>98</v>
      </c>
      <c r="E73" s="233">
        <f t="shared" si="6"/>
        <v>1.0651016193891968E-2</v>
      </c>
      <c r="F73" s="233">
        <f t="shared" si="7"/>
        <v>102.86554396261276</v>
      </c>
      <c r="G73" s="233">
        <f t="shared" si="8"/>
        <v>22.630419671774806</v>
      </c>
      <c r="H73" s="233">
        <f>F73*'92'!$C$20/100</f>
        <v>20.458605127983581</v>
      </c>
      <c r="I73" s="233">
        <f>E73*'мат. канал'!$F$28</f>
        <v>3.4603524375369821</v>
      </c>
      <c r="J73" s="233">
        <f t="shared" si="9"/>
        <v>0.27186121033462174</v>
      </c>
    </row>
    <row r="74" spans="1:10" s="158" customFormat="1" ht="11.25" x14ac:dyDescent="0.2">
      <c r="A74" s="281">
        <v>72</v>
      </c>
      <c r="B74" s="463" t="s">
        <v>402</v>
      </c>
      <c r="C74" s="330">
        <v>983</v>
      </c>
      <c r="D74" s="339">
        <v>54</v>
      </c>
      <c r="E74" s="233">
        <f t="shared" si="6"/>
        <v>5.8689272905119005E-3</v>
      </c>
      <c r="F74" s="233">
        <f t="shared" si="7"/>
        <v>56.681014020215194</v>
      </c>
      <c r="G74" s="233">
        <f t="shared" si="8"/>
        <v>12.469823084447343</v>
      </c>
      <c r="H74" s="233">
        <f>F74*'92'!$C$20/100</f>
        <v>11.273108948072586</v>
      </c>
      <c r="I74" s="233">
        <f>E74*'мат. канал'!$F$28</f>
        <v>1.906724812520378</v>
      </c>
      <c r="J74" s="233">
        <f t="shared" si="9"/>
        <v>8.3754497319690244E-2</v>
      </c>
    </row>
    <row r="75" spans="1:10" s="158" customFormat="1" ht="11.25" x14ac:dyDescent="0.2">
      <c r="A75" s="281">
        <v>73</v>
      </c>
      <c r="B75" s="463" t="s">
        <v>403</v>
      </c>
      <c r="C75" s="330">
        <v>1093.5999999999999</v>
      </c>
      <c r="D75" s="339">
        <v>98</v>
      </c>
      <c r="E75" s="233">
        <f t="shared" si="6"/>
        <v>1.0651016193891968E-2</v>
      </c>
      <c r="F75" s="233">
        <f t="shared" si="7"/>
        <v>102.86554396261276</v>
      </c>
      <c r="G75" s="233">
        <f t="shared" si="8"/>
        <v>22.630419671774806</v>
      </c>
      <c r="H75" s="233">
        <f>F75*'92'!$C$20/100</f>
        <v>20.458605127983581</v>
      </c>
      <c r="I75" s="233">
        <f>E75*'мат. канал'!$F$28</f>
        <v>3.4603524375369821</v>
      </c>
      <c r="J75" s="233">
        <f t="shared" si="9"/>
        <v>0.13662666532544634</v>
      </c>
    </row>
    <row r="76" spans="1:10" s="158" customFormat="1" ht="11.25" x14ac:dyDescent="0.2">
      <c r="A76" s="281">
        <v>74</v>
      </c>
      <c r="B76" s="463" t="s">
        <v>404</v>
      </c>
      <c r="C76" s="330">
        <v>773.53</v>
      </c>
      <c r="D76" s="339">
        <v>72</v>
      </c>
      <c r="E76" s="233">
        <f t="shared" si="6"/>
        <v>7.8252363873492006E-3</v>
      </c>
      <c r="F76" s="233">
        <f t="shared" si="7"/>
        <v>75.574685360286921</v>
      </c>
      <c r="G76" s="233">
        <f t="shared" si="8"/>
        <v>16.626430779263124</v>
      </c>
      <c r="H76" s="233">
        <f>F76*'92'!$C$20/100</f>
        <v>15.030811930763448</v>
      </c>
      <c r="I76" s="233">
        <f>E76*'мат. канал'!$F$28</f>
        <v>2.5422997500271705</v>
      </c>
      <c r="J76" s="233">
        <f t="shared" si="9"/>
        <v>0.14191334249523699</v>
      </c>
    </row>
    <row r="77" spans="1:10" s="158" customFormat="1" ht="11.25" x14ac:dyDescent="0.2">
      <c r="A77" s="281">
        <v>75</v>
      </c>
      <c r="B77" s="463" t="s">
        <v>405</v>
      </c>
      <c r="C77" s="330">
        <v>1603.4</v>
      </c>
      <c r="D77" s="339">
        <v>180</v>
      </c>
      <c r="E77" s="233">
        <f t="shared" si="6"/>
        <v>1.9563090968373002E-2</v>
      </c>
      <c r="F77" s="233">
        <f t="shared" si="7"/>
        <v>188.93671340071731</v>
      </c>
      <c r="G77" s="233">
        <f t="shared" si="8"/>
        <v>41.566076948157807</v>
      </c>
      <c r="H77" s="233">
        <f>F77*'92'!$C$20/100</f>
        <v>37.577029826908621</v>
      </c>
      <c r="I77" s="233">
        <f>E77*'мат. канал'!$F$28</f>
        <v>6.3557493750679264</v>
      </c>
      <c r="J77" s="233">
        <f t="shared" si="9"/>
        <v>0.17115851911616048</v>
      </c>
    </row>
    <row r="78" spans="1:10" s="158" customFormat="1" ht="11.25" x14ac:dyDescent="0.2">
      <c r="A78" s="281">
        <v>76</v>
      </c>
      <c r="B78" s="463" t="s">
        <v>406</v>
      </c>
      <c r="C78" s="330">
        <v>561.1</v>
      </c>
      <c r="D78" s="339">
        <v>40</v>
      </c>
      <c r="E78" s="233">
        <f t="shared" si="6"/>
        <v>4.3473535485273338E-3</v>
      </c>
      <c r="F78" s="233">
        <f t="shared" si="7"/>
        <v>41.985936311270514</v>
      </c>
      <c r="G78" s="233">
        <f t="shared" si="8"/>
        <v>9.2369059884795135</v>
      </c>
      <c r="H78" s="233">
        <f>F78*'92'!$C$20/100</f>
        <v>8.3504510726463597</v>
      </c>
      <c r="I78" s="233">
        <f>E78*'мат. канал'!$F$28</f>
        <v>1.4123887500150949</v>
      </c>
      <c r="J78" s="233">
        <f t="shared" si="9"/>
        <v>0.10868950654502135</v>
      </c>
    </row>
    <row r="79" spans="1:10" s="158" customFormat="1" ht="11.25" x14ac:dyDescent="0.2">
      <c r="A79" s="281">
        <v>77</v>
      </c>
      <c r="B79" s="463" t="s">
        <v>407</v>
      </c>
      <c r="C79" s="330">
        <v>780.4</v>
      </c>
      <c r="D79" s="339">
        <v>62</v>
      </c>
      <c r="E79" s="233">
        <f t="shared" si="6"/>
        <v>6.7383980002173674E-3</v>
      </c>
      <c r="F79" s="233">
        <f t="shared" si="7"/>
        <v>65.078201282469294</v>
      </c>
      <c r="G79" s="233">
        <f t="shared" si="8"/>
        <v>14.317204282143246</v>
      </c>
      <c r="H79" s="233">
        <f>F79*'92'!$C$20/100</f>
        <v>12.943199162601859</v>
      </c>
      <c r="I79" s="233">
        <f>E79*'мат. канал'!$F$28</f>
        <v>2.1892025625233971</v>
      </c>
      <c r="J79" s="233">
        <f t="shared" si="9"/>
        <v>0.12112737992021758</v>
      </c>
    </row>
    <row r="80" spans="1:10" s="158" customFormat="1" ht="11.25" x14ac:dyDescent="0.2">
      <c r="A80" s="281">
        <v>78</v>
      </c>
      <c r="B80" s="463" t="s">
        <v>408</v>
      </c>
      <c r="C80" s="330">
        <v>1890.1</v>
      </c>
      <c r="D80" s="258">
        <f>[5]Лист1!$F$35+[5]Лист1!$F$36</f>
        <v>114</v>
      </c>
      <c r="E80" s="233">
        <f t="shared" si="6"/>
        <v>1.2389957613302902E-2</v>
      </c>
      <c r="F80" s="233">
        <f t="shared" si="7"/>
        <v>119.65991848712096</v>
      </c>
      <c r="G80" s="233">
        <f t="shared" si="8"/>
        <v>26.325182067166612</v>
      </c>
      <c r="H80" s="233">
        <f>F80*'92'!$C$20/100</f>
        <v>23.79878555704213</v>
      </c>
      <c r="I80" s="233">
        <f>E80*'мат. канал'!$F$28</f>
        <v>4.0253079375430199</v>
      </c>
      <c r="J80" s="233">
        <f t="shared" si="9"/>
        <v>9.1957671048554443E-2</v>
      </c>
    </row>
    <row r="81" spans="1:10" s="158" customFormat="1" ht="11.25" x14ac:dyDescent="0.2">
      <c r="A81" s="281">
        <v>79</v>
      </c>
      <c r="B81" s="463" t="s">
        <v>409</v>
      </c>
      <c r="C81" s="330">
        <v>1734.5</v>
      </c>
      <c r="D81" s="339">
        <v>148</v>
      </c>
      <c r="E81" s="233">
        <f t="shared" si="6"/>
        <v>1.6085208129551137E-2</v>
      </c>
      <c r="F81" s="233">
        <f t="shared" si="7"/>
        <v>155.34796435170094</v>
      </c>
      <c r="G81" s="233">
        <f t="shared" si="8"/>
        <v>34.176552157374211</v>
      </c>
      <c r="H81" s="233">
        <f>F81*'92'!$C$20/100</f>
        <v>30.896668968791541</v>
      </c>
      <c r="I81" s="233">
        <f>E81*'мат. канал'!$F$28</f>
        <v>5.2258383750558517</v>
      </c>
      <c r="J81" s="233">
        <f t="shared" si="9"/>
        <v>0.13009341242601472</v>
      </c>
    </row>
    <row r="82" spans="1:10" s="158" customFormat="1" ht="11.25" x14ac:dyDescent="0.2">
      <c r="A82" s="281">
        <v>80</v>
      </c>
      <c r="B82" s="463" t="s">
        <v>410</v>
      </c>
      <c r="C82" s="330">
        <v>1565.58</v>
      </c>
      <c r="D82" s="339">
        <v>148</v>
      </c>
      <c r="E82" s="233">
        <f t="shared" si="6"/>
        <v>1.6085208129551137E-2</v>
      </c>
      <c r="F82" s="233">
        <f t="shared" si="7"/>
        <v>155.34796435170094</v>
      </c>
      <c r="G82" s="233">
        <f t="shared" si="8"/>
        <v>34.176552157374211</v>
      </c>
      <c r="H82" s="233">
        <f>F82*'92'!$C$20/100</f>
        <v>30.896668968791541</v>
      </c>
      <c r="I82" s="233">
        <f>E82*'мат. канал'!$F$28</f>
        <v>5.2258383750558517</v>
      </c>
      <c r="J82" s="233">
        <f t="shared" si="9"/>
        <v>0.14412998623700005</v>
      </c>
    </row>
    <row r="83" spans="1:10" s="158" customFormat="1" ht="11.25" x14ac:dyDescent="0.2">
      <c r="A83" s="281">
        <v>81</v>
      </c>
      <c r="B83" s="463" t="s">
        <v>411</v>
      </c>
      <c r="C83" s="330">
        <v>2043.8</v>
      </c>
      <c r="D83" s="339">
        <v>265</v>
      </c>
      <c r="E83" s="233">
        <f t="shared" si="6"/>
        <v>2.8801217258993587E-2</v>
      </c>
      <c r="F83" s="233">
        <f t="shared" si="7"/>
        <v>278.15682806216716</v>
      </c>
      <c r="G83" s="233">
        <f t="shared" si="8"/>
        <v>61.194502173676774</v>
      </c>
      <c r="H83" s="233">
        <f>F83*'92'!$C$20/100</f>
        <v>55.32173835628214</v>
      </c>
      <c r="I83" s="233">
        <f>E83*'мат. канал'!$F$28</f>
        <v>9.3570754688500042</v>
      </c>
      <c r="J83" s="233">
        <f t="shared" si="9"/>
        <v>0.19768575401750468</v>
      </c>
    </row>
    <row r="84" spans="1:10" s="158" customFormat="1" ht="11.25" x14ac:dyDescent="0.2">
      <c r="A84" s="281">
        <v>82</v>
      </c>
      <c r="B84" s="463" t="s">
        <v>412</v>
      </c>
      <c r="C84" s="330">
        <v>1277.5999999999999</v>
      </c>
      <c r="D84" s="339">
        <v>120</v>
      </c>
      <c r="E84" s="233">
        <f t="shared" si="6"/>
        <v>1.3042060645582002E-2</v>
      </c>
      <c r="F84" s="233">
        <f t="shared" si="7"/>
        <v>125.95780893381155</v>
      </c>
      <c r="G84" s="233">
        <f t="shared" si="8"/>
        <v>27.71071796543854</v>
      </c>
      <c r="H84" s="233">
        <f>F84*'92'!$C$20/100</f>
        <v>25.051353217939081</v>
      </c>
      <c r="I84" s="233">
        <f>E84*'мат. канал'!$F$28</f>
        <v>4.2371662500452842</v>
      </c>
      <c r="J84" s="233">
        <f t="shared" si="9"/>
        <v>0.14320369941079716</v>
      </c>
    </row>
    <row r="85" spans="1:10" s="158" customFormat="1" ht="11.25" x14ac:dyDescent="0.2">
      <c r="A85" s="281">
        <v>83</v>
      </c>
      <c r="B85" s="463" t="s">
        <v>413</v>
      </c>
      <c r="C85" s="330">
        <v>1281.1500000000001</v>
      </c>
      <c r="D85" s="339">
        <v>120</v>
      </c>
      <c r="E85" s="233">
        <f t="shared" si="6"/>
        <v>1.3042060645582002E-2</v>
      </c>
      <c r="F85" s="233">
        <f t="shared" si="7"/>
        <v>125.95780893381155</v>
      </c>
      <c r="G85" s="233">
        <f t="shared" si="8"/>
        <v>27.71071796543854</v>
      </c>
      <c r="H85" s="233">
        <f>F85*'92'!$C$20/100</f>
        <v>25.051353217939081</v>
      </c>
      <c r="I85" s="233">
        <f>E85*'мат. канал'!$F$28</f>
        <v>4.2371662500452842</v>
      </c>
      <c r="J85" s="233">
        <f t="shared" si="9"/>
        <v>0.14280688940969788</v>
      </c>
    </row>
    <row r="86" spans="1:10" s="158" customFormat="1" ht="11.25" x14ac:dyDescent="0.2">
      <c r="A86" s="281">
        <v>84</v>
      </c>
      <c r="B86" s="463" t="s">
        <v>414</v>
      </c>
      <c r="C86" s="330">
        <v>1492.3</v>
      </c>
      <c r="D86" s="339">
        <v>110</v>
      </c>
      <c r="E86" s="233">
        <f t="shared" si="6"/>
        <v>1.1955222258450169E-2</v>
      </c>
      <c r="F86" s="233">
        <f t="shared" si="7"/>
        <v>115.46132485599392</v>
      </c>
      <c r="G86" s="233">
        <f t="shared" si="8"/>
        <v>25.401491468318664</v>
      </c>
      <c r="H86" s="233">
        <f>F86*'92'!$C$20/100</f>
        <v>22.963740449777493</v>
      </c>
      <c r="I86" s="233">
        <f>E86*'мат. канал'!$F$28</f>
        <v>3.8840690625415109</v>
      </c>
      <c r="J86" s="233">
        <f t="shared" si="9"/>
        <v>0.11238398836469314</v>
      </c>
    </row>
    <row r="87" spans="1:10" s="158" customFormat="1" ht="11.25" x14ac:dyDescent="0.2">
      <c r="A87" s="281">
        <v>85</v>
      </c>
      <c r="B87" s="463" t="s">
        <v>415</v>
      </c>
      <c r="C87" s="330">
        <v>4130.75</v>
      </c>
      <c r="D87" s="339">
        <v>640</v>
      </c>
      <c r="E87" s="233">
        <f t="shared" si="6"/>
        <v>6.955765677643734E-2</v>
      </c>
      <c r="F87" s="233">
        <f t="shared" si="7"/>
        <v>671.77498098032822</v>
      </c>
      <c r="G87" s="233">
        <f t="shared" si="8"/>
        <v>147.79049581567222</v>
      </c>
      <c r="H87" s="233">
        <f>F87*'92'!$C$20/100</f>
        <v>133.60721716234175</v>
      </c>
      <c r="I87" s="233">
        <f>E87*'мат. канал'!$F$28</f>
        <v>22.598220000241518</v>
      </c>
      <c r="J87" s="233">
        <f t="shared" si="9"/>
        <v>0.23622124649484566</v>
      </c>
    </row>
    <row r="88" spans="1:10" s="158" customFormat="1" ht="11.25" x14ac:dyDescent="0.2">
      <c r="A88" s="281">
        <v>86</v>
      </c>
      <c r="B88" s="463" t="s">
        <v>416</v>
      </c>
      <c r="C88" s="330">
        <v>3262.1</v>
      </c>
      <c r="D88" s="339">
        <v>580</v>
      </c>
      <c r="E88" s="233">
        <f t="shared" si="6"/>
        <v>6.3036626453646341E-2</v>
      </c>
      <c r="F88" s="233">
        <f t="shared" si="7"/>
        <v>608.79607651342246</v>
      </c>
      <c r="G88" s="233">
        <f t="shared" si="8"/>
        <v>133.93513683295294</v>
      </c>
      <c r="H88" s="233">
        <f>F88*'92'!$C$20/100</f>
        <v>121.08154055337224</v>
      </c>
      <c r="I88" s="233">
        <f>E88*'мат. канал'!$F$28</f>
        <v>20.479636875218876</v>
      </c>
      <c r="J88" s="233">
        <f t="shared" si="9"/>
        <v>0.27108071204897655</v>
      </c>
    </row>
    <row r="89" spans="1:10" s="158" customFormat="1" ht="11.25" x14ac:dyDescent="0.2">
      <c r="A89" s="281">
        <v>87</v>
      </c>
      <c r="B89" s="463" t="s">
        <v>417</v>
      </c>
      <c r="C89" s="330">
        <v>1516.8</v>
      </c>
      <c r="D89" s="339">
        <v>260</v>
      </c>
      <c r="E89" s="233">
        <f t="shared" si="6"/>
        <v>2.8257798065427671E-2</v>
      </c>
      <c r="F89" s="233">
        <f t="shared" si="7"/>
        <v>272.90858602325835</v>
      </c>
      <c r="G89" s="233">
        <f t="shared" si="8"/>
        <v>60.039888925116841</v>
      </c>
      <c r="H89" s="233">
        <f>F89*'92'!$C$20/100</f>
        <v>54.277931972201351</v>
      </c>
      <c r="I89" s="233">
        <f>E89*'мат. канал'!$F$28</f>
        <v>9.180526875098117</v>
      </c>
      <c r="J89" s="233">
        <f t="shared" si="9"/>
        <v>0.26134423377879396</v>
      </c>
    </row>
    <row r="90" spans="1:10" s="158" customFormat="1" ht="11.25" x14ac:dyDescent="0.2">
      <c r="A90" s="281">
        <v>88</v>
      </c>
      <c r="B90" s="463" t="s">
        <v>418</v>
      </c>
      <c r="C90" s="330">
        <v>752.42</v>
      </c>
      <c r="D90" s="339">
        <v>72</v>
      </c>
      <c r="E90" s="233">
        <f t="shared" si="6"/>
        <v>7.8252363873492006E-3</v>
      </c>
      <c r="F90" s="233">
        <f t="shared" si="7"/>
        <v>75.574685360286921</v>
      </c>
      <c r="G90" s="233">
        <f t="shared" si="8"/>
        <v>16.626430779263124</v>
      </c>
      <c r="H90" s="233">
        <f>F90*'92'!$C$20/100</f>
        <v>15.030811930763448</v>
      </c>
      <c r="I90" s="233">
        <f>E90*'мат. канал'!$F$28</f>
        <v>2.5422997500271705</v>
      </c>
      <c r="J90" s="233">
        <f t="shared" si="9"/>
        <v>0.14589488293817371</v>
      </c>
    </row>
    <row r="91" spans="1:10" s="158" customFormat="1" ht="11.25" x14ac:dyDescent="0.2">
      <c r="A91" s="281">
        <v>89</v>
      </c>
      <c r="B91" s="463" t="s">
        <v>419</v>
      </c>
      <c r="C91" s="330">
        <v>771.7</v>
      </c>
      <c r="D91" s="339">
        <v>72</v>
      </c>
      <c r="E91" s="233">
        <f t="shared" si="6"/>
        <v>7.8252363873492006E-3</v>
      </c>
      <c r="F91" s="233">
        <f t="shared" si="7"/>
        <v>75.574685360286921</v>
      </c>
      <c r="G91" s="233">
        <f t="shared" si="8"/>
        <v>16.626430779263124</v>
      </c>
      <c r="H91" s="233">
        <f>F91*'92'!$C$20/100</f>
        <v>15.030811930763448</v>
      </c>
      <c r="I91" s="233">
        <f>E91*'мат. канал'!$F$28</f>
        <v>2.5422997500271705</v>
      </c>
      <c r="J91" s="233">
        <f t="shared" si="9"/>
        <v>0.14224987407067596</v>
      </c>
    </row>
    <row r="92" spans="1:10" s="158" customFormat="1" ht="11.25" x14ac:dyDescent="0.2">
      <c r="A92" s="281">
        <v>90</v>
      </c>
      <c r="B92" s="463" t="s">
        <v>420</v>
      </c>
      <c r="C92" s="330">
        <v>1545</v>
      </c>
      <c r="D92" s="339">
        <v>204</v>
      </c>
      <c r="E92" s="233">
        <f t="shared" si="6"/>
        <v>2.2171503097489404E-2</v>
      </c>
      <c r="F92" s="233">
        <f t="shared" si="7"/>
        <v>214.12827518747963</v>
      </c>
      <c r="G92" s="233">
        <f t="shared" si="8"/>
        <v>47.108220541245515</v>
      </c>
      <c r="H92" s="233">
        <f>F92*'92'!$C$20/100</f>
        <v>42.587300470496437</v>
      </c>
      <c r="I92" s="233">
        <f>E92*'мат. канал'!$F$28</f>
        <v>7.2031826250769839</v>
      </c>
      <c r="J92" s="233">
        <f t="shared" si="9"/>
        <v>0.2013119604040767</v>
      </c>
    </row>
    <row r="93" spans="1:10" s="158" customFormat="1" ht="11.25" x14ac:dyDescent="0.2">
      <c r="A93" s="281">
        <v>91</v>
      </c>
      <c r="B93" s="463" t="s">
        <v>421</v>
      </c>
      <c r="C93" s="330">
        <v>769.7</v>
      </c>
      <c r="D93" s="339">
        <v>68</v>
      </c>
      <c r="E93" s="233">
        <f t="shared" si="6"/>
        <v>7.390501032496468E-3</v>
      </c>
      <c r="F93" s="233">
        <f t="shared" si="7"/>
        <v>71.376091729159882</v>
      </c>
      <c r="G93" s="233">
        <f t="shared" si="8"/>
        <v>15.702740180415173</v>
      </c>
      <c r="H93" s="233">
        <f>F93*'92'!$C$20/100</f>
        <v>14.195766823498813</v>
      </c>
      <c r="I93" s="233">
        <f>E93*'мат. канал'!$F$28</f>
        <v>2.4010608750256615</v>
      </c>
      <c r="J93" s="233">
        <f t="shared" si="9"/>
        <v>0.13469619281291351</v>
      </c>
    </row>
    <row r="94" spans="1:10" s="158" customFormat="1" ht="11.25" x14ac:dyDescent="0.2">
      <c r="A94" s="281">
        <v>92</v>
      </c>
      <c r="B94" s="463" t="s">
        <v>422</v>
      </c>
      <c r="C94" s="330">
        <v>776.9</v>
      </c>
      <c r="D94" s="339">
        <v>69</v>
      </c>
      <c r="E94" s="233">
        <f t="shared" si="6"/>
        <v>7.4991848712096512E-3</v>
      </c>
      <c r="F94" s="233">
        <f t="shared" si="7"/>
        <v>72.425740136941641</v>
      </c>
      <c r="G94" s="233">
        <f t="shared" si="8"/>
        <v>15.933662830127162</v>
      </c>
      <c r="H94" s="233">
        <f>F94*'92'!$C$20/100</f>
        <v>14.404528100314973</v>
      </c>
      <c r="I94" s="233">
        <f>E94*'мат. канал'!$F$28</f>
        <v>2.4363705937760387</v>
      </c>
      <c r="J94" s="233">
        <f t="shared" si="9"/>
        <v>0.13541035096043225</v>
      </c>
    </row>
    <row r="95" spans="1:10" s="158" customFormat="1" ht="11.25" x14ac:dyDescent="0.2">
      <c r="A95" s="281">
        <v>93</v>
      </c>
      <c r="B95" s="463" t="s">
        <v>423</v>
      </c>
      <c r="C95" s="330">
        <v>1935.6</v>
      </c>
      <c r="D95" s="339">
        <v>198</v>
      </c>
      <c r="E95" s="233">
        <f t="shared" si="6"/>
        <v>2.1519400065210303E-2</v>
      </c>
      <c r="F95" s="233">
        <f t="shared" si="7"/>
        <v>207.83038474078907</v>
      </c>
      <c r="G95" s="233">
        <f t="shared" si="8"/>
        <v>45.722684642973597</v>
      </c>
      <c r="H95" s="233">
        <f>F95*'92'!$C$20/100</f>
        <v>41.334732809599494</v>
      </c>
      <c r="I95" s="233">
        <f>E95*'мат. канал'!$F$28</f>
        <v>6.9913243125747195</v>
      </c>
      <c r="J95" s="233">
        <f t="shared" si="9"/>
        <v>0.1559615243366072</v>
      </c>
    </row>
    <row r="96" spans="1:10" s="158" customFormat="1" ht="11.25" x14ac:dyDescent="0.2">
      <c r="A96" s="281">
        <v>94</v>
      </c>
      <c r="B96" s="463" t="s">
        <v>424</v>
      </c>
      <c r="C96" s="330">
        <v>1513.72</v>
      </c>
      <c r="D96" s="339">
        <v>150</v>
      </c>
      <c r="E96" s="233">
        <f t="shared" si="6"/>
        <v>1.6302575806977502E-2</v>
      </c>
      <c r="F96" s="233">
        <f t="shared" si="7"/>
        <v>157.44726116726443</v>
      </c>
      <c r="G96" s="233">
        <f t="shared" si="8"/>
        <v>34.638397456798174</v>
      </c>
      <c r="H96" s="233">
        <f>F96*'92'!$C$20/100</f>
        <v>31.314191522423855</v>
      </c>
      <c r="I96" s="233">
        <f>E96*'мат. канал'!$F$28</f>
        <v>5.2964578125566053</v>
      </c>
      <c r="J96" s="233">
        <f t="shared" si="9"/>
        <v>0.15108230581550292</v>
      </c>
    </row>
    <row r="97" spans="1:10" s="158" customFormat="1" ht="11.25" x14ac:dyDescent="0.2">
      <c r="A97" s="281">
        <v>95</v>
      </c>
      <c r="B97" s="463" t="s">
        <v>425</v>
      </c>
      <c r="C97" s="330">
        <v>1500.3</v>
      </c>
      <c r="D97" s="339">
        <v>260</v>
      </c>
      <c r="E97" s="233">
        <f t="shared" ref="E97:E160" si="10">D97/$E$164</f>
        <v>2.8257798065427671E-2</v>
      </c>
      <c r="F97" s="233">
        <f t="shared" ref="F97:F160" si="11">E97*$F$164</f>
        <v>272.90858602325835</v>
      </c>
      <c r="G97" s="233">
        <f t="shared" si="8"/>
        <v>60.039888925116841</v>
      </c>
      <c r="H97" s="233">
        <f>F97*'92'!$C$20/100</f>
        <v>54.277931972201351</v>
      </c>
      <c r="I97" s="233">
        <f>E97*'мат. канал'!$F$28</f>
        <v>9.180526875098117</v>
      </c>
      <c r="J97" s="233">
        <f t="shared" si="9"/>
        <v>0.26421844550801482</v>
      </c>
    </row>
    <row r="98" spans="1:10" s="158" customFormat="1" ht="11.25" x14ac:dyDescent="0.2">
      <c r="A98" s="281">
        <v>96</v>
      </c>
      <c r="B98" s="463" t="s">
        <v>426</v>
      </c>
      <c r="C98" s="330">
        <v>735.9</v>
      </c>
      <c r="D98" s="339">
        <v>72</v>
      </c>
      <c r="E98" s="233">
        <f t="shared" si="10"/>
        <v>7.8252363873492006E-3</v>
      </c>
      <c r="F98" s="233">
        <f t="shared" si="11"/>
        <v>75.574685360286921</v>
      </c>
      <c r="G98" s="233">
        <f t="shared" si="8"/>
        <v>16.626430779263124</v>
      </c>
      <c r="H98" s="233">
        <f>F98*'92'!$C$20/100</f>
        <v>15.030811930763448</v>
      </c>
      <c r="I98" s="233">
        <f>E98*'мат. канал'!$F$28</f>
        <v>2.5422997500271705</v>
      </c>
      <c r="J98" s="233">
        <f t="shared" si="9"/>
        <v>0.14917003372787152</v>
      </c>
    </row>
    <row r="99" spans="1:10" s="158" customFormat="1" ht="11.25" x14ac:dyDescent="0.2">
      <c r="A99" s="281">
        <v>97</v>
      </c>
      <c r="B99" s="463" t="s">
        <v>427</v>
      </c>
      <c r="C99" s="330">
        <v>757.7</v>
      </c>
      <c r="D99" s="339">
        <v>72</v>
      </c>
      <c r="E99" s="233">
        <f t="shared" si="10"/>
        <v>7.8252363873492006E-3</v>
      </c>
      <c r="F99" s="233">
        <f t="shared" si="11"/>
        <v>75.574685360286921</v>
      </c>
      <c r="G99" s="233">
        <f t="shared" si="8"/>
        <v>16.626430779263124</v>
      </c>
      <c r="H99" s="233">
        <f>F99*'92'!$C$20/100</f>
        <v>15.030811930763448</v>
      </c>
      <c r="I99" s="233">
        <f>E99*'мат. канал'!$F$28</f>
        <v>2.5422997500271705</v>
      </c>
      <c r="J99" s="233">
        <f t="shared" si="9"/>
        <v>0.14487822069465572</v>
      </c>
    </row>
    <row r="100" spans="1:10" s="158" customFormat="1" ht="11.25" x14ac:dyDescent="0.2">
      <c r="A100" s="281">
        <v>98</v>
      </c>
      <c r="B100" s="463" t="s">
        <v>428</v>
      </c>
      <c r="C100" s="330">
        <v>1915.15</v>
      </c>
      <c r="D100" s="339">
        <v>173</v>
      </c>
      <c r="E100" s="233">
        <f t="shared" si="10"/>
        <v>1.880230409738072E-2</v>
      </c>
      <c r="F100" s="233">
        <f t="shared" si="11"/>
        <v>181.589174546245</v>
      </c>
      <c r="G100" s="233">
        <f t="shared" si="8"/>
        <v>39.949618400173897</v>
      </c>
      <c r="H100" s="233">
        <f>F100*'92'!$C$20/100</f>
        <v>36.115700889195516</v>
      </c>
      <c r="I100" s="233">
        <f>E100*'мат. канал'!$F$28</f>
        <v>6.1085813438152856</v>
      </c>
      <c r="J100" s="233">
        <f t="shared" si="9"/>
        <v>0.13772449948016066</v>
      </c>
    </row>
    <row r="101" spans="1:10" s="158" customFormat="1" ht="11.25" x14ac:dyDescent="0.2">
      <c r="A101" s="281">
        <v>99</v>
      </c>
      <c r="B101" s="463" t="s">
        <v>429</v>
      </c>
      <c r="C101" s="330">
        <v>1544.5</v>
      </c>
      <c r="D101" s="339">
        <v>300</v>
      </c>
      <c r="E101" s="233">
        <f t="shared" si="10"/>
        <v>3.2605151613955004E-2</v>
      </c>
      <c r="F101" s="233">
        <f t="shared" si="11"/>
        <v>314.89452233452886</v>
      </c>
      <c r="G101" s="233">
        <f t="shared" si="8"/>
        <v>69.276794913596348</v>
      </c>
      <c r="H101" s="233">
        <f>F101*'92'!$C$20/100</f>
        <v>62.628383044847709</v>
      </c>
      <c r="I101" s="233">
        <f>E101*'мат. канал'!$F$28</f>
        <v>10.592915625113211</v>
      </c>
      <c r="J101" s="233">
        <f t="shared" si="9"/>
        <v>0.29614283970092986</v>
      </c>
    </row>
    <row r="102" spans="1:10" s="158" customFormat="1" ht="11.25" x14ac:dyDescent="0.2">
      <c r="A102" s="281">
        <v>100</v>
      </c>
      <c r="B102" s="463" t="s">
        <v>430</v>
      </c>
      <c r="C102" s="330">
        <v>1552.3</v>
      </c>
      <c r="D102" s="339">
        <v>300</v>
      </c>
      <c r="E102" s="233">
        <f t="shared" si="10"/>
        <v>3.2605151613955004E-2</v>
      </c>
      <c r="F102" s="233">
        <f t="shared" si="11"/>
        <v>314.89452233452886</v>
      </c>
      <c r="G102" s="233">
        <f t="shared" si="8"/>
        <v>69.276794913596348</v>
      </c>
      <c r="H102" s="233">
        <f>F102*'92'!$C$20/100</f>
        <v>62.628383044847709</v>
      </c>
      <c r="I102" s="233">
        <f>E102*'мат. канал'!$F$28</f>
        <v>10.592915625113211</v>
      </c>
      <c r="J102" s="233">
        <f t="shared" si="9"/>
        <v>0.29465478059530126</v>
      </c>
    </row>
    <row r="103" spans="1:10" s="158" customFormat="1" ht="11.25" x14ac:dyDescent="0.2">
      <c r="A103" s="281">
        <v>101</v>
      </c>
      <c r="B103" s="463" t="s">
        <v>431</v>
      </c>
      <c r="C103" s="330">
        <v>1287.0999999999999</v>
      </c>
      <c r="D103" s="339">
        <v>98</v>
      </c>
      <c r="E103" s="233">
        <f t="shared" si="10"/>
        <v>1.0651016193891968E-2</v>
      </c>
      <c r="F103" s="233">
        <f t="shared" si="11"/>
        <v>102.86554396261276</v>
      </c>
      <c r="G103" s="233">
        <f t="shared" si="8"/>
        <v>22.630419671774806</v>
      </c>
      <c r="H103" s="233">
        <f>F103*'92'!$C$20/100</f>
        <v>20.458605127983581</v>
      </c>
      <c r="I103" s="233">
        <f>E103*'мат. канал'!$F$28</f>
        <v>3.4603524375369821</v>
      </c>
      <c r="J103" s="233">
        <f t="shared" si="9"/>
        <v>0.11608648993855034</v>
      </c>
    </row>
    <row r="104" spans="1:10" s="158" customFormat="1" ht="11.25" x14ac:dyDescent="0.2">
      <c r="A104" s="281">
        <v>102</v>
      </c>
      <c r="B104" s="463" t="s">
        <v>432</v>
      </c>
      <c r="C104" s="330">
        <v>3473.9</v>
      </c>
      <c r="D104" s="339">
        <v>210</v>
      </c>
      <c r="E104" s="233">
        <f t="shared" si="10"/>
        <v>2.2823606129768505E-2</v>
      </c>
      <c r="F104" s="233">
        <f t="shared" si="11"/>
        <v>220.42616563417022</v>
      </c>
      <c r="G104" s="233">
        <f t="shared" si="8"/>
        <v>48.493756439517448</v>
      </c>
      <c r="H104" s="233">
        <f>F104*'92'!$C$20/100</f>
        <v>43.839868131393395</v>
      </c>
      <c r="I104" s="233">
        <f>E104*'мат. канал'!$F$28</f>
        <v>7.4150409375792483</v>
      </c>
      <c r="J104" s="233">
        <f t="shared" si="9"/>
        <v>9.2165816846385987E-2</v>
      </c>
    </row>
    <row r="105" spans="1:10" s="158" customFormat="1" ht="11.25" x14ac:dyDescent="0.2">
      <c r="A105" s="281">
        <v>103</v>
      </c>
      <c r="B105" s="463" t="s">
        <v>433</v>
      </c>
      <c r="C105" s="330">
        <v>1838.18</v>
      </c>
      <c r="D105" s="339">
        <v>140</v>
      </c>
      <c r="E105" s="233">
        <f t="shared" si="10"/>
        <v>1.5215737419845669E-2</v>
      </c>
      <c r="F105" s="233">
        <f t="shared" si="11"/>
        <v>146.9507770894468</v>
      </c>
      <c r="G105" s="233">
        <f t="shared" si="8"/>
        <v>32.329170959678294</v>
      </c>
      <c r="H105" s="233">
        <f>F105*'92'!$C$20/100</f>
        <v>29.226578754262263</v>
      </c>
      <c r="I105" s="233">
        <f>E105*'мат. канал'!$F$28</f>
        <v>4.9433606250528319</v>
      </c>
      <c r="J105" s="233">
        <f t="shared" si="9"/>
        <v>0.11612023165763972</v>
      </c>
    </row>
    <row r="106" spans="1:10" s="158" customFormat="1" ht="11.25" x14ac:dyDescent="0.2">
      <c r="A106" s="281">
        <v>104</v>
      </c>
      <c r="B106" s="463" t="s">
        <v>434</v>
      </c>
      <c r="C106" s="330">
        <v>4517.6000000000004</v>
      </c>
      <c r="D106" s="339">
        <v>595</v>
      </c>
      <c r="E106" s="233">
        <f t="shared" si="10"/>
        <v>6.4666884034344091E-2</v>
      </c>
      <c r="F106" s="233">
        <f t="shared" si="11"/>
        <v>624.54080263014896</v>
      </c>
      <c r="G106" s="233">
        <f t="shared" si="8"/>
        <v>137.39897657863278</v>
      </c>
      <c r="H106" s="233">
        <f>F106*'92'!$C$20/100</f>
        <v>124.21295970561464</v>
      </c>
      <c r="I106" s="233">
        <f>E106*'мат. канал'!$F$28</f>
        <v>21.009282656474536</v>
      </c>
      <c r="J106" s="233">
        <f t="shared" si="9"/>
        <v>0.20080618504756303</v>
      </c>
    </row>
    <row r="107" spans="1:10" s="158" customFormat="1" ht="11.25" x14ac:dyDescent="0.2">
      <c r="A107" s="281">
        <v>105</v>
      </c>
      <c r="B107" s="463" t="s">
        <v>435</v>
      </c>
      <c r="C107" s="330">
        <v>4524.9399999999996</v>
      </c>
      <c r="D107" s="339">
        <v>595</v>
      </c>
      <c r="E107" s="233">
        <f t="shared" si="10"/>
        <v>6.4666884034344091E-2</v>
      </c>
      <c r="F107" s="233">
        <f t="shared" si="11"/>
        <v>624.54080263014896</v>
      </c>
      <c r="G107" s="233">
        <f t="shared" si="8"/>
        <v>137.39897657863278</v>
      </c>
      <c r="H107" s="233">
        <f>F107*'92'!$C$20/100</f>
        <v>124.21295970561464</v>
      </c>
      <c r="I107" s="233">
        <f>E107*'мат. канал'!$F$28</f>
        <v>21.009282656474536</v>
      </c>
      <c r="J107" s="233">
        <f t="shared" si="9"/>
        <v>0.20048045312664275</v>
      </c>
    </row>
    <row r="108" spans="1:10" s="158" customFormat="1" ht="11.25" x14ac:dyDescent="0.2">
      <c r="A108" s="281">
        <v>106</v>
      </c>
      <c r="B108" s="463" t="s">
        <v>436</v>
      </c>
      <c r="C108" s="330">
        <v>4742.2700000000004</v>
      </c>
      <c r="D108" s="339">
        <v>597</v>
      </c>
      <c r="E108" s="233">
        <f t="shared" si="10"/>
        <v>6.4884251711770466E-2</v>
      </c>
      <c r="F108" s="233">
        <f t="shared" si="11"/>
        <v>626.64009944571251</v>
      </c>
      <c r="G108" s="233">
        <f t="shared" si="8"/>
        <v>137.86082187805675</v>
      </c>
      <c r="H108" s="233">
        <f>F108*'92'!$C$20/100</f>
        <v>124.63048225924695</v>
      </c>
      <c r="I108" s="233">
        <f>E108*'мат. канал'!$F$28</f>
        <v>21.079902093975292</v>
      </c>
      <c r="J108" s="233">
        <f t="shared" si="9"/>
        <v>0.19193578300623781</v>
      </c>
    </row>
    <row r="109" spans="1:10" s="158" customFormat="1" ht="11.25" x14ac:dyDescent="0.2">
      <c r="A109" s="281">
        <v>107</v>
      </c>
      <c r="B109" s="463" t="s">
        <v>437</v>
      </c>
      <c r="C109" s="330">
        <v>2538.3000000000002</v>
      </c>
      <c r="D109" s="339">
        <v>312</v>
      </c>
      <c r="E109" s="233">
        <f t="shared" si="10"/>
        <v>3.3909357678513205E-2</v>
      </c>
      <c r="F109" s="233">
        <f t="shared" si="11"/>
        <v>327.49030322791003</v>
      </c>
      <c r="G109" s="233">
        <f t="shared" si="8"/>
        <v>72.047866710140212</v>
      </c>
      <c r="H109" s="233">
        <f>F109*'92'!$C$20/100</f>
        <v>65.133518366641624</v>
      </c>
      <c r="I109" s="233">
        <f>E109*'мат. канал'!$F$28</f>
        <v>11.016632250117739</v>
      </c>
      <c r="J109" s="233">
        <f t="shared" si="9"/>
        <v>0.18740429443123729</v>
      </c>
    </row>
    <row r="110" spans="1:10" s="158" customFormat="1" ht="11.25" x14ac:dyDescent="0.2">
      <c r="A110" s="281">
        <v>108</v>
      </c>
      <c r="B110" s="463" t="s">
        <v>438</v>
      </c>
      <c r="C110" s="330">
        <v>4452.8999999999996</v>
      </c>
      <c r="D110" s="339">
        <v>595</v>
      </c>
      <c r="E110" s="233">
        <f t="shared" si="10"/>
        <v>6.4666884034344091E-2</v>
      </c>
      <c r="F110" s="233">
        <f t="shared" si="11"/>
        <v>624.54080263014896</v>
      </c>
      <c r="G110" s="233">
        <f t="shared" si="8"/>
        <v>137.39897657863278</v>
      </c>
      <c r="H110" s="233">
        <f>F110*'92'!$C$20/100</f>
        <v>124.21295970561464</v>
      </c>
      <c r="I110" s="233">
        <f>E110*'мат. канал'!$F$28</f>
        <v>21.009282656474536</v>
      </c>
      <c r="J110" s="233">
        <f t="shared" si="9"/>
        <v>0.20372387019040869</v>
      </c>
    </row>
    <row r="111" spans="1:10" s="158" customFormat="1" ht="11.25" x14ac:dyDescent="0.2">
      <c r="A111" s="281">
        <v>109</v>
      </c>
      <c r="B111" s="463" t="s">
        <v>439</v>
      </c>
      <c r="C111" s="330">
        <v>1573.08</v>
      </c>
      <c r="D111" s="339">
        <v>142</v>
      </c>
      <c r="E111" s="233">
        <f t="shared" si="10"/>
        <v>1.5433105097272035E-2</v>
      </c>
      <c r="F111" s="233">
        <f t="shared" si="11"/>
        <v>149.05007390501032</v>
      </c>
      <c r="G111" s="233">
        <f t="shared" si="8"/>
        <v>32.791016259102271</v>
      </c>
      <c r="H111" s="233">
        <f>F111*'92'!$C$20/100</f>
        <v>29.64410130789458</v>
      </c>
      <c r="I111" s="233">
        <f>E111*'мат. канал'!$F$28</f>
        <v>5.0139800625535864</v>
      </c>
      <c r="J111" s="233">
        <f t="shared" si="9"/>
        <v>0.13762756600717113</v>
      </c>
    </row>
    <row r="112" spans="1:10" s="158" customFormat="1" ht="11.25" x14ac:dyDescent="0.2">
      <c r="A112" s="281">
        <v>110</v>
      </c>
      <c r="B112" s="463" t="s">
        <v>440</v>
      </c>
      <c r="C112" s="330">
        <v>3168.45</v>
      </c>
      <c r="D112" s="339">
        <v>312</v>
      </c>
      <c r="E112" s="233">
        <f t="shared" si="10"/>
        <v>3.3909357678513205E-2</v>
      </c>
      <c r="F112" s="233">
        <f t="shared" si="11"/>
        <v>327.49030322791003</v>
      </c>
      <c r="G112" s="233">
        <f t="shared" si="8"/>
        <v>72.047866710140212</v>
      </c>
      <c r="H112" s="233">
        <f>F112*'92'!$C$20/100</f>
        <v>65.133518366641624</v>
      </c>
      <c r="I112" s="233">
        <f>E112*'мат. канал'!$F$28</f>
        <v>11.016632250117739</v>
      </c>
      <c r="J112" s="233">
        <f t="shared" si="9"/>
        <v>0.15013281590519328</v>
      </c>
    </row>
    <row r="113" spans="1:10" s="158" customFormat="1" ht="11.25" x14ac:dyDescent="0.2">
      <c r="A113" s="281">
        <v>111</v>
      </c>
      <c r="B113" s="463" t="s">
        <v>441</v>
      </c>
      <c r="C113" s="330">
        <v>3182.6</v>
      </c>
      <c r="D113" s="339">
        <v>312</v>
      </c>
      <c r="E113" s="233">
        <f t="shared" si="10"/>
        <v>3.3909357678513205E-2</v>
      </c>
      <c r="F113" s="233">
        <f t="shared" si="11"/>
        <v>327.49030322791003</v>
      </c>
      <c r="G113" s="233">
        <f t="shared" si="8"/>
        <v>72.047866710140212</v>
      </c>
      <c r="H113" s="233">
        <f>F113*'92'!$C$20/100</f>
        <v>65.133518366641624</v>
      </c>
      <c r="I113" s="233">
        <f>E113*'мат. канал'!$F$28</f>
        <v>11.016632250117739</v>
      </c>
      <c r="J113" s="233">
        <f t="shared" si="9"/>
        <v>0.14946531783912828</v>
      </c>
    </row>
    <row r="114" spans="1:10" s="158" customFormat="1" ht="11.25" x14ac:dyDescent="0.2">
      <c r="A114" s="281">
        <v>112</v>
      </c>
      <c r="B114" s="463" t="s">
        <v>442</v>
      </c>
      <c r="C114" s="330">
        <v>2283.1999999999998</v>
      </c>
      <c r="D114" s="339">
        <v>295</v>
      </c>
      <c r="E114" s="233">
        <f t="shared" si="10"/>
        <v>3.2061732420389087E-2</v>
      </c>
      <c r="F114" s="233">
        <f t="shared" si="11"/>
        <v>309.64628029562004</v>
      </c>
      <c r="G114" s="233">
        <f t="shared" si="8"/>
        <v>68.122181665036408</v>
      </c>
      <c r="H114" s="233">
        <f>F114*'92'!$C$20/100</f>
        <v>61.584576660766906</v>
      </c>
      <c r="I114" s="233">
        <f>E114*'мат. канал'!$F$28</f>
        <v>10.416367031361323</v>
      </c>
      <c r="J114" s="233">
        <f t="shared" si="9"/>
        <v>0.19699080485843762</v>
      </c>
    </row>
    <row r="115" spans="1:10" s="158" customFormat="1" ht="11.25" x14ac:dyDescent="0.2">
      <c r="A115" s="281">
        <v>113</v>
      </c>
      <c r="B115" s="463" t="s">
        <v>443</v>
      </c>
      <c r="C115" s="330">
        <v>1091.7</v>
      </c>
      <c r="D115" s="339">
        <v>99</v>
      </c>
      <c r="E115" s="233">
        <f t="shared" si="10"/>
        <v>1.0759700032605152E-2</v>
      </c>
      <c r="F115" s="233">
        <f t="shared" si="11"/>
        <v>103.91519237039454</v>
      </c>
      <c r="G115" s="233">
        <f t="shared" si="8"/>
        <v>22.861342321486799</v>
      </c>
      <c r="H115" s="233">
        <f>F115*'92'!$C$20/100</f>
        <v>20.667366404799747</v>
      </c>
      <c r="I115" s="233">
        <f>E115*'мат. канал'!$F$28</f>
        <v>3.4956621562873598</v>
      </c>
      <c r="J115" s="233">
        <f t="shared" si="9"/>
        <v>0.13826102707059487</v>
      </c>
    </row>
    <row r="116" spans="1:10" s="158" customFormat="1" ht="11.25" x14ac:dyDescent="0.2">
      <c r="A116" s="281">
        <v>114</v>
      </c>
      <c r="B116" s="463" t="s">
        <v>444</v>
      </c>
      <c r="C116" s="330">
        <v>1733.3</v>
      </c>
      <c r="D116" s="339">
        <v>116</v>
      </c>
      <c r="E116" s="233">
        <f t="shared" si="10"/>
        <v>1.2607325290729268E-2</v>
      </c>
      <c r="F116" s="233">
        <f t="shared" si="11"/>
        <v>121.7592153026845</v>
      </c>
      <c r="G116" s="233">
        <f t="shared" si="8"/>
        <v>26.787027366590586</v>
      </c>
      <c r="H116" s="233">
        <f>F116*'92'!$C$20/100</f>
        <v>24.216308110674444</v>
      </c>
      <c r="I116" s="233">
        <f>E116*'мат. канал'!$F$28</f>
        <v>4.0959273750437752</v>
      </c>
      <c r="J116" s="233">
        <f t="shared" si="9"/>
        <v>0.10203569962210425</v>
      </c>
    </row>
    <row r="117" spans="1:10" s="158" customFormat="1" ht="11.25" x14ac:dyDescent="0.2">
      <c r="A117" s="281">
        <v>115</v>
      </c>
      <c r="B117" s="463" t="s">
        <v>445</v>
      </c>
      <c r="C117" s="330">
        <v>1752.82</v>
      </c>
      <c r="D117" s="339">
        <v>118</v>
      </c>
      <c r="E117" s="233">
        <f t="shared" si="10"/>
        <v>1.2824692968155636E-2</v>
      </c>
      <c r="F117" s="233">
        <f t="shared" si="11"/>
        <v>123.85851211824803</v>
      </c>
      <c r="G117" s="233">
        <f t="shared" si="8"/>
        <v>27.248872666014567</v>
      </c>
      <c r="H117" s="233">
        <f>F117*'92'!$C$20/100</f>
        <v>24.633830664306764</v>
      </c>
      <c r="I117" s="233">
        <f>E117*'мат. канал'!$F$28</f>
        <v>4.1665468125445297</v>
      </c>
      <c r="J117" s="233">
        <f t="shared" si="9"/>
        <v>0.10263904009602463</v>
      </c>
    </row>
    <row r="118" spans="1:10" s="158" customFormat="1" ht="11.25" x14ac:dyDescent="0.2">
      <c r="A118" s="281">
        <v>116</v>
      </c>
      <c r="B118" s="463" t="s">
        <v>446</v>
      </c>
      <c r="C118" s="330">
        <v>3688.59</v>
      </c>
      <c r="D118" s="339">
        <v>430</v>
      </c>
      <c r="E118" s="233">
        <f t="shared" si="10"/>
        <v>4.6734050646668843E-2</v>
      </c>
      <c r="F118" s="233">
        <f t="shared" si="11"/>
        <v>451.34881534615806</v>
      </c>
      <c r="G118" s="233">
        <f t="shared" si="8"/>
        <v>99.296739376154761</v>
      </c>
      <c r="H118" s="233">
        <f>F118*'92'!$C$20/100</f>
        <v>89.767349030948395</v>
      </c>
      <c r="I118" s="233">
        <f>E118*'мат. канал'!$F$28</f>
        <v>15.183179062662271</v>
      </c>
      <c r="J118" s="233">
        <f t="shared" si="9"/>
        <v>0.17773623059649443</v>
      </c>
    </row>
    <row r="119" spans="1:10" s="158" customFormat="1" ht="11.25" x14ac:dyDescent="0.2">
      <c r="A119" s="281">
        <v>117</v>
      </c>
      <c r="B119" s="463" t="s">
        <v>447</v>
      </c>
      <c r="C119" s="330">
        <v>3868.13</v>
      </c>
      <c r="D119" s="339">
        <v>348</v>
      </c>
      <c r="E119" s="233">
        <f t="shared" si="10"/>
        <v>3.7821975872187809E-2</v>
      </c>
      <c r="F119" s="233">
        <f t="shared" si="11"/>
        <v>365.2776459080535</v>
      </c>
      <c r="G119" s="233">
        <f t="shared" si="8"/>
        <v>80.361082099771778</v>
      </c>
      <c r="H119" s="233">
        <f>F119*'92'!$C$20/100</f>
        <v>72.648924332023341</v>
      </c>
      <c r="I119" s="233">
        <f>E119*'мат. канал'!$F$28</f>
        <v>12.287782125131326</v>
      </c>
      <c r="J119" s="233">
        <f t="shared" si="9"/>
        <v>0.13716587458668139</v>
      </c>
    </row>
    <row r="120" spans="1:10" s="158" customFormat="1" ht="11.25" x14ac:dyDescent="0.2">
      <c r="A120" s="281">
        <v>118</v>
      </c>
      <c r="B120" s="463" t="s">
        <v>448</v>
      </c>
      <c r="C120" s="330">
        <v>2821.38</v>
      </c>
      <c r="D120" s="339">
        <v>280</v>
      </c>
      <c r="E120" s="233">
        <f t="shared" si="10"/>
        <v>3.0431474839691337E-2</v>
      </c>
      <c r="F120" s="233">
        <f t="shared" si="11"/>
        <v>293.9015541788936</v>
      </c>
      <c r="G120" s="233">
        <f t="shared" si="8"/>
        <v>64.658341919356587</v>
      </c>
      <c r="H120" s="233">
        <f>F120*'92'!$C$20/100</f>
        <v>58.453157508524527</v>
      </c>
      <c r="I120" s="233">
        <f>E120*'мат. канал'!$F$28</f>
        <v>9.8867212501056638</v>
      </c>
      <c r="J120" s="233">
        <f t="shared" si="9"/>
        <v>0.151308854127016</v>
      </c>
    </row>
    <row r="121" spans="1:10" s="158" customFormat="1" ht="11.25" x14ac:dyDescent="0.2">
      <c r="A121" s="281">
        <v>119</v>
      </c>
      <c r="B121" s="463" t="s">
        <v>449</v>
      </c>
      <c r="C121" s="330">
        <v>4277.29</v>
      </c>
      <c r="D121" s="339">
        <v>375</v>
      </c>
      <c r="E121" s="233">
        <f t="shared" si="10"/>
        <v>4.0756439517443753E-2</v>
      </c>
      <c r="F121" s="233">
        <f t="shared" si="11"/>
        <v>393.61815291816106</v>
      </c>
      <c r="G121" s="233">
        <f t="shared" si="8"/>
        <v>86.595993641995435</v>
      </c>
      <c r="H121" s="233">
        <f>F121*'92'!$C$20/100</f>
        <v>78.285478806059629</v>
      </c>
      <c r="I121" s="233">
        <f>E121*'мат. канал'!$F$28</f>
        <v>13.241144531391514</v>
      </c>
      <c r="J121" s="233">
        <f t="shared" si="9"/>
        <v>0.13366892819930556</v>
      </c>
    </row>
    <row r="122" spans="1:10" s="158" customFormat="1" ht="11.25" x14ac:dyDescent="0.2">
      <c r="A122" s="281">
        <v>120</v>
      </c>
      <c r="B122" s="463" t="s">
        <v>450</v>
      </c>
      <c r="C122" s="330">
        <v>2171.3000000000002</v>
      </c>
      <c r="D122" s="339">
        <v>168</v>
      </c>
      <c r="E122" s="233">
        <f t="shared" si="10"/>
        <v>1.8258884903814804E-2</v>
      </c>
      <c r="F122" s="233">
        <f t="shared" si="11"/>
        <v>176.34093250733619</v>
      </c>
      <c r="G122" s="233">
        <f t="shared" si="8"/>
        <v>38.795005151613964</v>
      </c>
      <c r="H122" s="233">
        <f>F122*'92'!$C$20/100</f>
        <v>35.07189450511472</v>
      </c>
      <c r="I122" s="233">
        <f>E122*'мат. канал'!$F$28</f>
        <v>5.9320327500633985</v>
      </c>
      <c r="J122" s="233">
        <f t="shared" si="9"/>
        <v>0.11796613315254836</v>
      </c>
    </row>
    <row r="123" spans="1:10" s="158" customFormat="1" ht="11.25" x14ac:dyDescent="0.2">
      <c r="A123" s="281">
        <v>121</v>
      </c>
      <c r="B123" s="463" t="s">
        <v>451</v>
      </c>
      <c r="C123" s="330">
        <v>5707.1</v>
      </c>
      <c r="D123" s="339">
        <v>680</v>
      </c>
      <c r="E123" s="233">
        <f t="shared" si="10"/>
        <v>7.3905010324964673E-2</v>
      </c>
      <c r="F123" s="233">
        <f t="shared" si="11"/>
        <v>713.76091729159873</v>
      </c>
      <c r="G123" s="233">
        <f t="shared" si="8"/>
        <v>157.02740180415174</v>
      </c>
      <c r="H123" s="233">
        <f>F123*'92'!$C$20/100</f>
        <v>141.95766823498812</v>
      </c>
      <c r="I123" s="233">
        <f>E123*'мат. канал'!$F$28</f>
        <v>24.010608750256612</v>
      </c>
      <c r="J123" s="233">
        <f t="shared" si="9"/>
        <v>0.18166084282402536</v>
      </c>
    </row>
    <row r="124" spans="1:10" s="158" customFormat="1" ht="11.25" x14ac:dyDescent="0.2">
      <c r="A124" s="281">
        <v>122</v>
      </c>
      <c r="B124" s="463" t="s">
        <v>452</v>
      </c>
      <c r="C124" s="330">
        <v>1727.35</v>
      </c>
      <c r="D124" s="339">
        <v>138</v>
      </c>
      <c r="E124" s="233">
        <f t="shared" si="10"/>
        <v>1.4998369742419302E-2</v>
      </c>
      <c r="F124" s="233">
        <f t="shared" si="11"/>
        <v>144.85148027388328</v>
      </c>
      <c r="G124" s="233">
        <f t="shared" si="8"/>
        <v>31.867325660254323</v>
      </c>
      <c r="H124" s="233">
        <f>F124*'92'!$C$20/100</f>
        <v>28.809056200629946</v>
      </c>
      <c r="I124" s="233">
        <f>E124*'мат. канал'!$F$28</f>
        <v>4.8727411875520774</v>
      </c>
      <c r="J124" s="233">
        <f t="shared" si="9"/>
        <v>0.12180542641752953</v>
      </c>
    </row>
    <row r="125" spans="1:10" s="158" customFormat="1" ht="11.25" x14ac:dyDescent="0.2">
      <c r="A125" s="281">
        <v>123</v>
      </c>
      <c r="B125" s="463" t="s">
        <v>453</v>
      </c>
      <c r="C125" s="330">
        <v>2522.5500000000002</v>
      </c>
      <c r="D125" s="339">
        <v>138</v>
      </c>
      <c r="E125" s="233">
        <f t="shared" si="10"/>
        <v>1.4998369742419302E-2</v>
      </c>
      <c r="F125" s="233">
        <f t="shared" si="11"/>
        <v>144.85148027388328</v>
      </c>
      <c r="G125" s="233">
        <f t="shared" si="8"/>
        <v>31.867325660254323</v>
      </c>
      <c r="H125" s="233">
        <f>F125*'92'!$C$20/100</f>
        <v>28.809056200629946</v>
      </c>
      <c r="I125" s="233">
        <f>E125*'мат. канал'!$F$28</f>
        <v>4.8727411875520774</v>
      </c>
      <c r="J125" s="233">
        <f t="shared" si="9"/>
        <v>8.3407902052415064E-2</v>
      </c>
    </row>
    <row r="126" spans="1:10" s="158" customFormat="1" ht="11.25" x14ac:dyDescent="0.2">
      <c r="A126" s="281">
        <v>124</v>
      </c>
      <c r="B126" s="463" t="s">
        <v>454</v>
      </c>
      <c r="C126" s="330">
        <v>2516.6999999999998</v>
      </c>
      <c r="D126" s="339">
        <v>236</v>
      </c>
      <c r="E126" s="233">
        <f t="shared" si="10"/>
        <v>2.5649385936311272E-2</v>
      </c>
      <c r="F126" s="233">
        <f t="shared" si="11"/>
        <v>247.71702423649606</v>
      </c>
      <c r="G126" s="233">
        <f t="shared" si="8"/>
        <v>54.497745332029133</v>
      </c>
      <c r="H126" s="233">
        <f>F126*'92'!$C$20/100</f>
        <v>49.267661328613528</v>
      </c>
      <c r="I126" s="233">
        <f>E126*'мат. канал'!$F$28</f>
        <v>8.3330936250890595</v>
      </c>
      <c r="J126" s="233">
        <f t="shared" si="9"/>
        <v>0.14297116244376676</v>
      </c>
    </row>
    <row r="127" spans="1:10" s="158" customFormat="1" ht="11.25" x14ac:dyDescent="0.2">
      <c r="A127" s="281">
        <v>125</v>
      </c>
      <c r="B127" s="463" t="s">
        <v>455</v>
      </c>
      <c r="C127" s="330">
        <v>1774.47</v>
      </c>
      <c r="D127" s="339">
        <v>138</v>
      </c>
      <c r="E127" s="233">
        <f t="shared" si="10"/>
        <v>1.4998369742419302E-2</v>
      </c>
      <c r="F127" s="233">
        <f t="shared" si="11"/>
        <v>144.85148027388328</v>
      </c>
      <c r="G127" s="233">
        <f t="shared" si="8"/>
        <v>31.867325660254323</v>
      </c>
      <c r="H127" s="233">
        <f>F127*'92'!$C$20/100</f>
        <v>28.809056200629946</v>
      </c>
      <c r="I127" s="233">
        <f>E127*'мат. канал'!$F$28</f>
        <v>4.8727411875520774</v>
      </c>
      <c r="J127" s="233">
        <f t="shared" si="9"/>
        <v>0.11857095545279414</v>
      </c>
    </row>
    <row r="128" spans="1:10" s="158" customFormat="1" ht="11.25" x14ac:dyDescent="0.2">
      <c r="A128" s="281">
        <v>126</v>
      </c>
      <c r="B128" s="463" t="s">
        <v>456</v>
      </c>
      <c r="C128" s="330">
        <v>1727.7</v>
      </c>
      <c r="D128" s="339">
        <v>160</v>
      </c>
      <c r="E128" s="233">
        <f t="shared" si="10"/>
        <v>1.7389414194109335E-2</v>
      </c>
      <c r="F128" s="233">
        <f t="shared" si="11"/>
        <v>167.94374524508206</v>
      </c>
      <c r="G128" s="233">
        <f t="shared" si="8"/>
        <v>36.947623953918054</v>
      </c>
      <c r="H128" s="233">
        <f>F128*'92'!$C$20/100</f>
        <v>33.401804290585439</v>
      </c>
      <c r="I128" s="233">
        <f>E128*'мат. канал'!$F$28</f>
        <v>5.6495550000603796</v>
      </c>
      <c r="J128" s="233">
        <f t="shared" si="9"/>
        <v>0.14119507350213922</v>
      </c>
    </row>
    <row r="129" spans="1:10" s="158" customFormat="1" ht="11.25" x14ac:dyDescent="0.2">
      <c r="A129" s="281">
        <v>127</v>
      </c>
      <c r="B129" s="463" t="s">
        <v>457</v>
      </c>
      <c r="C129" s="330">
        <v>3216.3</v>
      </c>
      <c r="D129" s="339">
        <v>300</v>
      </c>
      <c r="E129" s="233">
        <f t="shared" si="10"/>
        <v>3.2605151613955004E-2</v>
      </c>
      <c r="F129" s="233">
        <f t="shared" si="11"/>
        <v>314.89452233452886</v>
      </c>
      <c r="G129" s="233">
        <f t="shared" si="8"/>
        <v>69.276794913596348</v>
      </c>
      <c r="H129" s="233">
        <f>F129*'92'!$C$20/100</f>
        <v>62.628383044847709</v>
      </c>
      <c r="I129" s="233">
        <f>E129*'мат. канал'!$F$28</f>
        <v>10.592915625113211</v>
      </c>
      <c r="J129" s="233">
        <f t="shared" si="9"/>
        <v>0.1422108061804204</v>
      </c>
    </row>
    <row r="130" spans="1:10" s="158" customFormat="1" ht="11.25" x14ac:dyDescent="0.2">
      <c r="A130" s="281">
        <v>128</v>
      </c>
      <c r="B130" s="463" t="s">
        <v>458</v>
      </c>
      <c r="C130" s="330">
        <v>3895.1</v>
      </c>
      <c r="D130" s="339">
        <v>420</v>
      </c>
      <c r="E130" s="233">
        <f t="shared" si="10"/>
        <v>4.5647212259537009E-2</v>
      </c>
      <c r="F130" s="233">
        <f t="shared" si="11"/>
        <v>440.85233126834044</v>
      </c>
      <c r="G130" s="233">
        <f t="shared" si="8"/>
        <v>96.987512879034895</v>
      </c>
      <c r="H130" s="233">
        <f>F130*'92'!$C$20/100</f>
        <v>87.67973626278679</v>
      </c>
      <c r="I130" s="233">
        <f>E130*'мат. канал'!$F$28</f>
        <v>14.830081875158497</v>
      </c>
      <c r="J130" s="233">
        <f t="shared" si="9"/>
        <v>0.16439877340384601</v>
      </c>
    </row>
    <row r="131" spans="1:10" s="158" customFormat="1" ht="11.25" x14ac:dyDescent="0.2">
      <c r="A131" s="281">
        <v>129</v>
      </c>
      <c r="B131" s="463" t="s">
        <v>459</v>
      </c>
      <c r="C131" s="330">
        <v>4002.8</v>
      </c>
      <c r="D131" s="339">
        <v>600</v>
      </c>
      <c r="E131" s="233">
        <f t="shared" si="10"/>
        <v>6.5210303227910008E-2</v>
      </c>
      <c r="F131" s="233">
        <f t="shared" si="11"/>
        <v>629.78904466905772</v>
      </c>
      <c r="G131" s="233">
        <f t="shared" ref="G131:G160" si="12">F131*22/100</f>
        <v>138.5535898271927</v>
      </c>
      <c r="H131" s="233">
        <f>F131*'92'!$C$20/100</f>
        <v>125.25676608969542</v>
      </c>
      <c r="I131" s="233">
        <f>E131*'мат. канал'!$F$28</f>
        <v>21.185831250226421</v>
      </c>
      <c r="J131" s="233">
        <f t="shared" ref="J131:J160" si="13">(F131+G131+H131+I131)/C131</f>
        <v>0.22853633252627467</v>
      </c>
    </row>
    <row r="132" spans="1:10" s="158" customFormat="1" ht="11.25" x14ac:dyDescent="0.2">
      <c r="A132" s="281">
        <v>130</v>
      </c>
      <c r="B132" s="463" t="s">
        <v>460</v>
      </c>
      <c r="C132" s="330">
        <v>3852.63</v>
      </c>
      <c r="D132" s="339">
        <v>400</v>
      </c>
      <c r="E132" s="233">
        <f t="shared" si="10"/>
        <v>4.3473535485273343E-2</v>
      </c>
      <c r="F132" s="233">
        <f t="shared" si="11"/>
        <v>419.85936311270518</v>
      </c>
      <c r="G132" s="233">
        <f t="shared" si="12"/>
        <v>92.369059884795135</v>
      </c>
      <c r="H132" s="233">
        <f>F132*'92'!$C$20/100</f>
        <v>83.504510726463607</v>
      </c>
      <c r="I132" s="233">
        <f>E132*'мат. канал'!$F$28</f>
        <v>14.12388750015095</v>
      </c>
      <c r="J132" s="233">
        <f t="shared" si="13"/>
        <v>0.15829623431892367</v>
      </c>
    </row>
    <row r="133" spans="1:10" s="158" customFormat="1" ht="11.25" x14ac:dyDescent="0.2">
      <c r="A133" s="281">
        <v>131</v>
      </c>
      <c r="B133" s="463" t="s">
        <v>461</v>
      </c>
      <c r="C133" s="330">
        <v>3560.4</v>
      </c>
      <c r="D133" s="339">
        <v>400</v>
      </c>
      <c r="E133" s="233">
        <f t="shared" si="10"/>
        <v>4.3473535485273343E-2</v>
      </c>
      <c r="F133" s="233">
        <f t="shared" si="11"/>
        <v>419.85936311270518</v>
      </c>
      <c r="G133" s="233">
        <f t="shared" si="12"/>
        <v>92.369059884795135</v>
      </c>
      <c r="H133" s="233">
        <f>F133*'92'!$C$20/100</f>
        <v>83.504510726463607</v>
      </c>
      <c r="I133" s="233">
        <f>E133*'мат. канал'!$F$28</f>
        <v>14.12388750015095</v>
      </c>
      <c r="J133" s="233">
        <f t="shared" si="13"/>
        <v>0.17128884991127821</v>
      </c>
    </row>
    <row r="134" spans="1:10" s="158" customFormat="1" ht="11.25" x14ac:dyDescent="0.2">
      <c r="A134" s="281">
        <v>132</v>
      </c>
      <c r="B134" s="463" t="s">
        <v>462</v>
      </c>
      <c r="C134" s="330">
        <v>944.7</v>
      </c>
      <c r="D134" s="339">
        <v>60</v>
      </c>
      <c r="E134" s="233">
        <f t="shared" si="10"/>
        <v>6.5210303227910011E-3</v>
      </c>
      <c r="F134" s="233">
        <f t="shared" si="11"/>
        <v>62.978904466905774</v>
      </c>
      <c r="G134" s="233">
        <f t="shared" si="12"/>
        <v>13.85535898271927</v>
      </c>
      <c r="H134" s="233">
        <f>F134*'92'!$C$20/100</f>
        <v>12.52567660896954</v>
      </c>
      <c r="I134" s="233">
        <f>E134*'мат. канал'!$F$28</f>
        <v>2.1185831250226421</v>
      </c>
      <c r="J134" s="233">
        <f t="shared" si="13"/>
        <v>9.6833410800907405E-2</v>
      </c>
    </row>
    <row r="135" spans="1:10" s="158" customFormat="1" ht="11.25" x14ac:dyDescent="0.2">
      <c r="A135" s="281">
        <v>133</v>
      </c>
      <c r="B135" s="463" t="s">
        <v>463</v>
      </c>
      <c r="C135" s="330">
        <v>2428.5</v>
      </c>
      <c r="D135" s="339">
        <v>430</v>
      </c>
      <c r="E135" s="233">
        <f t="shared" si="10"/>
        <v>4.6734050646668843E-2</v>
      </c>
      <c r="F135" s="233">
        <f t="shared" si="11"/>
        <v>451.34881534615806</v>
      </c>
      <c r="G135" s="233">
        <f t="shared" si="12"/>
        <v>99.296739376154761</v>
      </c>
      <c r="H135" s="233">
        <f>F135*'92'!$C$20/100</f>
        <v>89.767349030948395</v>
      </c>
      <c r="I135" s="233">
        <f>E135*'мат. канал'!$F$28</f>
        <v>15.183179062662271</v>
      </c>
      <c r="J135" s="233">
        <f t="shared" si="13"/>
        <v>0.26995926819679777</v>
      </c>
    </row>
    <row r="136" spans="1:10" s="158" customFormat="1" ht="11.25" x14ac:dyDescent="0.2">
      <c r="A136" s="281">
        <v>134</v>
      </c>
      <c r="B136" s="463" t="s">
        <v>464</v>
      </c>
      <c r="C136" s="330">
        <v>4861.91</v>
      </c>
      <c r="D136" s="339">
        <v>350</v>
      </c>
      <c r="E136" s="233">
        <f t="shared" si="10"/>
        <v>3.803934354961417E-2</v>
      </c>
      <c r="F136" s="233">
        <f t="shared" si="11"/>
        <v>367.37694272361699</v>
      </c>
      <c r="G136" s="233">
        <f t="shared" si="12"/>
        <v>80.822927399195748</v>
      </c>
      <c r="H136" s="233">
        <f>F136*'92'!$C$20/100</f>
        <v>73.066446885655651</v>
      </c>
      <c r="I136" s="233">
        <f>E136*'мат. канал'!$F$28</f>
        <v>12.358401562632078</v>
      </c>
      <c r="J136" s="233">
        <f t="shared" si="13"/>
        <v>0.10975619017445827</v>
      </c>
    </row>
    <row r="137" spans="1:10" s="158" customFormat="1" ht="11.25" x14ac:dyDescent="0.2">
      <c r="A137" s="281">
        <v>135</v>
      </c>
      <c r="B137" s="463" t="s">
        <v>465</v>
      </c>
      <c r="C137" s="330">
        <v>3078.77</v>
      </c>
      <c r="D137" s="339">
        <v>505</v>
      </c>
      <c r="E137" s="233">
        <f t="shared" si="10"/>
        <v>5.4885338550157592E-2</v>
      </c>
      <c r="F137" s="233">
        <f t="shared" si="11"/>
        <v>530.07244592979032</v>
      </c>
      <c r="G137" s="233">
        <f t="shared" si="12"/>
        <v>116.61593810455386</v>
      </c>
      <c r="H137" s="233">
        <f>F137*'92'!$C$20/100</f>
        <v>105.42444479216032</v>
      </c>
      <c r="I137" s="233">
        <f>E137*'мат. канал'!$F$28</f>
        <v>17.831407968940571</v>
      </c>
      <c r="J137" s="233">
        <f t="shared" si="13"/>
        <v>0.25008176537885096</v>
      </c>
    </row>
    <row r="138" spans="1:10" s="158" customFormat="1" ht="11.25" x14ac:dyDescent="0.2">
      <c r="A138" s="281">
        <v>136</v>
      </c>
      <c r="B138" s="463" t="s">
        <v>466</v>
      </c>
      <c r="C138" s="330">
        <v>3188.68</v>
      </c>
      <c r="D138" s="339">
        <v>260</v>
      </c>
      <c r="E138" s="233">
        <f t="shared" si="10"/>
        <v>2.8257798065427671E-2</v>
      </c>
      <c r="F138" s="233">
        <f t="shared" si="11"/>
        <v>272.90858602325835</v>
      </c>
      <c r="G138" s="233">
        <f t="shared" si="12"/>
        <v>60.039888925116841</v>
      </c>
      <c r="H138" s="233">
        <f>F138*'92'!$C$20/100</f>
        <v>54.277931972201351</v>
      </c>
      <c r="I138" s="233">
        <f>E138*'мат. канал'!$F$28</f>
        <v>9.180526875098117</v>
      </c>
      <c r="J138" s="233">
        <f t="shared" si="13"/>
        <v>0.12431693797924993</v>
      </c>
    </row>
    <row r="139" spans="1:10" s="158" customFormat="1" ht="11.25" x14ac:dyDescent="0.2">
      <c r="A139" s="281">
        <v>137</v>
      </c>
      <c r="B139" s="463" t="s">
        <v>467</v>
      </c>
      <c r="C139" s="330">
        <v>2782.65</v>
      </c>
      <c r="D139" s="339">
        <v>330</v>
      </c>
      <c r="E139" s="233">
        <f t="shared" si="10"/>
        <v>3.5865666775350503E-2</v>
      </c>
      <c r="F139" s="233">
        <f t="shared" si="11"/>
        <v>346.38397456798174</v>
      </c>
      <c r="G139" s="233">
        <f t="shared" si="12"/>
        <v>76.204474404955988</v>
      </c>
      <c r="H139" s="233">
        <f>F139*'92'!$C$20/100</f>
        <v>68.891221349332469</v>
      </c>
      <c r="I139" s="233">
        <f>E139*'мат. канал'!$F$28</f>
        <v>11.652207187624532</v>
      </c>
      <c r="J139" s="233">
        <f t="shared" si="13"/>
        <v>0.18081033457671453</v>
      </c>
    </row>
    <row r="140" spans="1:10" s="158" customFormat="1" ht="11.25" x14ac:dyDescent="0.2">
      <c r="A140" s="281">
        <v>138</v>
      </c>
      <c r="B140" s="463" t="s">
        <v>468</v>
      </c>
      <c r="C140" s="330">
        <v>2258.6</v>
      </c>
      <c r="D140" s="339">
        <v>190</v>
      </c>
      <c r="E140" s="233">
        <f t="shared" si="10"/>
        <v>2.0649929355504835E-2</v>
      </c>
      <c r="F140" s="233">
        <f t="shared" si="11"/>
        <v>199.43319747853494</v>
      </c>
      <c r="G140" s="233">
        <f t="shared" si="12"/>
        <v>43.875303445277687</v>
      </c>
      <c r="H140" s="233">
        <f>F140*'92'!$C$20/100</f>
        <v>39.664642595070212</v>
      </c>
      <c r="I140" s="233">
        <f>E140*'мат. канал'!$F$28</f>
        <v>6.7088465625716998</v>
      </c>
      <c r="J140" s="233">
        <f t="shared" si="13"/>
        <v>0.12825732315658131</v>
      </c>
    </row>
    <row r="141" spans="1:10" s="158" customFormat="1" ht="11.25" x14ac:dyDescent="0.2">
      <c r="A141" s="281">
        <v>139</v>
      </c>
      <c r="B141" s="463" t="s">
        <v>469</v>
      </c>
      <c r="C141" s="330">
        <v>1910</v>
      </c>
      <c r="D141" s="339">
        <v>200</v>
      </c>
      <c r="E141" s="233">
        <f t="shared" si="10"/>
        <v>2.1736767742636671E-2</v>
      </c>
      <c r="F141" s="233">
        <f t="shared" si="11"/>
        <v>209.92968155635259</v>
      </c>
      <c r="G141" s="233">
        <f t="shared" si="12"/>
        <v>46.184529942397567</v>
      </c>
      <c r="H141" s="233">
        <f>F141*'92'!$C$20/100</f>
        <v>41.752255363231804</v>
      </c>
      <c r="I141" s="233">
        <f>E141*'мат. канал'!$F$28</f>
        <v>7.0619437500754749</v>
      </c>
      <c r="J141" s="233">
        <f t="shared" si="13"/>
        <v>0.1596483825194018</v>
      </c>
    </row>
    <row r="142" spans="1:10" s="158" customFormat="1" ht="11.25" x14ac:dyDescent="0.2">
      <c r="A142" s="281">
        <v>140</v>
      </c>
      <c r="B142" s="463" t="s">
        <v>470</v>
      </c>
      <c r="C142" s="330">
        <v>2522.5</v>
      </c>
      <c r="D142" s="339">
        <v>322</v>
      </c>
      <c r="E142" s="233">
        <f t="shared" si="10"/>
        <v>3.4996196065645038E-2</v>
      </c>
      <c r="F142" s="233">
        <f t="shared" si="11"/>
        <v>337.98678730572766</v>
      </c>
      <c r="G142" s="233">
        <f t="shared" si="12"/>
        <v>74.357093207260093</v>
      </c>
      <c r="H142" s="233">
        <f>F142*'92'!$C$20/100</f>
        <v>67.221131134803215</v>
      </c>
      <c r="I142" s="233">
        <f>E142*'мат. канал'!$F$28</f>
        <v>11.369729437621514</v>
      </c>
      <c r="J142" s="233">
        <f>(F142+G142+H142+I142)/C142*10/100</f>
        <v>1.9462229577221504E-2</v>
      </c>
    </row>
    <row r="143" spans="1:10" s="158" customFormat="1" ht="11.25" x14ac:dyDescent="0.2">
      <c r="A143" s="281">
        <v>141</v>
      </c>
      <c r="B143" s="463" t="s">
        <v>471</v>
      </c>
      <c r="C143" s="330">
        <v>3459.82</v>
      </c>
      <c r="D143" s="339">
        <v>182</v>
      </c>
      <c r="E143" s="233">
        <f t="shared" si="10"/>
        <v>1.978045864579937E-2</v>
      </c>
      <c r="F143" s="233">
        <f t="shared" si="11"/>
        <v>191.03601021628086</v>
      </c>
      <c r="G143" s="233">
        <f t="shared" si="12"/>
        <v>42.027922247581792</v>
      </c>
      <c r="H143" s="233">
        <f>F143*'92'!$C$20/100</f>
        <v>37.994552380540945</v>
      </c>
      <c r="I143" s="233">
        <f>E143*'мат. канал'!$F$28</f>
        <v>6.4263688125686818</v>
      </c>
      <c r="J143" s="233">
        <f t="shared" si="13"/>
        <v>8.0202106946885177E-2</v>
      </c>
    </row>
    <row r="144" spans="1:10" s="158" customFormat="1" ht="11.25" x14ac:dyDescent="0.2">
      <c r="A144" s="281">
        <v>142</v>
      </c>
      <c r="B144" s="463" t="s">
        <v>472</v>
      </c>
      <c r="C144" s="330">
        <v>1752.03</v>
      </c>
      <c r="D144" s="339">
        <v>115</v>
      </c>
      <c r="E144" s="233">
        <f t="shared" si="10"/>
        <v>1.2498641452016086E-2</v>
      </c>
      <c r="F144" s="233">
        <f t="shared" si="11"/>
        <v>120.70956689490274</v>
      </c>
      <c r="G144" s="233">
        <f t="shared" si="12"/>
        <v>26.556104716878604</v>
      </c>
      <c r="H144" s="233">
        <f>F144*'92'!$C$20/100</f>
        <v>24.007546833858285</v>
      </c>
      <c r="I144" s="233">
        <f>E144*'мат. канал'!$F$28</f>
        <v>4.060617656293398</v>
      </c>
      <c r="J144" s="233">
        <f t="shared" si="13"/>
        <v>0.10007467686165933</v>
      </c>
    </row>
    <row r="145" spans="1:10" s="158" customFormat="1" ht="11.25" x14ac:dyDescent="0.2">
      <c r="A145" s="281">
        <v>143</v>
      </c>
      <c r="B145" s="463" t="s">
        <v>473</v>
      </c>
      <c r="C145" s="330">
        <v>4953.7</v>
      </c>
      <c r="D145" s="339">
        <v>500</v>
      </c>
      <c r="E145" s="233">
        <f t="shared" si="10"/>
        <v>5.4341919356591675E-2</v>
      </c>
      <c r="F145" s="233">
        <f t="shared" si="11"/>
        <v>524.82420389088145</v>
      </c>
      <c r="G145" s="233">
        <f t="shared" si="12"/>
        <v>115.46132485599392</v>
      </c>
      <c r="H145" s="233">
        <f>F145*'92'!$C$20/100</f>
        <v>104.38063840807951</v>
      </c>
      <c r="I145" s="233">
        <f>E145*'мат. канал'!$F$28</f>
        <v>17.654859375188686</v>
      </c>
      <c r="J145" s="233">
        <f t="shared" si="13"/>
        <v>0.15388921947839868</v>
      </c>
    </row>
    <row r="146" spans="1:10" s="158" customFormat="1" ht="11.25" x14ac:dyDescent="0.2">
      <c r="A146" s="281">
        <v>144</v>
      </c>
      <c r="B146" s="463" t="s">
        <v>474</v>
      </c>
      <c r="C146" s="330">
        <v>1706.17</v>
      </c>
      <c r="D146" s="339">
        <v>115</v>
      </c>
      <c r="E146" s="233">
        <f t="shared" si="10"/>
        <v>1.2498641452016086E-2</v>
      </c>
      <c r="F146" s="233">
        <f t="shared" si="11"/>
        <v>120.70956689490274</v>
      </c>
      <c r="G146" s="233">
        <f t="shared" si="12"/>
        <v>26.556104716878604</v>
      </c>
      <c r="H146" s="233">
        <f>F146*'92'!$C$20/100</f>
        <v>24.007546833858285</v>
      </c>
      <c r="I146" s="233">
        <f>E146*'мат. канал'!$F$28</f>
        <v>4.060617656293398</v>
      </c>
      <c r="J146" s="233">
        <f t="shared" si="13"/>
        <v>0.10276457568819812</v>
      </c>
    </row>
    <row r="147" spans="1:10" s="158" customFormat="1" ht="11.25" x14ac:dyDescent="0.2">
      <c r="A147" s="281">
        <v>145</v>
      </c>
      <c r="B147" s="463" t="s">
        <v>475</v>
      </c>
      <c r="C147" s="330">
        <v>1135.3399999999999</v>
      </c>
      <c r="D147" s="339">
        <v>110</v>
      </c>
      <c r="E147" s="233">
        <f t="shared" si="10"/>
        <v>1.1955222258450169E-2</v>
      </c>
      <c r="F147" s="233">
        <f t="shared" si="11"/>
        <v>115.46132485599392</v>
      </c>
      <c r="G147" s="233">
        <f t="shared" si="12"/>
        <v>25.401491468318664</v>
      </c>
      <c r="H147" s="233">
        <f>F147*'92'!$C$20/100</f>
        <v>22.963740449777493</v>
      </c>
      <c r="I147" s="233">
        <f>E147*'мат. канал'!$F$28</f>
        <v>3.8840690625415109</v>
      </c>
      <c r="J147" s="233">
        <f t="shared" si="13"/>
        <v>0.14771841548490461</v>
      </c>
    </row>
    <row r="148" spans="1:10" s="158" customFormat="1" ht="11.25" x14ac:dyDescent="0.2">
      <c r="A148" s="281">
        <v>146</v>
      </c>
      <c r="B148" s="463" t="s">
        <v>476</v>
      </c>
      <c r="C148" s="330">
        <v>1716.28</v>
      </c>
      <c r="D148" s="339">
        <v>110</v>
      </c>
      <c r="E148" s="233">
        <f t="shared" si="10"/>
        <v>1.1955222258450169E-2</v>
      </c>
      <c r="F148" s="233">
        <f t="shared" si="11"/>
        <v>115.46132485599392</v>
      </c>
      <c r="G148" s="233">
        <f t="shared" si="12"/>
        <v>25.401491468318664</v>
      </c>
      <c r="H148" s="233">
        <f>F148*'92'!$C$20/100</f>
        <v>22.963740449777493</v>
      </c>
      <c r="I148" s="233">
        <f>E148*'мат. канал'!$F$28</f>
        <v>3.8840690625415109</v>
      </c>
      <c r="J148" s="233">
        <f t="shared" si="13"/>
        <v>9.7717520356020923E-2</v>
      </c>
    </row>
    <row r="149" spans="1:10" s="158" customFormat="1" ht="11.25" x14ac:dyDescent="0.2">
      <c r="A149" s="281">
        <v>147</v>
      </c>
      <c r="B149" s="463" t="s">
        <v>477</v>
      </c>
      <c r="C149" s="330">
        <v>2696.17</v>
      </c>
      <c r="D149" s="339">
        <v>230</v>
      </c>
      <c r="E149" s="233">
        <f t="shared" si="10"/>
        <v>2.4997282904032171E-2</v>
      </c>
      <c r="F149" s="233">
        <f t="shared" si="11"/>
        <v>241.41913378980547</v>
      </c>
      <c r="G149" s="233">
        <f t="shared" si="12"/>
        <v>53.112209433757208</v>
      </c>
      <c r="H149" s="233">
        <f>F149*'92'!$C$20/100</f>
        <v>48.01509366771657</v>
      </c>
      <c r="I149" s="233">
        <f>E149*'мат. канал'!$F$28</f>
        <v>8.121235312586796</v>
      </c>
      <c r="J149" s="233">
        <f t="shared" si="13"/>
        <v>0.13006141014990374</v>
      </c>
    </row>
    <row r="150" spans="1:10" s="158" customFormat="1" ht="11.25" x14ac:dyDescent="0.2">
      <c r="A150" s="281">
        <v>148</v>
      </c>
      <c r="B150" s="463" t="s">
        <v>478</v>
      </c>
      <c r="C150" s="330">
        <v>1747.74</v>
      </c>
      <c r="D150" s="339">
        <v>117</v>
      </c>
      <c r="E150" s="233">
        <f t="shared" si="10"/>
        <v>1.2716009129442452E-2</v>
      </c>
      <c r="F150" s="233">
        <f t="shared" si="11"/>
        <v>122.80886371046626</v>
      </c>
      <c r="G150" s="233">
        <f t="shared" si="12"/>
        <v>27.017950016302574</v>
      </c>
      <c r="H150" s="233">
        <f>F150*'92'!$C$20/100</f>
        <v>24.425069387490602</v>
      </c>
      <c r="I150" s="233">
        <f>E150*'мат. канал'!$F$28</f>
        <v>4.1312370937941525</v>
      </c>
      <c r="J150" s="233">
        <f t="shared" si="13"/>
        <v>0.10206502123202167</v>
      </c>
    </row>
    <row r="151" spans="1:10" s="158" customFormat="1" ht="11.25" x14ac:dyDescent="0.2">
      <c r="A151" s="281">
        <v>149</v>
      </c>
      <c r="B151" s="463" t="s">
        <v>479</v>
      </c>
      <c r="C151" s="330">
        <v>1129.0999999999999</v>
      </c>
      <c r="D151" s="339">
        <v>92</v>
      </c>
      <c r="E151" s="233">
        <f t="shared" si="10"/>
        <v>9.9989131616128688E-3</v>
      </c>
      <c r="F151" s="233">
        <f t="shared" si="11"/>
        <v>96.567653515922188</v>
      </c>
      <c r="G151" s="233">
        <f t="shared" si="12"/>
        <v>21.244883773502877</v>
      </c>
      <c r="H151" s="233">
        <f>F151*'92'!$C$20/100</f>
        <v>19.206037467086631</v>
      </c>
      <c r="I151" s="233">
        <f>E151*'мат. канал'!$F$28</f>
        <v>3.2484941250347186</v>
      </c>
      <c r="J151" s="233">
        <f t="shared" si="13"/>
        <v>0.12422909297807672</v>
      </c>
    </row>
    <row r="152" spans="1:10" s="158" customFormat="1" ht="11.25" x14ac:dyDescent="0.2">
      <c r="A152" s="281">
        <v>150</v>
      </c>
      <c r="B152" s="463" t="s">
        <v>480</v>
      </c>
      <c r="C152" s="330">
        <v>1724</v>
      </c>
      <c r="D152" s="339">
        <v>160</v>
      </c>
      <c r="E152" s="233">
        <f t="shared" si="10"/>
        <v>1.7389414194109335E-2</v>
      </c>
      <c r="F152" s="233">
        <f t="shared" si="11"/>
        <v>167.94374524508206</v>
      </c>
      <c r="G152" s="233">
        <f t="shared" si="12"/>
        <v>36.947623953918054</v>
      </c>
      <c r="H152" s="233">
        <f>F152*'92'!$C$20/100</f>
        <v>33.401804290585439</v>
      </c>
      <c r="I152" s="233">
        <f>E152*'мат. канал'!$F$28</f>
        <v>5.6495550000603796</v>
      </c>
      <c r="J152" s="233">
        <f t="shared" si="13"/>
        <v>0.14149810237218441</v>
      </c>
    </row>
    <row r="153" spans="1:10" s="158" customFormat="1" ht="11.25" x14ac:dyDescent="0.2">
      <c r="A153" s="281">
        <v>151</v>
      </c>
      <c r="B153" s="463" t="s">
        <v>481</v>
      </c>
      <c r="C153" s="330">
        <v>1775.1</v>
      </c>
      <c r="D153" s="339">
        <v>160</v>
      </c>
      <c r="E153" s="233">
        <f t="shared" si="10"/>
        <v>1.7389414194109335E-2</v>
      </c>
      <c r="F153" s="233">
        <f t="shared" si="11"/>
        <v>167.94374524508206</v>
      </c>
      <c r="G153" s="233">
        <f t="shared" si="12"/>
        <v>36.947623953918054</v>
      </c>
      <c r="H153" s="233">
        <f>F153*'92'!$C$20/100</f>
        <v>33.401804290585439</v>
      </c>
      <c r="I153" s="233">
        <f>E153*'мат. канал'!$F$28</f>
        <v>5.6495550000603796</v>
      </c>
      <c r="J153" s="233">
        <f t="shared" si="13"/>
        <v>0.13742478085158355</v>
      </c>
    </row>
    <row r="154" spans="1:10" s="158" customFormat="1" ht="11.25" x14ac:dyDescent="0.2">
      <c r="A154" s="281">
        <v>152</v>
      </c>
      <c r="B154" s="463" t="s">
        <v>482</v>
      </c>
      <c r="C154" s="330">
        <v>3140.4</v>
      </c>
      <c r="D154" s="339">
        <v>260</v>
      </c>
      <c r="E154" s="233">
        <f t="shared" si="10"/>
        <v>2.8257798065427671E-2</v>
      </c>
      <c r="F154" s="233">
        <f t="shared" si="11"/>
        <v>272.90858602325835</v>
      </c>
      <c r="G154" s="233">
        <f t="shared" si="12"/>
        <v>60.039888925116841</v>
      </c>
      <c r="H154" s="233">
        <f>F154*'92'!$C$20/100</f>
        <v>54.277931972201351</v>
      </c>
      <c r="I154" s="233">
        <f>E154*'мат. канал'!$F$28</f>
        <v>9.180526875098117</v>
      </c>
      <c r="J154" s="233">
        <f t="shared" si="13"/>
        <v>0.12622816641054471</v>
      </c>
    </row>
    <row r="155" spans="1:10" s="158" customFormat="1" ht="11.25" x14ac:dyDescent="0.2">
      <c r="A155" s="281">
        <v>153</v>
      </c>
      <c r="B155" s="463" t="s">
        <v>483</v>
      </c>
      <c r="C155" s="330">
        <v>6074.77</v>
      </c>
      <c r="D155" s="339">
        <v>548</v>
      </c>
      <c r="E155" s="233">
        <f t="shared" si="10"/>
        <v>5.9558743614824473E-2</v>
      </c>
      <c r="F155" s="233">
        <f t="shared" si="11"/>
        <v>575.20732746440603</v>
      </c>
      <c r="G155" s="233">
        <f t="shared" si="12"/>
        <v>126.54561204216932</v>
      </c>
      <c r="H155" s="233">
        <f>F155*'92'!$C$20/100</f>
        <v>114.40117969525514</v>
      </c>
      <c r="I155" s="233">
        <f>E155*'мат. канал'!$F$28</f>
        <v>19.349725875206797</v>
      </c>
      <c r="J155" s="233">
        <f t="shared" si="13"/>
        <v>0.13753670428296663</v>
      </c>
    </row>
    <row r="156" spans="1:10" s="158" customFormat="1" ht="11.25" x14ac:dyDescent="0.2">
      <c r="A156" s="281">
        <v>154</v>
      </c>
      <c r="B156" s="463" t="s">
        <v>484</v>
      </c>
      <c r="C156" s="330">
        <v>1960.16</v>
      </c>
      <c r="D156" s="339">
        <v>200</v>
      </c>
      <c r="E156" s="233">
        <f t="shared" si="10"/>
        <v>2.1736767742636671E-2</v>
      </c>
      <c r="F156" s="233">
        <f t="shared" si="11"/>
        <v>209.92968155635259</v>
      </c>
      <c r="G156" s="233">
        <f t="shared" si="12"/>
        <v>46.184529942397567</v>
      </c>
      <c r="H156" s="233">
        <f>F156*'92'!$C$20/100</f>
        <v>41.752255363231804</v>
      </c>
      <c r="I156" s="233">
        <f>E156*'мат. канал'!$F$28</f>
        <v>7.0619437500754749</v>
      </c>
      <c r="J156" s="233">
        <f t="shared" si="13"/>
        <v>0.15556302067793315</v>
      </c>
    </row>
    <row r="157" spans="1:10" s="158" customFormat="1" ht="11.25" x14ac:dyDescent="0.2">
      <c r="A157" s="281">
        <v>155</v>
      </c>
      <c r="B157" s="463" t="s">
        <v>485</v>
      </c>
      <c r="C157" s="330">
        <v>5972.33</v>
      </c>
      <c r="D157" s="339">
        <v>550</v>
      </c>
      <c r="E157" s="233">
        <f t="shared" si="10"/>
        <v>5.9776111292250841E-2</v>
      </c>
      <c r="F157" s="233">
        <f t="shared" si="11"/>
        <v>577.30662427996958</v>
      </c>
      <c r="G157" s="233">
        <f t="shared" si="12"/>
        <v>127.00745734159331</v>
      </c>
      <c r="H157" s="233">
        <f>F157*'92'!$C$20/100</f>
        <v>114.81870224888746</v>
      </c>
      <c r="I157" s="233">
        <f>E157*'мат. канал'!$F$28</f>
        <v>19.420345312707553</v>
      </c>
      <c r="J157" s="233">
        <f t="shared" si="13"/>
        <v>0.14040636220422481</v>
      </c>
    </row>
    <row r="158" spans="1:10" s="158" customFormat="1" ht="11.25" x14ac:dyDescent="0.2">
      <c r="A158" s="281">
        <v>156</v>
      </c>
      <c r="B158" s="463" t="s">
        <v>486</v>
      </c>
      <c r="C158" s="330">
        <v>2589.9</v>
      </c>
      <c r="D158" s="339">
        <v>200</v>
      </c>
      <c r="E158" s="233">
        <f t="shared" si="10"/>
        <v>2.1736767742636671E-2</v>
      </c>
      <c r="F158" s="233">
        <f t="shared" si="11"/>
        <v>209.92968155635259</v>
      </c>
      <c r="G158" s="233">
        <f t="shared" si="12"/>
        <v>46.184529942397567</v>
      </c>
      <c r="H158" s="233">
        <f>F158*'92'!$C$20/100</f>
        <v>41.752255363231804</v>
      </c>
      <c r="I158" s="233">
        <f>E158*'мат. канал'!$F$28</f>
        <v>7.0619437500754749</v>
      </c>
      <c r="J158" s="233">
        <f t="shared" si="13"/>
        <v>0.11773752292059826</v>
      </c>
    </row>
    <row r="159" spans="1:10" s="158" customFormat="1" ht="11.25" x14ac:dyDescent="0.2">
      <c r="A159" s="281">
        <v>157</v>
      </c>
      <c r="B159" s="463" t="s">
        <v>487</v>
      </c>
      <c r="C159" s="330">
        <v>3904.03</v>
      </c>
      <c r="D159" s="339">
        <v>350</v>
      </c>
      <c r="E159" s="233">
        <f t="shared" si="10"/>
        <v>3.803934354961417E-2</v>
      </c>
      <c r="F159" s="233">
        <f t="shared" si="11"/>
        <v>367.37694272361699</v>
      </c>
      <c r="G159" s="233">
        <f t="shared" si="12"/>
        <v>80.822927399195748</v>
      </c>
      <c r="H159" s="233">
        <f>F159*'92'!$C$20/100</f>
        <v>73.066446885655651</v>
      </c>
      <c r="I159" s="233">
        <f>E159*'мат. канал'!$F$28</f>
        <v>12.358401562632078</v>
      </c>
      <c r="J159" s="233">
        <f t="shared" si="13"/>
        <v>0.13668560911957653</v>
      </c>
    </row>
    <row r="160" spans="1:10" s="158" customFormat="1" ht="11.25" x14ac:dyDescent="0.2">
      <c r="A160" s="281">
        <v>158</v>
      </c>
      <c r="B160" s="463" t="s">
        <v>488</v>
      </c>
      <c r="C160" s="330">
        <v>3894.85</v>
      </c>
      <c r="D160" s="339">
        <v>280</v>
      </c>
      <c r="E160" s="233">
        <f t="shared" si="10"/>
        <v>3.0431474839691337E-2</v>
      </c>
      <c r="F160" s="233">
        <f t="shared" si="11"/>
        <v>293.9015541788936</v>
      </c>
      <c r="G160" s="233">
        <f t="shared" si="12"/>
        <v>64.658341919356587</v>
      </c>
      <c r="H160" s="233">
        <f>F160*'92'!$C$20/100</f>
        <v>58.453157508524527</v>
      </c>
      <c r="I160" s="233">
        <f>E160*'мат. канал'!$F$28</f>
        <v>9.8867212501056638</v>
      </c>
      <c r="J160" s="233">
        <f t="shared" si="13"/>
        <v>0.10960621714748461</v>
      </c>
    </row>
    <row r="161" spans="1:23" s="467" customFormat="1" ht="10.5" x14ac:dyDescent="0.2">
      <c r="A161" s="465">
        <v>159</v>
      </c>
      <c r="B161" s="466" t="s">
        <v>41</v>
      </c>
      <c r="C161" s="272">
        <f>SUM(C3:C160)-C32-C31-C8</f>
        <v>263660.28999999998</v>
      </c>
      <c r="D161" s="200">
        <f>SUM(D3:D160)</f>
        <v>27603</v>
      </c>
      <c r="E161" s="249">
        <f>'мат. канал'!D3</f>
        <v>3</v>
      </c>
      <c r="F161" s="249">
        <f>E161*ЗП!M52</f>
        <v>28973.445</v>
      </c>
      <c r="G161" s="249">
        <f>F161*22/100</f>
        <v>6374.1579000000002</v>
      </c>
      <c r="H161" s="249">
        <f>F161*'92'!$C$20/100</f>
        <v>5762.437523956437</v>
      </c>
      <c r="I161" s="249">
        <f>'мат. канал'!F27/12</f>
        <v>974.65416666666658</v>
      </c>
      <c r="J161" s="249">
        <f>(F161+G161+H161+I161)/C161</f>
        <v>0.15961711409261936</v>
      </c>
    </row>
    <row r="163" spans="1:23" x14ac:dyDescent="0.2">
      <c r="I163" s="263"/>
    </row>
    <row r="164" spans="1:23" x14ac:dyDescent="0.2">
      <c r="E164" s="263">
        <f>D161/E161</f>
        <v>9201</v>
      </c>
      <c r="F164" s="263">
        <f>F161/E161</f>
        <v>9657.8150000000005</v>
      </c>
    </row>
    <row r="166" spans="1:23" s="81" customFormat="1" ht="15.75" customHeight="1" x14ac:dyDescent="0.2">
      <c r="A166" s="279"/>
      <c r="B166" s="265" t="s">
        <v>234</v>
      </c>
      <c r="C166" s="250"/>
      <c r="D166" s="250"/>
      <c r="E166" s="509" t="s">
        <v>648</v>
      </c>
      <c r="F166" s="509"/>
      <c r="G166" s="201"/>
      <c r="H166" s="510"/>
      <c r="I166" s="510"/>
      <c r="J166" s="510"/>
      <c r="K166" s="510"/>
      <c r="L166" s="510"/>
      <c r="M166" s="278"/>
      <c r="N166" s="245"/>
      <c r="O166" s="245"/>
      <c r="P166" s="105"/>
      <c r="Q166" s="105"/>
      <c r="R166" s="105"/>
      <c r="S166" s="105"/>
      <c r="T166" s="105"/>
      <c r="U166" s="245"/>
      <c r="V166" s="245"/>
      <c r="W166" s="105"/>
    </row>
  </sheetData>
  <mergeCells count="3">
    <mergeCell ref="A1:J1"/>
    <mergeCell ref="E166:F166"/>
    <mergeCell ref="H166:L166"/>
  </mergeCells>
  <phoneticPr fontId="2" type="noConversion"/>
  <pageMargins left="0.78740157480314965" right="0" top="0.15748031496062992" bottom="0.19685039370078741" header="0.62992125984251968" footer="0.4330708661417322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opLeftCell="A130" zoomScale="130" zoomScaleNormal="130" workbookViewId="0">
      <selection activeCell="E163" sqref="E163:F163"/>
    </sheetView>
  </sheetViews>
  <sheetFormatPr defaultRowHeight="12" x14ac:dyDescent="0.2"/>
  <cols>
    <col min="1" max="1" width="5.5703125" style="109" bestFit="1" customWidth="1"/>
    <col min="2" max="2" width="19" style="109" bestFit="1" customWidth="1"/>
    <col min="3" max="3" width="12.7109375" style="169" customWidth="1"/>
    <col min="4" max="4" width="14.7109375" style="260" customWidth="1"/>
    <col min="5" max="5" width="10" style="39" customWidth="1"/>
    <col min="6" max="6" width="13" style="39" customWidth="1"/>
    <col min="7" max="7" width="12" style="163" customWidth="1"/>
    <col min="8" max="9" width="9.140625" style="28"/>
  </cols>
  <sheetData>
    <row r="1" spans="1:9" ht="23.25" customHeight="1" x14ac:dyDescent="0.2">
      <c r="A1" s="517" t="s">
        <v>613</v>
      </c>
      <c r="B1" s="517"/>
      <c r="C1" s="517"/>
      <c r="D1" s="517"/>
      <c r="E1" s="517"/>
      <c r="F1" s="517"/>
      <c r="G1" s="517"/>
      <c r="H1" s="38"/>
      <c r="I1" s="38"/>
    </row>
    <row r="2" spans="1:9" ht="33.75" x14ac:dyDescent="0.2">
      <c r="A2" s="82" t="s">
        <v>1</v>
      </c>
      <c r="B2" s="82" t="s">
        <v>0</v>
      </c>
      <c r="C2" s="82" t="s">
        <v>72</v>
      </c>
      <c r="D2" s="87" t="s">
        <v>78</v>
      </c>
      <c r="E2" s="82" t="s">
        <v>74</v>
      </c>
      <c r="F2" s="82" t="s">
        <v>90</v>
      </c>
      <c r="G2" s="83" t="s">
        <v>76</v>
      </c>
    </row>
    <row r="3" spans="1:9" ht="11.25" x14ac:dyDescent="0.2">
      <c r="A3" s="164">
        <v>1</v>
      </c>
      <c r="B3" s="285" t="s">
        <v>331</v>
      </c>
      <c r="C3" s="331">
        <v>394.86</v>
      </c>
      <c r="D3" s="233" t="s">
        <v>20</v>
      </c>
      <c r="E3" s="233" t="s">
        <v>20</v>
      </c>
      <c r="F3" s="233" t="s">
        <v>20</v>
      </c>
      <c r="G3" s="233" t="s">
        <v>20</v>
      </c>
    </row>
    <row r="4" spans="1:9" ht="11.25" x14ac:dyDescent="0.2">
      <c r="A4" s="164">
        <v>2</v>
      </c>
      <c r="B4" s="285" t="s">
        <v>332</v>
      </c>
      <c r="C4" s="330">
        <v>326.89999999999998</v>
      </c>
      <c r="D4" s="233" t="s">
        <v>20</v>
      </c>
      <c r="E4" s="233" t="s">
        <v>20</v>
      </c>
      <c r="F4" s="233" t="s">
        <v>20</v>
      </c>
      <c r="G4" s="233" t="s">
        <v>20</v>
      </c>
    </row>
    <row r="5" spans="1:9" ht="11.25" x14ac:dyDescent="0.2">
      <c r="A5" s="164">
        <v>3</v>
      </c>
      <c r="B5" s="285" t="s">
        <v>333</v>
      </c>
      <c r="C5" s="330">
        <v>490.6</v>
      </c>
      <c r="D5" s="233" t="s">
        <v>20</v>
      </c>
      <c r="E5" s="233" t="s">
        <v>20</v>
      </c>
      <c r="F5" s="233" t="s">
        <v>20</v>
      </c>
      <c r="G5" s="233" t="s">
        <v>20</v>
      </c>
    </row>
    <row r="6" spans="1:9" ht="11.25" x14ac:dyDescent="0.2">
      <c r="A6" s="164">
        <v>4</v>
      </c>
      <c r="B6" s="285" t="s">
        <v>334</v>
      </c>
      <c r="C6" s="330">
        <v>341.5</v>
      </c>
      <c r="D6" s="233" t="s">
        <v>20</v>
      </c>
      <c r="E6" s="233" t="s">
        <v>20</v>
      </c>
      <c r="F6" s="233" t="s">
        <v>20</v>
      </c>
      <c r="G6" s="233" t="s">
        <v>20</v>
      </c>
    </row>
    <row r="7" spans="1:9" ht="11.25" x14ac:dyDescent="0.2">
      <c r="A7" s="164">
        <v>5</v>
      </c>
      <c r="B7" s="285" t="s">
        <v>335</v>
      </c>
      <c r="C7" s="330">
        <v>375.1</v>
      </c>
      <c r="D7" s="233" t="s">
        <v>20</v>
      </c>
      <c r="E7" s="233" t="s">
        <v>20</v>
      </c>
      <c r="F7" s="233" t="s">
        <v>20</v>
      </c>
      <c r="G7" s="233" t="s">
        <v>20</v>
      </c>
    </row>
    <row r="8" spans="1:9" ht="11.25" x14ac:dyDescent="0.2">
      <c r="A8" s="164">
        <v>6</v>
      </c>
      <c r="B8" s="285" t="s">
        <v>336</v>
      </c>
      <c r="C8" s="330">
        <v>386.23</v>
      </c>
      <c r="D8" s="233" t="s">
        <v>20</v>
      </c>
      <c r="E8" s="233" t="s">
        <v>20</v>
      </c>
      <c r="F8" s="233" t="s">
        <v>20</v>
      </c>
      <c r="G8" s="233" t="s">
        <v>20</v>
      </c>
    </row>
    <row r="9" spans="1:9" ht="11.25" x14ac:dyDescent="0.2">
      <c r="A9" s="164">
        <v>7</v>
      </c>
      <c r="B9" s="285" t="s">
        <v>337</v>
      </c>
      <c r="C9" s="330">
        <v>917</v>
      </c>
      <c r="D9" s="233">
        <v>434.3</v>
      </c>
      <c r="E9" s="82">
        <v>0.25</v>
      </c>
      <c r="F9" s="82">
        <f>D9*E9</f>
        <v>108.575</v>
      </c>
      <c r="G9" s="83">
        <f t="shared" ref="G9:G161" si="0">(F9/C9/12)*2</f>
        <v>1.9733733187931663E-2</v>
      </c>
    </row>
    <row r="10" spans="1:9" ht="11.25" x14ac:dyDescent="0.2">
      <c r="A10" s="164">
        <v>8</v>
      </c>
      <c r="B10" s="285" t="s">
        <v>338</v>
      </c>
      <c r="C10" s="330">
        <v>354.4</v>
      </c>
      <c r="D10" s="233" t="s">
        <v>20</v>
      </c>
      <c r="E10" s="233" t="s">
        <v>20</v>
      </c>
      <c r="F10" s="233" t="s">
        <v>20</v>
      </c>
      <c r="G10" s="233" t="s">
        <v>20</v>
      </c>
    </row>
    <row r="11" spans="1:9" ht="11.25" x14ac:dyDescent="0.2">
      <c r="A11" s="164">
        <v>9</v>
      </c>
      <c r="B11" s="285" t="s">
        <v>339</v>
      </c>
      <c r="C11" s="330">
        <v>634.4</v>
      </c>
      <c r="D11" s="233">
        <v>282.2</v>
      </c>
      <c r="E11" s="82">
        <v>0.25</v>
      </c>
      <c r="F11" s="82">
        <f>D11*E11</f>
        <v>70.55</v>
      </c>
      <c r="G11" s="83">
        <f t="shared" si="0"/>
        <v>1.8534573350147122E-2</v>
      </c>
    </row>
    <row r="12" spans="1:9" ht="11.25" x14ac:dyDescent="0.2">
      <c r="A12" s="164">
        <v>10</v>
      </c>
      <c r="B12" s="285" t="s">
        <v>340</v>
      </c>
      <c r="C12" s="330">
        <v>637.20000000000005</v>
      </c>
      <c r="D12" s="233">
        <v>293.10000000000002</v>
      </c>
      <c r="E12" s="82">
        <v>0.25</v>
      </c>
      <c r="F12" s="82">
        <f>D12*E12</f>
        <v>73.275000000000006</v>
      </c>
      <c r="G12" s="83">
        <f t="shared" si="0"/>
        <v>1.9165881983678596E-2</v>
      </c>
    </row>
    <row r="13" spans="1:9" ht="11.25" x14ac:dyDescent="0.2">
      <c r="A13" s="164">
        <v>11</v>
      </c>
      <c r="B13" s="285" t="s">
        <v>341</v>
      </c>
      <c r="C13" s="330">
        <v>463.8</v>
      </c>
      <c r="D13" s="233">
        <v>158.4</v>
      </c>
      <c r="E13" s="82">
        <v>0.25</v>
      </c>
      <c r="F13" s="82">
        <f>D13*E13</f>
        <v>39.6</v>
      </c>
      <c r="G13" s="83">
        <f t="shared" si="0"/>
        <v>1.4230271668822769E-2</v>
      </c>
    </row>
    <row r="14" spans="1:9" ht="11.25" x14ac:dyDescent="0.2">
      <c r="A14" s="164">
        <v>12</v>
      </c>
      <c r="B14" s="285" t="s">
        <v>342</v>
      </c>
      <c r="C14" s="330">
        <v>633.29999999999995</v>
      </c>
      <c r="D14" s="233" t="s">
        <v>20</v>
      </c>
      <c r="E14" s="233" t="s">
        <v>20</v>
      </c>
      <c r="F14" s="233" t="s">
        <v>20</v>
      </c>
      <c r="G14" s="233" t="s">
        <v>20</v>
      </c>
    </row>
    <row r="15" spans="1:9" ht="11.25" x14ac:dyDescent="0.2">
      <c r="A15" s="164">
        <v>13</v>
      </c>
      <c r="B15" s="285" t="s">
        <v>343</v>
      </c>
      <c r="C15" s="330">
        <v>379.5</v>
      </c>
      <c r="D15" s="233" t="s">
        <v>20</v>
      </c>
      <c r="E15" s="233" t="s">
        <v>20</v>
      </c>
      <c r="F15" s="233" t="s">
        <v>20</v>
      </c>
      <c r="G15" s="233" t="s">
        <v>20</v>
      </c>
    </row>
    <row r="16" spans="1:9" ht="11.25" x14ac:dyDescent="0.2">
      <c r="A16" s="164">
        <v>14</v>
      </c>
      <c r="B16" s="285" t="s">
        <v>344</v>
      </c>
      <c r="C16" s="330">
        <v>916.4</v>
      </c>
      <c r="D16" s="87">
        <v>468.8</v>
      </c>
      <c r="E16" s="82">
        <v>0.25</v>
      </c>
      <c r="F16" s="82">
        <f>D16*E16</f>
        <v>117.2</v>
      </c>
      <c r="G16" s="83">
        <f t="shared" si="0"/>
        <v>2.1315291721227994E-2</v>
      </c>
    </row>
    <row r="17" spans="1:7" ht="11.25" x14ac:dyDescent="0.2">
      <c r="A17" s="164">
        <v>15</v>
      </c>
      <c r="B17" s="285" t="s">
        <v>345</v>
      </c>
      <c r="C17" s="330">
        <v>922.1</v>
      </c>
      <c r="D17" s="87">
        <v>468.8</v>
      </c>
      <c r="E17" s="82">
        <v>0.25</v>
      </c>
      <c r="F17" s="82">
        <f>D17*E17</f>
        <v>117.2</v>
      </c>
      <c r="G17" s="83">
        <f t="shared" si="0"/>
        <v>2.1183530347395438E-2</v>
      </c>
    </row>
    <row r="18" spans="1:7" ht="11.25" x14ac:dyDescent="0.2">
      <c r="A18" s="164">
        <v>16</v>
      </c>
      <c r="B18" s="285" t="s">
        <v>346</v>
      </c>
      <c r="C18" s="330">
        <v>490.3</v>
      </c>
      <c r="D18" s="87">
        <v>277.8</v>
      </c>
      <c r="E18" s="82">
        <v>0.25</v>
      </c>
      <c r="F18" s="82">
        <f>D18*E18</f>
        <v>69.45</v>
      </c>
      <c r="G18" s="83">
        <f t="shared" si="0"/>
        <v>2.3607995105037732E-2</v>
      </c>
    </row>
    <row r="19" spans="1:7" ht="11.25" x14ac:dyDescent="0.2">
      <c r="A19" s="164">
        <v>17</v>
      </c>
      <c r="B19" s="285" t="s">
        <v>347</v>
      </c>
      <c r="C19" s="330">
        <v>502.4</v>
      </c>
      <c r="D19" s="87">
        <v>277.8</v>
      </c>
      <c r="E19" s="82">
        <v>0.25</v>
      </c>
      <c r="F19" s="82">
        <f>D19*E19</f>
        <v>69.45</v>
      </c>
      <c r="G19" s="83">
        <f t="shared" si="0"/>
        <v>2.3039410828025478E-2</v>
      </c>
    </row>
    <row r="20" spans="1:7" ht="11.25" x14ac:dyDescent="0.2">
      <c r="A20" s="164">
        <v>18</v>
      </c>
      <c r="B20" s="285" t="s">
        <v>348</v>
      </c>
      <c r="C20" s="330">
        <v>655.29999999999995</v>
      </c>
      <c r="D20" s="87" t="s">
        <v>20</v>
      </c>
      <c r="E20" s="87" t="s">
        <v>20</v>
      </c>
      <c r="F20" s="82" t="s">
        <v>20</v>
      </c>
      <c r="G20" s="83" t="s">
        <v>20</v>
      </c>
    </row>
    <row r="21" spans="1:7" ht="11.25" x14ac:dyDescent="0.2">
      <c r="A21" s="164">
        <v>19</v>
      </c>
      <c r="B21" s="285" t="s">
        <v>349</v>
      </c>
      <c r="C21" s="330">
        <v>663.8</v>
      </c>
      <c r="D21" s="87" t="s">
        <v>20</v>
      </c>
      <c r="E21" s="87" t="s">
        <v>20</v>
      </c>
      <c r="F21" s="87" t="s">
        <v>20</v>
      </c>
      <c r="G21" s="87" t="s">
        <v>20</v>
      </c>
    </row>
    <row r="22" spans="1:7" ht="11.25" x14ac:dyDescent="0.2">
      <c r="A22" s="164">
        <v>20</v>
      </c>
      <c r="B22" s="285" t="s">
        <v>350</v>
      </c>
      <c r="C22" s="330">
        <v>679.3</v>
      </c>
      <c r="D22" s="87" t="s">
        <v>20</v>
      </c>
      <c r="E22" s="87" t="s">
        <v>20</v>
      </c>
      <c r="F22" s="87" t="s">
        <v>20</v>
      </c>
      <c r="G22" s="87" t="s">
        <v>20</v>
      </c>
    </row>
    <row r="23" spans="1:7" ht="11.25" x14ac:dyDescent="0.2">
      <c r="A23" s="164">
        <v>21</v>
      </c>
      <c r="B23" s="285" t="s">
        <v>351</v>
      </c>
      <c r="C23" s="330">
        <v>828.8</v>
      </c>
      <c r="D23" s="87">
        <v>469.3</v>
      </c>
      <c r="E23" s="82">
        <v>0.25</v>
      </c>
      <c r="F23" s="82">
        <f t="shared" ref="F23:F28" si="1">D23*E23</f>
        <v>117.325</v>
      </c>
      <c r="G23" s="83">
        <f t="shared" si="0"/>
        <v>2.3593347812097817E-2</v>
      </c>
    </row>
    <row r="24" spans="1:7" ht="11.25" x14ac:dyDescent="0.2">
      <c r="A24" s="164">
        <v>22</v>
      </c>
      <c r="B24" s="285" t="s">
        <v>352</v>
      </c>
      <c r="C24" s="330">
        <v>1413.6</v>
      </c>
      <c r="D24" s="87">
        <v>823.7</v>
      </c>
      <c r="E24" s="82">
        <v>0.25</v>
      </c>
      <c r="F24" s="82">
        <f t="shared" si="1"/>
        <v>205.92500000000001</v>
      </c>
      <c r="G24" s="83">
        <f t="shared" si="0"/>
        <v>2.4279027541973214E-2</v>
      </c>
    </row>
    <row r="25" spans="1:7" ht="11.25" x14ac:dyDescent="0.2">
      <c r="A25" s="164">
        <v>23</v>
      </c>
      <c r="B25" s="285" t="s">
        <v>353</v>
      </c>
      <c r="C25" s="330">
        <v>1478</v>
      </c>
      <c r="D25" s="87">
        <v>811.8</v>
      </c>
      <c r="E25" s="82">
        <v>0.25</v>
      </c>
      <c r="F25" s="82">
        <f t="shared" si="1"/>
        <v>202.95</v>
      </c>
      <c r="G25" s="83">
        <f t="shared" si="0"/>
        <v>2.2885656292286876E-2</v>
      </c>
    </row>
    <row r="26" spans="1:7" ht="11.25" x14ac:dyDescent="0.2">
      <c r="A26" s="164">
        <v>24</v>
      </c>
      <c r="B26" s="285" t="s">
        <v>354</v>
      </c>
      <c r="C26" s="330">
        <v>848.6</v>
      </c>
      <c r="D26" s="87">
        <v>449.1</v>
      </c>
      <c r="E26" s="82">
        <v>0.25</v>
      </c>
      <c r="F26" s="82">
        <f t="shared" si="1"/>
        <v>112.27500000000001</v>
      </c>
      <c r="G26" s="83">
        <f t="shared" si="0"/>
        <v>2.2051025218006129E-2</v>
      </c>
    </row>
    <row r="27" spans="1:7" ht="11.25" x14ac:dyDescent="0.2">
      <c r="A27" s="164">
        <v>25</v>
      </c>
      <c r="B27" s="285" t="s">
        <v>355</v>
      </c>
      <c r="C27" s="330">
        <v>834.8</v>
      </c>
      <c r="D27" s="87">
        <v>459.1</v>
      </c>
      <c r="E27" s="82">
        <v>0.25</v>
      </c>
      <c r="F27" s="82">
        <f t="shared" si="1"/>
        <v>114.77500000000001</v>
      </c>
      <c r="G27" s="83">
        <f t="shared" si="0"/>
        <v>2.2914670180482353E-2</v>
      </c>
    </row>
    <row r="28" spans="1:7" ht="11.25" x14ac:dyDescent="0.2">
      <c r="A28" s="164">
        <v>26</v>
      </c>
      <c r="B28" s="285" t="s">
        <v>356</v>
      </c>
      <c r="C28" s="330">
        <v>848.8</v>
      </c>
      <c r="D28" s="87">
        <v>459.1</v>
      </c>
      <c r="E28" s="82">
        <v>0.25</v>
      </c>
      <c r="F28" s="82">
        <f t="shared" si="1"/>
        <v>114.77500000000001</v>
      </c>
      <c r="G28" s="83">
        <f t="shared" si="0"/>
        <v>2.2536718504555454E-2</v>
      </c>
    </row>
    <row r="29" spans="1:7" ht="11.25" x14ac:dyDescent="0.2">
      <c r="A29" s="164">
        <v>27</v>
      </c>
      <c r="B29" s="285" t="s">
        <v>357</v>
      </c>
      <c r="C29" s="330">
        <v>646.76</v>
      </c>
      <c r="D29" s="87" t="s">
        <v>20</v>
      </c>
      <c r="E29" s="87" t="s">
        <v>20</v>
      </c>
      <c r="F29" s="87" t="s">
        <v>20</v>
      </c>
      <c r="G29" s="87" t="s">
        <v>20</v>
      </c>
    </row>
    <row r="30" spans="1:7" ht="11.25" x14ac:dyDescent="0.2">
      <c r="A30" s="164">
        <v>28</v>
      </c>
      <c r="B30" s="285" t="s">
        <v>358</v>
      </c>
      <c r="C30" s="330">
        <v>638.20000000000005</v>
      </c>
      <c r="D30" s="87" t="s">
        <v>20</v>
      </c>
      <c r="E30" s="87" t="s">
        <v>20</v>
      </c>
      <c r="F30" s="87" t="s">
        <v>20</v>
      </c>
      <c r="G30" s="87" t="s">
        <v>20</v>
      </c>
    </row>
    <row r="31" spans="1:7" ht="11.25" x14ac:dyDescent="0.2">
      <c r="A31" s="164">
        <v>29</v>
      </c>
      <c r="B31" s="285" t="s">
        <v>359</v>
      </c>
      <c r="C31" s="330">
        <v>385.2</v>
      </c>
      <c r="D31" s="87" t="s">
        <v>20</v>
      </c>
      <c r="E31" s="87" t="s">
        <v>20</v>
      </c>
      <c r="F31" s="87" t="s">
        <v>20</v>
      </c>
      <c r="G31" s="87" t="s">
        <v>20</v>
      </c>
    </row>
    <row r="32" spans="1:7" ht="11.25" x14ac:dyDescent="0.2">
      <c r="A32" s="164">
        <v>30</v>
      </c>
      <c r="B32" s="285" t="s">
        <v>360</v>
      </c>
      <c r="C32" s="330">
        <v>398.4</v>
      </c>
      <c r="D32" s="87" t="s">
        <v>20</v>
      </c>
      <c r="E32" s="87" t="s">
        <v>20</v>
      </c>
      <c r="F32" s="87" t="s">
        <v>20</v>
      </c>
      <c r="G32" s="87" t="s">
        <v>20</v>
      </c>
    </row>
    <row r="33" spans="1:7" ht="11.25" x14ac:dyDescent="0.2">
      <c r="A33" s="164">
        <v>31</v>
      </c>
      <c r="B33" s="285" t="s">
        <v>361</v>
      </c>
      <c r="C33" s="330">
        <v>977.25</v>
      </c>
      <c r="D33" s="87" t="s">
        <v>20</v>
      </c>
      <c r="E33" s="87" t="s">
        <v>20</v>
      </c>
      <c r="F33" s="87" t="s">
        <v>20</v>
      </c>
      <c r="G33" s="87" t="s">
        <v>20</v>
      </c>
    </row>
    <row r="34" spans="1:7" ht="11.25" x14ac:dyDescent="0.2">
      <c r="A34" s="164">
        <v>32</v>
      </c>
      <c r="B34" s="285" t="s">
        <v>362</v>
      </c>
      <c r="C34" s="330">
        <v>796.2</v>
      </c>
      <c r="D34" s="87" t="s">
        <v>20</v>
      </c>
      <c r="E34" s="87" t="s">
        <v>20</v>
      </c>
      <c r="F34" s="87" t="s">
        <v>20</v>
      </c>
      <c r="G34" s="87" t="s">
        <v>20</v>
      </c>
    </row>
    <row r="35" spans="1:7" ht="11.25" x14ac:dyDescent="0.2">
      <c r="A35" s="164">
        <v>33</v>
      </c>
      <c r="B35" s="285" t="s">
        <v>363</v>
      </c>
      <c r="C35" s="330">
        <v>394.3</v>
      </c>
      <c r="D35" s="87" t="s">
        <v>20</v>
      </c>
      <c r="E35" s="87" t="s">
        <v>20</v>
      </c>
      <c r="F35" s="87" t="s">
        <v>20</v>
      </c>
      <c r="G35" s="87" t="s">
        <v>20</v>
      </c>
    </row>
    <row r="36" spans="1:7" ht="11.25" x14ac:dyDescent="0.2">
      <c r="A36" s="164">
        <v>34</v>
      </c>
      <c r="B36" s="285" t="s">
        <v>364</v>
      </c>
      <c r="C36" s="330">
        <v>462.9</v>
      </c>
      <c r="D36" s="87" t="s">
        <v>20</v>
      </c>
      <c r="E36" s="87" t="s">
        <v>20</v>
      </c>
      <c r="F36" s="87" t="s">
        <v>20</v>
      </c>
      <c r="G36" s="87" t="s">
        <v>20</v>
      </c>
    </row>
    <row r="37" spans="1:7" ht="11.25" x14ac:dyDescent="0.2">
      <c r="A37" s="164">
        <v>35</v>
      </c>
      <c r="B37" s="285" t="s">
        <v>365</v>
      </c>
      <c r="C37" s="330">
        <v>411.79</v>
      </c>
      <c r="D37" s="87" t="s">
        <v>20</v>
      </c>
      <c r="E37" s="87" t="s">
        <v>20</v>
      </c>
      <c r="F37" s="87" t="s">
        <v>20</v>
      </c>
      <c r="G37" s="87" t="s">
        <v>20</v>
      </c>
    </row>
    <row r="38" spans="1:7" ht="11.25" x14ac:dyDescent="0.2">
      <c r="A38" s="164">
        <v>36</v>
      </c>
      <c r="B38" s="285" t="s">
        <v>366</v>
      </c>
      <c r="C38" s="330">
        <v>674.2</v>
      </c>
      <c r="D38" s="87" t="s">
        <v>20</v>
      </c>
      <c r="E38" s="87" t="s">
        <v>20</v>
      </c>
      <c r="F38" s="87" t="s">
        <v>20</v>
      </c>
      <c r="G38" s="87" t="s">
        <v>20</v>
      </c>
    </row>
    <row r="39" spans="1:7" ht="11.25" x14ac:dyDescent="0.2">
      <c r="A39" s="164">
        <v>37</v>
      </c>
      <c r="B39" s="285" t="s">
        <v>367</v>
      </c>
      <c r="C39" s="330">
        <v>169</v>
      </c>
      <c r="D39" s="87" t="s">
        <v>20</v>
      </c>
      <c r="E39" s="87" t="s">
        <v>20</v>
      </c>
      <c r="F39" s="87" t="s">
        <v>20</v>
      </c>
      <c r="G39" s="87" t="s">
        <v>20</v>
      </c>
    </row>
    <row r="40" spans="1:7" ht="11.25" x14ac:dyDescent="0.2">
      <c r="A40" s="164">
        <v>38</v>
      </c>
      <c r="B40" s="285" t="s">
        <v>368</v>
      </c>
      <c r="C40" s="330">
        <v>175.4</v>
      </c>
      <c r="D40" s="87" t="s">
        <v>20</v>
      </c>
      <c r="E40" s="87" t="s">
        <v>20</v>
      </c>
      <c r="F40" s="87" t="s">
        <v>20</v>
      </c>
      <c r="G40" s="87" t="s">
        <v>20</v>
      </c>
    </row>
    <row r="41" spans="1:7" ht="11.25" x14ac:dyDescent="0.2">
      <c r="A41" s="164">
        <v>39</v>
      </c>
      <c r="B41" s="285" t="s">
        <v>369</v>
      </c>
      <c r="C41" s="330">
        <v>173.5</v>
      </c>
      <c r="D41" s="87" t="s">
        <v>20</v>
      </c>
      <c r="E41" s="87" t="s">
        <v>20</v>
      </c>
      <c r="F41" s="87" t="s">
        <v>20</v>
      </c>
      <c r="G41" s="87" t="s">
        <v>20</v>
      </c>
    </row>
    <row r="42" spans="1:7" ht="11.25" x14ac:dyDescent="0.2">
      <c r="A42" s="164">
        <v>40</v>
      </c>
      <c r="B42" s="285" t="s">
        <v>370</v>
      </c>
      <c r="C42" s="330">
        <v>182</v>
      </c>
      <c r="D42" s="87">
        <v>91.5</v>
      </c>
      <c r="E42" s="82">
        <v>0.25</v>
      </c>
      <c r="F42" s="82">
        <f>D42*E42</f>
        <v>22.875</v>
      </c>
      <c r="G42" s="83">
        <f t="shared" si="0"/>
        <v>2.0947802197802196E-2</v>
      </c>
    </row>
    <row r="43" spans="1:7" ht="11.25" x14ac:dyDescent="0.2">
      <c r="A43" s="164">
        <v>41</v>
      </c>
      <c r="B43" s="285" t="s">
        <v>371</v>
      </c>
      <c r="C43" s="330">
        <v>629.6</v>
      </c>
      <c r="D43" s="87" t="s">
        <v>20</v>
      </c>
      <c r="E43" s="87" t="s">
        <v>20</v>
      </c>
      <c r="F43" s="87" t="s">
        <v>20</v>
      </c>
      <c r="G43" s="87" t="s">
        <v>20</v>
      </c>
    </row>
    <row r="44" spans="1:7" ht="11.25" x14ac:dyDescent="0.2">
      <c r="A44" s="164">
        <v>42</v>
      </c>
      <c r="B44" s="285" t="s">
        <v>372</v>
      </c>
      <c r="C44" s="330">
        <v>628.9</v>
      </c>
      <c r="D44" s="335" t="s">
        <v>20</v>
      </c>
      <c r="E44" s="335" t="s">
        <v>20</v>
      </c>
      <c r="F44" s="335" t="s">
        <v>20</v>
      </c>
      <c r="G44" s="335" t="s">
        <v>20</v>
      </c>
    </row>
    <row r="45" spans="1:7" ht="11.25" x14ac:dyDescent="0.2">
      <c r="A45" s="164">
        <v>43</v>
      </c>
      <c r="B45" s="285" t="s">
        <v>373</v>
      </c>
      <c r="C45" s="330">
        <v>509.3</v>
      </c>
      <c r="D45" s="87">
        <v>291.3</v>
      </c>
      <c r="E45" s="82">
        <v>0.25</v>
      </c>
      <c r="F45" s="82">
        <f>D45*E45</f>
        <v>72.825000000000003</v>
      </c>
      <c r="G45" s="83">
        <f t="shared" si="0"/>
        <v>2.3831729825250347E-2</v>
      </c>
    </row>
    <row r="46" spans="1:7" ht="11.25" x14ac:dyDescent="0.2">
      <c r="A46" s="164">
        <v>44</v>
      </c>
      <c r="B46" s="285" t="s">
        <v>374</v>
      </c>
      <c r="C46" s="330">
        <v>404.4</v>
      </c>
      <c r="D46" s="87" t="s">
        <v>20</v>
      </c>
      <c r="E46" s="87" t="s">
        <v>20</v>
      </c>
      <c r="F46" s="87" t="s">
        <v>20</v>
      </c>
      <c r="G46" s="87" t="s">
        <v>20</v>
      </c>
    </row>
    <row r="47" spans="1:7" ht="11.25" x14ac:dyDescent="0.2">
      <c r="A47" s="164">
        <v>45</v>
      </c>
      <c r="B47" s="285" t="s">
        <v>375</v>
      </c>
      <c r="C47" s="330">
        <v>409.8</v>
      </c>
      <c r="D47" s="87" t="s">
        <v>20</v>
      </c>
      <c r="E47" s="87" t="s">
        <v>20</v>
      </c>
      <c r="F47" s="87" t="s">
        <v>20</v>
      </c>
      <c r="G47" s="87" t="s">
        <v>20</v>
      </c>
    </row>
    <row r="48" spans="1:7" ht="11.25" x14ac:dyDescent="0.2">
      <c r="A48" s="164">
        <v>46</v>
      </c>
      <c r="B48" s="285" t="s">
        <v>376</v>
      </c>
      <c r="C48" s="330">
        <v>374.7</v>
      </c>
      <c r="D48" s="87" t="s">
        <v>20</v>
      </c>
      <c r="E48" s="87" t="s">
        <v>20</v>
      </c>
      <c r="F48" s="87" t="s">
        <v>20</v>
      </c>
      <c r="G48" s="87" t="s">
        <v>20</v>
      </c>
    </row>
    <row r="49" spans="1:7" ht="11.25" x14ac:dyDescent="0.2">
      <c r="A49" s="164">
        <v>47</v>
      </c>
      <c r="B49" s="285" t="s">
        <v>377</v>
      </c>
      <c r="C49" s="330">
        <v>618.4</v>
      </c>
      <c r="D49" s="87" t="s">
        <v>20</v>
      </c>
      <c r="E49" s="87" t="s">
        <v>20</v>
      </c>
      <c r="F49" s="87" t="s">
        <v>20</v>
      </c>
      <c r="G49" s="87" t="s">
        <v>20</v>
      </c>
    </row>
    <row r="50" spans="1:7" ht="11.25" x14ac:dyDescent="0.2">
      <c r="A50" s="164">
        <v>48</v>
      </c>
      <c r="B50" s="285" t="s">
        <v>378</v>
      </c>
      <c r="C50" s="330">
        <v>1126.3</v>
      </c>
      <c r="D50" s="87">
        <v>125.5</v>
      </c>
      <c r="E50" s="82">
        <v>0.25</v>
      </c>
      <c r="F50" s="82">
        <f>D50*E50</f>
        <v>31.375</v>
      </c>
      <c r="G50" s="83">
        <f t="shared" si="0"/>
        <v>4.6427831542809788E-3</v>
      </c>
    </row>
    <row r="51" spans="1:7" ht="11.25" x14ac:dyDescent="0.2">
      <c r="A51" s="164">
        <v>49</v>
      </c>
      <c r="B51" s="285" t="s">
        <v>379</v>
      </c>
      <c r="C51" s="330">
        <v>617</v>
      </c>
      <c r="D51" s="87">
        <v>308.2</v>
      </c>
      <c r="E51" s="82">
        <v>0.25</v>
      </c>
      <c r="F51" s="82">
        <f>D51*E51</f>
        <v>77.05</v>
      </c>
      <c r="G51" s="83">
        <f t="shared" si="0"/>
        <v>2.0813074014046463E-2</v>
      </c>
    </row>
    <row r="52" spans="1:7" ht="11.25" x14ac:dyDescent="0.2">
      <c r="A52" s="164">
        <v>50</v>
      </c>
      <c r="B52" s="285" t="s">
        <v>380</v>
      </c>
      <c r="C52" s="330">
        <v>452</v>
      </c>
      <c r="D52" s="87" t="s">
        <v>20</v>
      </c>
      <c r="E52" s="87" t="s">
        <v>20</v>
      </c>
      <c r="F52" s="87" t="s">
        <v>20</v>
      </c>
      <c r="G52" s="87" t="s">
        <v>20</v>
      </c>
    </row>
    <row r="53" spans="1:7" ht="11.25" x14ac:dyDescent="0.2">
      <c r="A53" s="164">
        <v>51</v>
      </c>
      <c r="B53" s="285" t="s">
        <v>381</v>
      </c>
      <c r="C53" s="330">
        <v>1245.5999999999999</v>
      </c>
      <c r="D53" s="87">
        <v>171.6</v>
      </c>
      <c r="E53" s="82">
        <v>0.25</v>
      </c>
      <c r="F53" s="82">
        <f>D53*E53</f>
        <v>42.9</v>
      </c>
      <c r="G53" s="83">
        <f t="shared" si="0"/>
        <v>5.7402055234425176E-3</v>
      </c>
    </row>
    <row r="54" spans="1:7" ht="11.25" x14ac:dyDescent="0.2">
      <c r="A54" s="164">
        <v>52</v>
      </c>
      <c r="B54" s="285" t="s">
        <v>382</v>
      </c>
      <c r="C54" s="330">
        <v>1275.5999999999999</v>
      </c>
      <c r="D54" s="87">
        <v>446</v>
      </c>
      <c r="E54" s="82">
        <v>0.25</v>
      </c>
      <c r="F54" s="82">
        <f>D54*E54</f>
        <v>111.5</v>
      </c>
      <c r="G54" s="83">
        <f t="shared" si="0"/>
        <v>1.456830772446953E-2</v>
      </c>
    </row>
    <row r="55" spans="1:7" ht="11.25" x14ac:dyDescent="0.2">
      <c r="A55" s="164">
        <v>53</v>
      </c>
      <c r="B55" s="285" t="s">
        <v>383</v>
      </c>
      <c r="C55" s="330">
        <v>942.4</v>
      </c>
      <c r="D55" s="87" t="s">
        <v>20</v>
      </c>
      <c r="E55" s="87" t="s">
        <v>20</v>
      </c>
      <c r="F55" s="87" t="s">
        <v>20</v>
      </c>
      <c r="G55" s="87" t="s">
        <v>20</v>
      </c>
    </row>
    <row r="56" spans="1:7" ht="11.25" x14ac:dyDescent="0.2">
      <c r="A56" s="164">
        <v>54</v>
      </c>
      <c r="B56" s="285" t="s">
        <v>384</v>
      </c>
      <c r="C56" s="330">
        <v>567.95000000000005</v>
      </c>
      <c r="D56" s="87">
        <v>172.9</v>
      </c>
      <c r="E56" s="82">
        <v>0.25</v>
      </c>
      <c r="F56" s="82">
        <f>D56*E56</f>
        <v>43.225000000000001</v>
      </c>
      <c r="G56" s="83">
        <f t="shared" si="0"/>
        <v>1.2684508612847374E-2</v>
      </c>
    </row>
    <row r="57" spans="1:7" ht="11.25" x14ac:dyDescent="0.2">
      <c r="A57" s="164">
        <v>55</v>
      </c>
      <c r="B57" s="285" t="s">
        <v>385</v>
      </c>
      <c r="C57" s="330">
        <v>1119.5999999999999</v>
      </c>
      <c r="D57" s="87">
        <v>111.5</v>
      </c>
      <c r="E57" s="82">
        <v>0.25</v>
      </c>
      <c r="F57" s="82">
        <f>D57*E57</f>
        <v>27.875</v>
      </c>
      <c r="G57" s="83">
        <f t="shared" si="0"/>
        <v>4.1495474574252712E-3</v>
      </c>
    </row>
    <row r="58" spans="1:7" ht="11.25" x14ac:dyDescent="0.2">
      <c r="A58" s="164">
        <v>56</v>
      </c>
      <c r="B58" s="285" t="s">
        <v>386</v>
      </c>
      <c r="C58" s="330">
        <v>946.6</v>
      </c>
      <c r="D58" s="87">
        <v>111.5</v>
      </c>
      <c r="E58" s="82">
        <v>0.25</v>
      </c>
      <c r="F58" s="82">
        <f>D58*E58</f>
        <v>27.875</v>
      </c>
      <c r="G58" s="83">
        <f t="shared" si="0"/>
        <v>4.9079160504260861E-3</v>
      </c>
    </row>
    <row r="59" spans="1:7" ht="11.25" x14ac:dyDescent="0.2">
      <c r="A59" s="164">
        <v>57</v>
      </c>
      <c r="B59" s="285" t="s">
        <v>387</v>
      </c>
      <c r="C59" s="330">
        <v>1375.7</v>
      </c>
      <c r="D59" s="87">
        <v>458.1</v>
      </c>
      <c r="E59" s="82">
        <v>0.25</v>
      </c>
      <c r="F59" s="82">
        <f>D59*E59</f>
        <v>114.52500000000001</v>
      </c>
      <c r="G59" s="83">
        <f t="shared" si="0"/>
        <v>1.387475467034964E-2</v>
      </c>
    </row>
    <row r="60" spans="1:7" ht="11.25" x14ac:dyDescent="0.2">
      <c r="A60" s="164">
        <v>58</v>
      </c>
      <c r="B60" s="285" t="s">
        <v>388</v>
      </c>
      <c r="C60" s="330">
        <v>1540.17</v>
      </c>
      <c r="D60" s="87" t="s">
        <v>20</v>
      </c>
      <c r="E60" s="87" t="s">
        <v>20</v>
      </c>
      <c r="F60" s="87" t="s">
        <v>20</v>
      </c>
      <c r="G60" s="87" t="s">
        <v>20</v>
      </c>
    </row>
    <row r="61" spans="1:7" ht="11.25" x14ac:dyDescent="0.2">
      <c r="A61" s="164">
        <v>59</v>
      </c>
      <c r="B61" s="285" t="s">
        <v>389</v>
      </c>
      <c r="C61" s="330">
        <v>1571.33</v>
      </c>
      <c r="D61" s="87" t="s">
        <v>20</v>
      </c>
      <c r="E61" s="87" t="s">
        <v>20</v>
      </c>
      <c r="F61" s="87" t="s">
        <v>20</v>
      </c>
      <c r="G61" s="87" t="s">
        <v>20</v>
      </c>
    </row>
    <row r="62" spans="1:7" ht="11.25" x14ac:dyDescent="0.2">
      <c r="A62" s="164">
        <v>60</v>
      </c>
      <c r="B62" s="285" t="s">
        <v>390</v>
      </c>
      <c r="C62" s="330">
        <v>1686.29</v>
      </c>
      <c r="D62" s="87" t="s">
        <v>20</v>
      </c>
      <c r="E62" s="87" t="s">
        <v>20</v>
      </c>
      <c r="F62" s="87" t="s">
        <v>20</v>
      </c>
      <c r="G62" s="87" t="s">
        <v>20</v>
      </c>
    </row>
    <row r="63" spans="1:7" ht="11.25" x14ac:dyDescent="0.2">
      <c r="A63" s="164">
        <v>61</v>
      </c>
      <c r="B63" s="285" t="s">
        <v>391</v>
      </c>
      <c r="C63" s="330">
        <v>454.2</v>
      </c>
      <c r="D63" s="87" t="s">
        <v>20</v>
      </c>
      <c r="E63" s="87" t="s">
        <v>20</v>
      </c>
      <c r="F63" s="87" t="s">
        <v>20</v>
      </c>
      <c r="G63" s="87" t="s">
        <v>20</v>
      </c>
    </row>
    <row r="64" spans="1:7" ht="11.25" x14ac:dyDescent="0.2">
      <c r="A64" s="164">
        <v>62</v>
      </c>
      <c r="B64" s="285" t="s">
        <v>392</v>
      </c>
      <c r="C64" s="330">
        <v>752.4</v>
      </c>
      <c r="D64" s="87" t="s">
        <v>20</v>
      </c>
      <c r="E64" s="87" t="s">
        <v>20</v>
      </c>
      <c r="F64" s="87" t="s">
        <v>20</v>
      </c>
      <c r="G64" s="87" t="s">
        <v>20</v>
      </c>
    </row>
    <row r="65" spans="1:7" ht="11.25" x14ac:dyDescent="0.2">
      <c r="A65" s="164">
        <v>63</v>
      </c>
      <c r="B65" s="285" t="s">
        <v>393</v>
      </c>
      <c r="C65" s="330">
        <v>956.4</v>
      </c>
      <c r="D65" s="87" t="s">
        <v>20</v>
      </c>
      <c r="E65" s="87" t="s">
        <v>20</v>
      </c>
      <c r="F65" s="87" t="s">
        <v>20</v>
      </c>
      <c r="G65" s="87" t="s">
        <v>20</v>
      </c>
    </row>
    <row r="66" spans="1:7" ht="11.25" x14ac:dyDescent="0.2">
      <c r="A66" s="164">
        <v>64</v>
      </c>
      <c r="B66" s="285" t="s">
        <v>394</v>
      </c>
      <c r="C66" s="330">
        <v>955.5</v>
      </c>
      <c r="D66" s="87" t="s">
        <v>20</v>
      </c>
      <c r="E66" s="87" t="s">
        <v>20</v>
      </c>
      <c r="F66" s="87" t="s">
        <v>20</v>
      </c>
      <c r="G66" s="87" t="s">
        <v>20</v>
      </c>
    </row>
    <row r="67" spans="1:7" ht="11.25" x14ac:dyDescent="0.2">
      <c r="A67" s="164">
        <v>65</v>
      </c>
      <c r="B67" s="285" t="s">
        <v>395</v>
      </c>
      <c r="C67" s="330">
        <v>1548.5</v>
      </c>
      <c r="D67" s="87" t="s">
        <v>20</v>
      </c>
      <c r="E67" s="87" t="s">
        <v>20</v>
      </c>
      <c r="F67" s="87" t="s">
        <v>20</v>
      </c>
      <c r="G67" s="87" t="s">
        <v>20</v>
      </c>
    </row>
    <row r="68" spans="1:7" ht="11.25" x14ac:dyDescent="0.2">
      <c r="A68" s="164">
        <v>66</v>
      </c>
      <c r="B68" s="285" t="s">
        <v>396</v>
      </c>
      <c r="C68" s="330">
        <v>1567.3</v>
      </c>
      <c r="D68" s="87" t="s">
        <v>20</v>
      </c>
      <c r="E68" s="87" t="s">
        <v>20</v>
      </c>
      <c r="F68" s="87" t="s">
        <v>20</v>
      </c>
      <c r="G68" s="87" t="s">
        <v>20</v>
      </c>
    </row>
    <row r="69" spans="1:7" ht="11.25" x14ac:dyDescent="0.2">
      <c r="A69" s="164">
        <v>67</v>
      </c>
      <c r="B69" s="285" t="s">
        <v>397</v>
      </c>
      <c r="C69" s="330">
        <v>1558.46</v>
      </c>
      <c r="D69" s="87" t="s">
        <v>20</v>
      </c>
      <c r="E69" s="87" t="s">
        <v>20</v>
      </c>
      <c r="F69" s="87" t="s">
        <v>20</v>
      </c>
      <c r="G69" s="87" t="s">
        <v>20</v>
      </c>
    </row>
    <row r="70" spans="1:7" ht="11.25" x14ac:dyDescent="0.2">
      <c r="A70" s="164">
        <v>68</v>
      </c>
      <c r="B70" s="285" t="s">
        <v>398</v>
      </c>
      <c r="C70" s="330">
        <v>1575.7</v>
      </c>
      <c r="D70" s="87" t="s">
        <v>20</v>
      </c>
      <c r="E70" s="87" t="s">
        <v>20</v>
      </c>
      <c r="F70" s="87" t="s">
        <v>20</v>
      </c>
      <c r="G70" s="87" t="s">
        <v>20</v>
      </c>
    </row>
    <row r="71" spans="1:7" ht="11.25" x14ac:dyDescent="0.2">
      <c r="A71" s="164">
        <v>69</v>
      </c>
      <c r="B71" s="285" t="s">
        <v>399</v>
      </c>
      <c r="C71" s="330">
        <v>1546.3</v>
      </c>
      <c r="D71" s="87" t="s">
        <v>20</v>
      </c>
      <c r="E71" s="87" t="s">
        <v>20</v>
      </c>
      <c r="F71" s="87" t="s">
        <v>20</v>
      </c>
      <c r="G71" s="87" t="s">
        <v>20</v>
      </c>
    </row>
    <row r="72" spans="1:7" ht="11.25" x14ac:dyDescent="0.2">
      <c r="A72" s="164">
        <v>70</v>
      </c>
      <c r="B72" s="285" t="s">
        <v>400</v>
      </c>
      <c r="C72" s="330">
        <v>563.1</v>
      </c>
      <c r="D72" s="87">
        <v>6.6</v>
      </c>
      <c r="E72" s="82">
        <v>0.25</v>
      </c>
      <c r="F72" s="82">
        <f>D72*E72</f>
        <v>1.65</v>
      </c>
      <c r="G72" s="83">
        <f t="shared" si="0"/>
        <v>4.8836796306162315E-4</v>
      </c>
    </row>
    <row r="73" spans="1:7" ht="11.25" x14ac:dyDescent="0.2">
      <c r="A73" s="164">
        <v>71</v>
      </c>
      <c r="B73" s="285" t="s">
        <v>401</v>
      </c>
      <c r="C73" s="330">
        <v>549.6</v>
      </c>
      <c r="D73" s="87">
        <v>198.4</v>
      </c>
      <c r="E73" s="82">
        <v>0.25</v>
      </c>
      <c r="F73" s="82">
        <f>D73*E73</f>
        <v>49.6</v>
      </c>
      <c r="G73" s="83">
        <f t="shared" si="0"/>
        <v>1.5041242115477922E-2</v>
      </c>
    </row>
    <row r="74" spans="1:7" ht="11.25" x14ac:dyDescent="0.2">
      <c r="A74" s="164">
        <v>72</v>
      </c>
      <c r="B74" s="285" t="s">
        <v>402</v>
      </c>
      <c r="C74" s="330">
        <v>983</v>
      </c>
      <c r="D74" s="87" t="s">
        <v>20</v>
      </c>
      <c r="E74" s="87" t="s">
        <v>20</v>
      </c>
      <c r="F74" s="87" t="s">
        <v>20</v>
      </c>
      <c r="G74" s="87" t="s">
        <v>20</v>
      </c>
    </row>
    <row r="75" spans="1:7" ht="11.25" x14ac:dyDescent="0.2">
      <c r="A75" s="164">
        <v>73</v>
      </c>
      <c r="B75" s="285" t="s">
        <v>403</v>
      </c>
      <c r="C75" s="330">
        <v>1093.5999999999999</v>
      </c>
      <c r="D75" s="87" t="s">
        <v>20</v>
      </c>
      <c r="E75" s="87" t="s">
        <v>20</v>
      </c>
      <c r="F75" s="87" t="s">
        <v>20</v>
      </c>
      <c r="G75" s="87" t="s">
        <v>20</v>
      </c>
    </row>
    <row r="76" spans="1:7" ht="11.25" x14ac:dyDescent="0.2">
      <c r="A76" s="164">
        <v>74</v>
      </c>
      <c r="B76" s="285" t="s">
        <v>404</v>
      </c>
      <c r="C76" s="330">
        <v>773.53</v>
      </c>
      <c r="D76" s="87" t="s">
        <v>20</v>
      </c>
      <c r="E76" s="87" t="s">
        <v>20</v>
      </c>
      <c r="F76" s="87" t="s">
        <v>20</v>
      </c>
      <c r="G76" s="87" t="s">
        <v>20</v>
      </c>
    </row>
    <row r="77" spans="1:7" ht="11.25" x14ac:dyDescent="0.2">
      <c r="A77" s="164">
        <v>75</v>
      </c>
      <c r="B77" s="285" t="s">
        <v>405</v>
      </c>
      <c r="C77" s="330">
        <v>1603.4</v>
      </c>
      <c r="D77" s="87">
        <v>113.9</v>
      </c>
      <c r="E77" s="82">
        <v>0.25</v>
      </c>
      <c r="F77" s="82">
        <f>D77*E77</f>
        <v>28.475000000000001</v>
      </c>
      <c r="G77" s="83">
        <f t="shared" si="0"/>
        <v>2.9598561390378774E-3</v>
      </c>
    </row>
    <row r="78" spans="1:7" ht="11.25" x14ac:dyDescent="0.2">
      <c r="A78" s="164">
        <v>76</v>
      </c>
      <c r="B78" s="285" t="s">
        <v>406</v>
      </c>
      <c r="C78" s="330">
        <v>561.1</v>
      </c>
      <c r="D78" s="87">
        <v>197.3</v>
      </c>
      <c r="E78" s="82">
        <v>0.25</v>
      </c>
      <c r="F78" s="82">
        <f>D78*E78</f>
        <v>49.325000000000003</v>
      </c>
      <c r="G78" s="83">
        <f t="shared" si="0"/>
        <v>1.465128022337076E-2</v>
      </c>
    </row>
    <row r="79" spans="1:7" ht="11.25" x14ac:dyDescent="0.2">
      <c r="A79" s="164">
        <v>77</v>
      </c>
      <c r="B79" s="285" t="s">
        <v>407</v>
      </c>
      <c r="C79" s="330">
        <v>780.4</v>
      </c>
      <c r="D79" s="87" t="s">
        <v>20</v>
      </c>
      <c r="E79" s="87" t="s">
        <v>20</v>
      </c>
      <c r="F79" s="87" t="s">
        <v>20</v>
      </c>
      <c r="G79" s="87" t="s">
        <v>20</v>
      </c>
    </row>
    <row r="80" spans="1:7" ht="11.25" x14ac:dyDescent="0.2">
      <c r="A80" s="164">
        <v>78</v>
      </c>
      <c r="B80" s="285" t="s">
        <v>408</v>
      </c>
      <c r="C80" s="330">
        <v>1890.1</v>
      </c>
      <c r="D80" s="87" t="s">
        <v>20</v>
      </c>
      <c r="E80" s="87" t="s">
        <v>20</v>
      </c>
      <c r="F80" s="87" t="s">
        <v>20</v>
      </c>
      <c r="G80" s="87" t="s">
        <v>20</v>
      </c>
    </row>
    <row r="81" spans="1:7" ht="11.25" x14ac:dyDescent="0.2">
      <c r="A81" s="164">
        <v>79</v>
      </c>
      <c r="B81" s="285" t="s">
        <v>409</v>
      </c>
      <c r="C81" s="330">
        <v>1734.5</v>
      </c>
      <c r="D81" s="87" t="s">
        <v>20</v>
      </c>
      <c r="E81" s="87" t="s">
        <v>20</v>
      </c>
      <c r="F81" s="87" t="s">
        <v>20</v>
      </c>
      <c r="G81" s="87" t="s">
        <v>20</v>
      </c>
    </row>
    <row r="82" spans="1:7" ht="11.25" x14ac:dyDescent="0.2">
      <c r="A82" s="164">
        <v>80</v>
      </c>
      <c r="B82" s="285" t="s">
        <v>410</v>
      </c>
      <c r="C82" s="330">
        <v>1565.58</v>
      </c>
      <c r="D82" s="87" t="s">
        <v>20</v>
      </c>
      <c r="E82" s="87" t="s">
        <v>20</v>
      </c>
      <c r="F82" s="87" t="s">
        <v>20</v>
      </c>
      <c r="G82" s="87" t="s">
        <v>20</v>
      </c>
    </row>
    <row r="83" spans="1:7" ht="11.25" x14ac:dyDescent="0.2">
      <c r="A83" s="164">
        <v>81</v>
      </c>
      <c r="B83" s="285" t="s">
        <v>411</v>
      </c>
      <c r="C83" s="330">
        <v>2043.8</v>
      </c>
      <c r="D83" s="87">
        <v>540.29999999999995</v>
      </c>
      <c r="E83" s="82">
        <v>0.25</v>
      </c>
      <c r="F83" s="82">
        <f t="shared" ref="F83:F146" si="2">D83*E83</f>
        <v>135.07499999999999</v>
      </c>
      <c r="G83" s="83">
        <f t="shared" si="0"/>
        <v>1.101502103924063E-2</v>
      </c>
    </row>
    <row r="84" spans="1:7" ht="11.25" x14ac:dyDescent="0.2">
      <c r="A84" s="164">
        <v>82</v>
      </c>
      <c r="B84" s="285" t="s">
        <v>412</v>
      </c>
      <c r="C84" s="330">
        <v>1277.5999999999999</v>
      </c>
      <c r="D84" s="87">
        <v>82.6</v>
      </c>
      <c r="E84" s="82">
        <v>0.25</v>
      </c>
      <c r="F84" s="82">
        <f t="shared" si="2"/>
        <v>20.65</v>
      </c>
      <c r="G84" s="83">
        <f t="shared" si="0"/>
        <v>2.6938530578167401E-3</v>
      </c>
    </row>
    <row r="85" spans="1:7" ht="11.25" x14ac:dyDescent="0.2">
      <c r="A85" s="164">
        <v>83</v>
      </c>
      <c r="B85" s="285" t="s">
        <v>413</v>
      </c>
      <c r="C85" s="330">
        <v>1281.1500000000001</v>
      </c>
      <c r="D85" s="87">
        <v>115.5</v>
      </c>
      <c r="E85" s="82">
        <v>0.25</v>
      </c>
      <c r="F85" s="82">
        <f t="shared" si="2"/>
        <v>28.875</v>
      </c>
      <c r="G85" s="83">
        <f t="shared" si="0"/>
        <v>3.7563907426921123E-3</v>
      </c>
    </row>
    <row r="86" spans="1:7" ht="11.25" x14ac:dyDescent="0.2">
      <c r="A86" s="164">
        <v>84</v>
      </c>
      <c r="B86" s="285" t="s">
        <v>414</v>
      </c>
      <c r="C86" s="330">
        <v>1492.3</v>
      </c>
      <c r="D86" s="87">
        <v>388.4</v>
      </c>
      <c r="E86" s="82">
        <v>0.25</v>
      </c>
      <c r="F86" s="82">
        <f t="shared" si="2"/>
        <v>97.1</v>
      </c>
      <c r="G86" s="83">
        <f t="shared" si="0"/>
        <v>1.0844557617994592E-2</v>
      </c>
    </row>
    <row r="87" spans="1:7" ht="11.25" x14ac:dyDescent="0.2">
      <c r="A87" s="164">
        <v>85</v>
      </c>
      <c r="B87" s="285" t="s">
        <v>415</v>
      </c>
      <c r="C87" s="330">
        <v>4130.75</v>
      </c>
      <c r="D87" s="87">
        <v>705.8</v>
      </c>
      <c r="E87" s="82">
        <v>0.25</v>
      </c>
      <c r="F87" s="82">
        <f t="shared" si="2"/>
        <v>176.45</v>
      </c>
      <c r="G87" s="83">
        <f t="shared" si="0"/>
        <v>7.1193689604389836E-3</v>
      </c>
    </row>
    <row r="88" spans="1:7" ht="11.25" x14ac:dyDescent="0.2">
      <c r="A88" s="164">
        <v>86</v>
      </c>
      <c r="B88" s="285" t="s">
        <v>416</v>
      </c>
      <c r="C88" s="330">
        <v>3262.1</v>
      </c>
      <c r="D88" s="87">
        <v>777.8</v>
      </c>
      <c r="E88" s="82">
        <v>0.25</v>
      </c>
      <c r="F88" s="82">
        <f t="shared" si="2"/>
        <v>194.45</v>
      </c>
      <c r="G88" s="83">
        <f t="shared" si="0"/>
        <v>9.9348068217814701E-3</v>
      </c>
    </row>
    <row r="89" spans="1:7" ht="11.25" x14ac:dyDescent="0.2">
      <c r="A89" s="164">
        <v>87</v>
      </c>
      <c r="B89" s="285" t="s">
        <v>417</v>
      </c>
      <c r="C89" s="330">
        <v>1516.8</v>
      </c>
      <c r="D89" s="87">
        <v>512</v>
      </c>
      <c r="E89" s="82">
        <v>0.25</v>
      </c>
      <c r="F89" s="82">
        <f t="shared" si="2"/>
        <v>128</v>
      </c>
      <c r="G89" s="83">
        <f t="shared" si="0"/>
        <v>1.4064697609001406E-2</v>
      </c>
    </row>
    <row r="90" spans="1:7" ht="11.25" x14ac:dyDescent="0.2">
      <c r="A90" s="164">
        <v>88</v>
      </c>
      <c r="B90" s="285" t="s">
        <v>418</v>
      </c>
      <c r="C90" s="330">
        <v>752.42</v>
      </c>
      <c r="D90" s="87">
        <v>202.5</v>
      </c>
      <c r="E90" s="82">
        <v>0.25</v>
      </c>
      <c r="F90" s="82">
        <f t="shared" si="2"/>
        <v>50.625</v>
      </c>
      <c r="G90" s="83">
        <f t="shared" si="0"/>
        <v>1.1213816751282529E-2</v>
      </c>
    </row>
    <row r="91" spans="1:7" ht="11.25" x14ac:dyDescent="0.2">
      <c r="A91" s="164">
        <v>89</v>
      </c>
      <c r="B91" s="285" t="s">
        <v>419</v>
      </c>
      <c r="C91" s="330">
        <v>771.7</v>
      </c>
      <c r="D91" s="87">
        <v>202.5</v>
      </c>
      <c r="E91" s="82">
        <v>0.25</v>
      </c>
      <c r="F91" s="82">
        <f t="shared" si="2"/>
        <v>50.625</v>
      </c>
      <c r="G91" s="83">
        <f t="shared" si="0"/>
        <v>1.0933652973953607E-2</v>
      </c>
    </row>
    <row r="92" spans="1:7" ht="11.25" x14ac:dyDescent="0.2">
      <c r="A92" s="164">
        <v>90</v>
      </c>
      <c r="B92" s="285" t="s">
        <v>420</v>
      </c>
      <c r="C92" s="330">
        <v>1545</v>
      </c>
      <c r="D92" s="87">
        <v>364.2</v>
      </c>
      <c r="E92" s="82">
        <v>0.25</v>
      </c>
      <c r="F92" s="82">
        <f t="shared" si="2"/>
        <v>91.05</v>
      </c>
      <c r="G92" s="83">
        <f t="shared" si="0"/>
        <v>9.8220064724919096E-3</v>
      </c>
    </row>
    <row r="93" spans="1:7" ht="11.25" x14ac:dyDescent="0.2">
      <c r="A93" s="164">
        <v>91</v>
      </c>
      <c r="B93" s="285" t="s">
        <v>421</v>
      </c>
      <c r="C93" s="330">
        <v>769.7</v>
      </c>
      <c r="D93" s="87">
        <v>124.1</v>
      </c>
      <c r="E93" s="82">
        <v>0.25</v>
      </c>
      <c r="F93" s="82">
        <f t="shared" si="2"/>
        <v>31.024999999999999</v>
      </c>
      <c r="G93" s="83">
        <f t="shared" si="0"/>
        <v>6.7179853622623522E-3</v>
      </c>
    </row>
    <row r="94" spans="1:7" ht="11.25" x14ac:dyDescent="0.2">
      <c r="A94" s="164">
        <v>92</v>
      </c>
      <c r="B94" s="285" t="s">
        <v>422</v>
      </c>
      <c r="C94" s="330">
        <v>776.9</v>
      </c>
      <c r="D94" s="87">
        <v>169</v>
      </c>
      <c r="E94" s="82">
        <v>0.25</v>
      </c>
      <c r="F94" s="82">
        <f t="shared" si="2"/>
        <v>42.25</v>
      </c>
      <c r="G94" s="83">
        <f t="shared" si="0"/>
        <v>9.063800574934569E-3</v>
      </c>
    </row>
    <row r="95" spans="1:7" ht="11.25" x14ac:dyDescent="0.2">
      <c r="A95" s="164">
        <v>93</v>
      </c>
      <c r="B95" s="285" t="s">
        <v>423</v>
      </c>
      <c r="C95" s="330">
        <v>1935.6</v>
      </c>
      <c r="D95" s="87">
        <v>547.20000000000005</v>
      </c>
      <c r="E95" s="82">
        <v>0.25</v>
      </c>
      <c r="F95" s="82">
        <f t="shared" si="2"/>
        <v>136.80000000000001</v>
      </c>
      <c r="G95" s="83">
        <f t="shared" si="0"/>
        <v>1.1779293242405458E-2</v>
      </c>
    </row>
    <row r="96" spans="1:7" ht="11.25" x14ac:dyDescent="0.2">
      <c r="A96" s="164">
        <v>94</v>
      </c>
      <c r="B96" s="285" t="s">
        <v>424</v>
      </c>
      <c r="C96" s="330">
        <v>1513.72</v>
      </c>
      <c r="D96" s="87">
        <v>407.8</v>
      </c>
      <c r="E96" s="82">
        <v>0.25</v>
      </c>
      <c r="F96" s="82">
        <f t="shared" si="2"/>
        <v>101.95</v>
      </c>
      <c r="G96" s="83">
        <f t="shared" si="0"/>
        <v>1.1225105479657181E-2</v>
      </c>
    </row>
    <row r="97" spans="1:7" ht="11.25" x14ac:dyDescent="0.2">
      <c r="A97" s="164">
        <v>95</v>
      </c>
      <c r="B97" s="285" t="s">
        <v>425</v>
      </c>
      <c r="C97" s="330">
        <v>1500.3</v>
      </c>
      <c r="D97" s="87">
        <v>403.5</v>
      </c>
      <c r="E97" s="82">
        <v>0.25</v>
      </c>
      <c r="F97" s="82">
        <f t="shared" si="2"/>
        <v>100.875</v>
      </c>
      <c r="G97" s="83">
        <f t="shared" si="0"/>
        <v>1.1206092114910351E-2</v>
      </c>
    </row>
    <row r="98" spans="1:7" ht="11.25" x14ac:dyDescent="0.2">
      <c r="A98" s="164">
        <v>96</v>
      </c>
      <c r="B98" s="285" t="s">
        <v>426</v>
      </c>
      <c r="C98" s="330">
        <v>735.9</v>
      </c>
      <c r="D98" s="87">
        <v>98.3</v>
      </c>
      <c r="E98" s="82">
        <v>0.25</v>
      </c>
      <c r="F98" s="82">
        <f t="shared" si="2"/>
        <v>24.574999999999999</v>
      </c>
      <c r="G98" s="83">
        <f t="shared" si="0"/>
        <v>5.5657471576754094E-3</v>
      </c>
    </row>
    <row r="99" spans="1:7" ht="11.25" x14ac:dyDescent="0.2">
      <c r="A99" s="164">
        <v>97</v>
      </c>
      <c r="B99" s="285" t="s">
        <v>427</v>
      </c>
      <c r="C99" s="330">
        <v>757.7</v>
      </c>
      <c r="D99" s="87">
        <v>153.1</v>
      </c>
      <c r="E99" s="82">
        <v>0.25</v>
      </c>
      <c r="F99" s="82">
        <f t="shared" si="2"/>
        <v>38.274999999999999</v>
      </c>
      <c r="G99" s="83">
        <f t="shared" si="0"/>
        <v>8.4191192644406301E-3</v>
      </c>
    </row>
    <row r="100" spans="1:7" ht="11.25" x14ac:dyDescent="0.2">
      <c r="A100" s="164">
        <v>98</v>
      </c>
      <c r="B100" s="285" t="s">
        <v>428</v>
      </c>
      <c r="C100" s="330">
        <v>1915.15</v>
      </c>
      <c r="D100" s="87">
        <v>517.20000000000005</v>
      </c>
      <c r="E100" s="82">
        <v>0.25</v>
      </c>
      <c r="F100" s="82">
        <f t="shared" si="2"/>
        <v>129.30000000000001</v>
      </c>
      <c r="G100" s="83">
        <f t="shared" si="0"/>
        <v>1.125238231992272E-2</v>
      </c>
    </row>
    <row r="101" spans="1:7" ht="11.25" x14ac:dyDescent="0.2">
      <c r="A101" s="164">
        <v>99</v>
      </c>
      <c r="B101" s="285" t="s">
        <v>429</v>
      </c>
      <c r="C101" s="330">
        <v>1544.5</v>
      </c>
      <c r="D101" s="87">
        <v>456.3</v>
      </c>
      <c r="E101" s="82">
        <v>0.25</v>
      </c>
      <c r="F101" s="82">
        <f t="shared" si="2"/>
        <v>114.075</v>
      </c>
      <c r="G101" s="83">
        <f t="shared" si="0"/>
        <v>1.2309808999676271E-2</v>
      </c>
    </row>
    <row r="102" spans="1:7" ht="11.25" x14ac:dyDescent="0.2">
      <c r="A102" s="164">
        <v>100</v>
      </c>
      <c r="B102" s="285" t="s">
        <v>430</v>
      </c>
      <c r="C102" s="330">
        <v>1552.3</v>
      </c>
      <c r="D102" s="87">
        <v>426.2</v>
      </c>
      <c r="E102" s="82">
        <v>0.25</v>
      </c>
      <c r="F102" s="82">
        <f t="shared" si="2"/>
        <v>106.55</v>
      </c>
      <c r="G102" s="83">
        <f t="shared" si="0"/>
        <v>1.144001374304795E-2</v>
      </c>
    </row>
    <row r="103" spans="1:7" ht="11.25" x14ac:dyDescent="0.2">
      <c r="A103" s="164">
        <v>101</v>
      </c>
      <c r="B103" s="285" t="s">
        <v>431</v>
      </c>
      <c r="C103" s="330">
        <v>1287.0999999999999</v>
      </c>
      <c r="D103" s="87">
        <v>328.7</v>
      </c>
      <c r="E103" s="82">
        <v>0.25</v>
      </c>
      <c r="F103" s="82">
        <f t="shared" si="2"/>
        <v>82.174999999999997</v>
      </c>
      <c r="G103" s="83">
        <f t="shared" si="0"/>
        <v>1.0640846347085177E-2</v>
      </c>
    </row>
    <row r="104" spans="1:7" ht="11.25" x14ac:dyDescent="0.2">
      <c r="A104" s="164">
        <v>102</v>
      </c>
      <c r="B104" s="285" t="s">
        <v>432</v>
      </c>
      <c r="C104" s="330">
        <v>3473.9</v>
      </c>
      <c r="D104" s="87">
        <v>668.1</v>
      </c>
      <c r="E104" s="82">
        <v>0.25</v>
      </c>
      <c r="F104" s="82">
        <f t="shared" si="2"/>
        <v>167.02500000000001</v>
      </c>
      <c r="G104" s="83">
        <f t="shared" si="0"/>
        <v>8.0133279599297631E-3</v>
      </c>
    </row>
    <row r="105" spans="1:7" ht="11.25" x14ac:dyDescent="0.2">
      <c r="A105" s="164">
        <v>103</v>
      </c>
      <c r="B105" s="285" t="s">
        <v>433</v>
      </c>
      <c r="C105" s="330">
        <v>1838.18</v>
      </c>
      <c r="D105" s="87">
        <v>387.1</v>
      </c>
      <c r="E105" s="82">
        <v>0.25</v>
      </c>
      <c r="F105" s="82">
        <f t="shared" si="2"/>
        <v>96.775000000000006</v>
      </c>
      <c r="G105" s="83">
        <f t="shared" si="0"/>
        <v>8.7745306045472517E-3</v>
      </c>
    </row>
    <row r="106" spans="1:7" ht="11.25" x14ac:dyDescent="0.2">
      <c r="A106" s="164">
        <v>104</v>
      </c>
      <c r="B106" s="285" t="s">
        <v>434</v>
      </c>
      <c r="C106" s="330">
        <v>4517.6000000000004</v>
      </c>
      <c r="D106" s="87">
        <v>963</v>
      </c>
      <c r="E106" s="82">
        <v>0.25</v>
      </c>
      <c r="F106" s="82">
        <f t="shared" si="2"/>
        <v>240.75</v>
      </c>
      <c r="G106" s="83">
        <f t="shared" si="0"/>
        <v>8.8819284575880984E-3</v>
      </c>
    </row>
    <row r="107" spans="1:7" ht="11.25" x14ac:dyDescent="0.2">
      <c r="A107" s="164">
        <v>105</v>
      </c>
      <c r="B107" s="285" t="s">
        <v>435</v>
      </c>
      <c r="C107" s="330">
        <v>4524.9399999999996</v>
      </c>
      <c r="D107" s="87" t="s">
        <v>20</v>
      </c>
      <c r="E107" s="87" t="s">
        <v>20</v>
      </c>
      <c r="F107" s="87" t="s">
        <v>20</v>
      </c>
      <c r="G107" s="87" t="s">
        <v>20</v>
      </c>
    </row>
    <row r="108" spans="1:7" ht="11.25" x14ac:dyDescent="0.2">
      <c r="A108" s="164">
        <v>106</v>
      </c>
      <c r="B108" s="285" t="s">
        <v>436</v>
      </c>
      <c r="C108" s="330">
        <v>4742.2700000000004</v>
      </c>
      <c r="D108" s="87">
        <v>1044.8</v>
      </c>
      <c r="E108" s="82">
        <v>0.25</v>
      </c>
      <c r="F108" s="82">
        <f t="shared" si="2"/>
        <v>261.2</v>
      </c>
      <c r="G108" s="83">
        <f t="shared" si="0"/>
        <v>9.1798512807860638E-3</v>
      </c>
    </row>
    <row r="109" spans="1:7" ht="11.25" x14ac:dyDescent="0.2">
      <c r="A109" s="164">
        <v>107</v>
      </c>
      <c r="B109" s="285" t="s">
        <v>437</v>
      </c>
      <c r="C109" s="330">
        <v>2538.3000000000002</v>
      </c>
      <c r="D109" s="87">
        <v>651.9</v>
      </c>
      <c r="E109" s="82">
        <v>0.25</v>
      </c>
      <c r="F109" s="82">
        <f t="shared" si="2"/>
        <v>162.97499999999999</v>
      </c>
      <c r="G109" s="83">
        <f t="shared" si="0"/>
        <v>1.070105976440925E-2</v>
      </c>
    </row>
    <row r="110" spans="1:7" ht="11.25" x14ac:dyDescent="0.2">
      <c r="A110" s="164">
        <v>108</v>
      </c>
      <c r="B110" s="285" t="s">
        <v>438</v>
      </c>
      <c r="C110" s="330">
        <v>4452.8999999999996</v>
      </c>
      <c r="D110" s="87">
        <v>971.5</v>
      </c>
      <c r="E110" s="82">
        <v>0.25</v>
      </c>
      <c r="F110" s="82">
        <f t="shared" si="2"/>
        <v>242.875</v>
      </c>
      <c r="G110" s="83">
        <f t="shared" si="0"/>
        <v>9.090517789904707E-3</v>
      </c>
    </row>
    <row r="111" spans="1:7" ht="11.25" x14ac:dyDescent="0.2">
      <c r="A111" s="164">
        <v>109</v>
      </c>
      <c r="B111" s="285" t="s">
        <v>439</v>
      </c>
      <c r="C111" s="330">
        <v>1573.08</v>
      </c>
      <c r="D111" s="87">
        <v>345.5</v>
      </c>
      <c r="E111" s="82">
        <v>0.25</v>
      </c>
      <c r="F111" s="82">
        <f t="shared" si="2"/>
        <v>86.375</v>
      </c>
      <c r="G111" s="83">
        <f t="shared" si="0"/>
        <v>9.1513675930870227E-3</v>
      </c>
    </row>
    <row r="112" spans="1:7" ht="11.25" x14ac:dyDescent="0.2">
      <c r="A112" s="164">
        <v>110</v>
      </c>
      <c r="B112" s="285" t="s">
        <v>440</v>
      </c>
      <c r="C112" s="330">
        <v>3168.45</v>
      </c>
      <c r="D112" s="87">
        <v>638.79999999999995</v>
      </c>
      <c r="E112" s="82">
        <v>0.25</v>
      </c>
      <c r="F112" s="82">
        <f t="shared" si="2"/>
        <v>159.69999999999999</v>
      </c>
      <c r="G112" s="83">
        <f t="shared" si="0"/>
        <v>8.400532331792096E-3</v>
      </c>
    </row>
    <row r="113" spans="1:7" ht="11.25" x14ac:dyDescent="0.2">
      <c r="A113" s="164">
        <v>111</v>
      </c>
      <c r="B113" s="285" t="s">
        <v>441</v>
      </c>
      <c r="C113" s="330">
        <v>3182.6</v>
      </c>
      <c r="D113" s="87">
        <v>637.20000000000005</v>
      </c>
      <c r="E113" s="82">
        <v>0.25</v>
      </c>
      <c r="F113" s="82">
        <f t="shared" si="2"/>
        <v>159.30000000000001</v>
      </c>
      <c r="G113" s="83">
        <f t="shared" si="0"/>
        <v>8.3422359077483816E-3</v>
      </c>
    </row>
    <row r="114" spans="1:7" ht="11.25" x14ac:dyDescent="0.2">
      <c r="A114" s="164">
        <v>112</v>
      </c>
      <c r="B114" s="285" t="s">
        <v>442</v>
      </c>
      <c r="C114" s="330">
        <v>2283.1999999999998</v>
      </c>
      <c r="D114" s="87">
        <v>423.7</v>
      </c>
      <c r="E114" s="82">
        <v>0.25</v>
      </c>
      <c r="F114" s="82">
        <f t="shared" si="2"/>
        <v>105.925</v>
      </c>
      <c r="G114" s="83">
        <f t="shared" si="0"/>
        <v>7.7322033403410427E-3</v>
      </c>
    </row>
    <row r="115" spans="1:7" ht="11.25" x14ac:dyDescent="0.2">
      <c r="A115" s="164">
        <v>113</v>
      </c>
      <c r="B115" s="285" t="s">
        <v>443</v>
      </c>
      <c r="C115" s="330">
        <v>1091.7</v>
      </c>
      <c r="D115" s="87">
        <v>209</v>
      </c>
      <c r="E115" s="82">
        <v>0.25</v>
      </c>
      <c r="F115" s="82">
        <f t="shared" si="2"/>
        <v>52.25</v>
      </c>
      <c r="G115" s="83">
        <f t="shared" si="0"/>
        <v>7.9768556685292039E-3</v>
      </c>
    </row>
    <row r="116" spans="1:7" ht="11.25" x14ac:dyDescent="0.2">
      <c r="A116" s="164">
        <v>114</v>
      </c>
      <c r="B116" s="285" t="s">
        <v>444</v>
      </c>
      <c r="C116" s="330">
        <v>1733.3</v>
      </c>
      <c r="D116" s="87">
        <v>340.3</v>
      </c>
      <c r="E116" s="82">
        <v>0.25</v>
      </c>
      <c r="F116" s="82">
        <f t="shared" si="2"/>
        <v>85.075000000000003</v>
      </c>
      <c r="G116" s="83">
        <f t="shared" si="0"/>
        <v>8.1804457778034204E-3</v>
      </c>
    </row>
    <row r="117" spans="1:7" ht="11.25" x14ac:dyDescent="0.2">
      <c r="A117" s="164">
        <v>115</v>
      </c>
      <c r="B117" s="285" t="s">
        <v>445</v>
      </c>
      <c r="C117" s="330">
        <v>1752.82</v>
      </c>
      <c r="D117" s="87">
        <v>351.2</v>
      </c>
      <c r="E117" s="82">
        <v>0.25</v>
      </c>
      <c r="F117" s="82">
        <f t="shared" si="2"/>
        <v>87.8</v>
      </c>
      <c r="G117" s="83">
        <f t="shared" si="0"/>
        <v>8.348451828101764E-3</v>
      </c>
    </row>
    <row r="118" spans="1:7" ht="11.25" x14ac:dyDescent="0.2">
      <c r="A118" s="164">
        <v>116</v>
      </c>
      <c r="B118" s="285" t="s">
        <v>446</v>
      </c>
      <c r="C118" s="330">
        <v>3688.59</v>
      </c>
      <c r="D118" s="87">
        <v>720</v>
      </c>
      <c r="E118" s="82">
        <v>0.25</v>
      </c>
      <c r="F118" s="82">
        <f t="shared" si="2"/>
        <v>180</v>
      </c>
      <c r="G118" s="83">
        <f t="shared" si="0"/>
        <v>8.1331891047798748E-3</v>
      </c>
    </row>
    <row r="119" spans="1:7" ht="11.25" x14ac:dyDescent="0.2">
      <c r="A119" s="164">
        <v>117</v>
      </c>
      <c r="B119" s="285" t="s">
        <v>447</v>
      </c>
      <c r="C119" s="330">
        <v>3868.13</v>
      </c>
      <c r="D119" s="87">
        <v>796</v>
      </c>
      <c r="E119" s="82">
        <v>0.25</v>
      </c>
      <c r="F119" s="82">
        <f t="shared" si="2"/>
        <v>199</v>
      </c>
      <c r="G119" s="83">
        <f t="shared" si="0"/>
        <v>8.574341262229208E-3</v>
      </c>
    </row>
    <row r="120" spans="1:7" ht="11.25" x14ac:dyDescent="0.2">
      <c r="A120" s="164">
        <v>118</v>
      </c>
      <c r="B120" s="285" t="s">
        <v>448</v>
      </c>
      <c r="C120" s="330">
        <v>2821.38</v>
      </c>
      <c r="D120" s="87">
        <v>532</v>
      </c>
      <c r="E120" s="82">
        <v>0.25</v>
      </c>
      <c r="F120" s="82">
        <f t="shared" si="2"/>
        <v>133</v>
      </c>
      <c r="G120" s="83">
        <f t="shared" si="0"/>
        <v>7.8566753385459123E-3</v>
      </c>
    </row>
    <row r="121" spans="1:7" ht="11.25" x14ac:dyDescent="0.2">
      <c r="A121" s="164">
        <v>119</v>
      </c>
      <c r="B121" s="285" t="s">
        <v>449</v>
      </c>
      <c r="C121" s="330">
        <v>4277.29</v>
      </c>
      <c r="D121" s="87">
        <v>892</v>
      </c>
      <c r="E121" s="82">
        <v>0.25</v>
      </c>
      <c r="F121" s="82">
        <f t="shared" si="2"/>
        <v>223</v>
      </c>
      <c r="G121" s="83">
        <f t="shared" si="0"/>
        <v>8.6893024944922296E-3</v>
      </c>
    </row>
    <row r="122" spans="1:7" ht="11.25" x14ac:dyDescent="0.2">
      <c r="A122" s="164">
        <v>120</v>
      </c>
      <c r="B122" s="285" t="s">
        <v>450</v>
      </c>
      <c r="C122" s="330">
        <v>2171.3000000000002</v>
      </c>
      <c r="D122" s="87">
        <v>453</v>
      </c>
      <c r="E122" s="82">
        <v>0.25</v>
      </c>
      <c r="F122" s="82">
        <f t="shared" si="2"/>
        <v>113.25</v>
      </c>
      <c r="G122" s="83">
        <f t="shared" si="0"/>
        <v>8.6929489246073775E-3</v>
      </c>
    </row>
    <row r="123" spans="1:7" ht="11.25" x14ac:dyDescent="0.2">
      <c r="A123" s="164">
        <v>121</v>
      </c>
      <c r="B123" s="285" t="s">
        <v>451</v>
      </c>
      <c r="C123" s="330">
        <v>5707.1</v>
      </c>
      <c r="D123" s="87">
        <v>1235.7</v>
      </c>
      <c r="E123" s="82">
        <v>0.25</v>
      </c>
      <c r="F123" s="82">
        <f t="shared" si="2"/>
        <v>308.92500000000001</v>
      </c>
      <c r="G123" s="83">
        <f t="shared" si="0"/>
        <v>9.0216572339717194E-3</v>
      </c>
    </row>
    <row r="124" spans="1:7" ht="11.25" x14ac:dyDescent="0.2">
      <c r="A124" s="164">
        <v>122</v>
      </c>
      <c r="B124" s="285" t="s">
        <v>452</v>
      </c>
      <c r="C124" s="330">
        <v>1727.35</v>
      </c>
      <c r="D124" s="87">
        <v>491.3</v>
      </c>
      <c r="E124" s="82">
        <v>0.25</v>
      </c>
      <c r="F124" s="82">
        <f t="shared" si="2"/>
        <v>122.825</v>
      </c>
      <c r="G124" s="83">
        <f t="shared" si="0"/>
        <v>1.1851004911183799E-2</v>
      </c>
    </row>
    <row r="125" spans="1:7" ht="11.25" x14ac:dyDescent="0.2">
      <c r="A125" s="164">
        <v>123</v>
      </c>
      <c r="B125" s="285" t="s">
        <v>453</v>
      </c>
      <c r="C125" s="330">
        <v>2522.5500000000002</v>
      </c>
      <c r="D125" s="87">
        <v>552.70000000000005</v>
      </c>
      <c r="E125" s="82">
        <v>0.25</v>
      </c>
      <c r="F125" s="82">
        <f t="shared" si="2"/>
        <v>138.17500000000001</v>
      </c>
      <c r="G125" s="83">
        <f t="shared" si="0"/>
        <v>9.1293201984764105E-3</v>
      </c>
    </row>
    <row r="126" spans="1:7" ht="11.25" x14ac:dyDescent="0.2">
      <c r="A126" s="164">
        <v>124</v>
      </c>
      <c r="B126" s="285" t="s">
        <v>454</v>
      </c>
      <c r="C126" s="330">
        <v>2516.6999999999998</v>
      </c>
      <c r="D126" s="87">
        <v>530.5</v>
      </c>
      <c r="E126" s="82">
        <v>0.25</v>
      </c>
      <c r="F126" s="82">
        <f t="shared" si="2"/>
        <v>132.625</v>
      </c>
      <c r="G126" s="83">
        <f t="shared" si="0"/>
        <v>8.7829962517052759E-3</v>
      </c>
    </row>
    <row r="127" spans="1:7" ht="11.25" x14ac:dyDescent="0.2">
      <c r="A127" s="164">
        <v>125</v>
      </c>
      <c r="B127" s="285" t="s">
        <v>455</v>
      </c>
      <c r="C127" s="330">
        <v>1774.47</v>
      </c>
      <c r="D127" s="87">
        <v>375</v>
      </c>
      <c r="E127" s="82">
        <v>0.25</v>
      </c>
      <c r="F127" s="82">
        <f t="shared" si="2"/>
        <v>93.75</v>
      </c>
      <c r="G127" s="83">
        <f t="shared" si="0"/>
        <v>8.8054461332116064E-3</v>
      </c>
    </row>
    <row r="128" spans="1:7" ht="11.25" x14ac:dyDescent="0.2">
      <c r="A128" s="164">
        <v>126</v>
      </c>
      <c r="B128" s="285" t="s">
        <v>456</v>
      </c>
      <c r="C128" s="330">
        <v>1727.7</v>
      </c>
      <c r="D128" s="87">
        <v>425.2</v>
      </c>
      <c r="E128" s="82">
        <v>0.25</v>
      </c>
      <c r="F128" s="82">
        <f t="shared" si="2"/>
        <v>106.3</v>
      </c>
      <c r="G128" s="83">
        <f t="shared" si="0"/>
        <v>1.0254480909108448E-2</v>
      </c>
    </row>
    <row r="129" spans="1:7" ht="11.25" x14ac:dyDescent="0.2">
      <c r="A129" s="164">
        <v>127</v>
      </c>
      <c r="B129" s="285" t="s">
        <v>457</v>
      </c>
      <c r="C129" s="330">
        <v>3216.3</v>
      </c>
      <c r="D129" s="87">
        <v>634</v>
      </c>
      <c r="E129" s="82">
        <v>0.25</v>
      </c>
      <c r="F129" s="82">
        <f t="shared" si="2"/>
        <v>158.5</v>
      </c>
      <c r="G129" s="83">
        <f t="shared" si="0"/>
        <v>8.2133714723958157E-3</v>
      </c>
    </row>
    <row r="130" spans="1:7" ht="11.25" x14ac:dyDescent="0.2">
      <c r="A130" s="164">
        <v>128</v>
      </c>
      <c r="B130" s="285" t="s">
        <v>458</v>
      </c>
      <c r="C130" s="330">
        <v>3895.1</v>
      </c>
      <c r="D130" s="87" t="s">
        <v>20</v>
      </c>
      <c r="E130" s="87" t="s">
        <v>20</v>
      </c>
      <c r="F130" s="87" t="s">
        <v>20</v>
      </c>
      <c r="G130" s="87" t="s">
        <v>20</v>
      </c>
    </row>
    <row r="131" spans="1:7" ht="11.25" x14ac:dyDescent="0.2">
      <c r="A131" s="164">
        <v>129</v>
      </c>
      <c r="B131" s="285" t="s">
        <v>459</v>
      </c>
      <c r="C131" s="330">
        <v>4002.8</v>
      </c>
      <c r="D131" s="87">
        <v>356</v>
      </c>
      <c r="E131" s="82">
        <v>0.25</v>
      </c>
      <c r="F131" s="82">
        <f t="shared" si="2"/>
        <v>89</v>
      </c>
      <c r="G131" s="83">
        <f t="shared" si="0"/>
        <v>3.7057393158122648E-3</v>
      </c>
    </row>
    <row r="132" spans="1:7" ht="11.25" x14ac:dyDescent="0.2">
      <c r="A132" s="164">
        <v>130</v>
      </c>
      <c r="B132" s="285" t="s">
        <v>460</v>
      </c>
      <c r="C132" s="330">
        <v>3852.63</v>
      </c>
      <c r="D132" s="87">
        <v>359</v>
      </c>
      <c r="E132" s="82">
        <v>0.25</v>
      </c>
      <c r="F132" s="82">
        <f t="shared" si="2"/>
        <v>89.75</v>
      </c>
      <c r="G132" s="83">
        <f t="shared" si="0"/>
        <v>3.8826290957951668E-3</v>
      </c>
    </row>
    <row r="133" spans="1:7" ht="11.25" x14ac:dyDescent="0.2">
      <c r="A133" s="164">
        <v>131</v>
      </c>
      <c r="B133" s="285" t="s">
        <v>461</v>
      </c>
      <c r="C133" s="330">
        <v>3560.4</v>
      </c>
      <c r="D133" s="87">
        <v>753</v>
      </c>
      <c r="E133" s="82">
        <v>0.25</v>
      </c>
      <c r="F133" s="82">
        <f t="shared" si="2"/>
        <v>188.25</v>
      </c>
      <c r="G133" s="83">
        <f t="shared" si="0"/>
        <v>8.8122121109987638E-3</v>
      </c>
    </row>
    <row r="134" spans="1:7" ht="11.25" x14ac:dyDescent="0.2">
      <c r="A134" s="164">
        <v>132</v>
      </c>
      <c r="B134" s="285" t="s">
        <v>462</v>
      </c>
      <c r="C134" s="330">
        <v>944.7</v>
      </c>
      <c r="D134" s="87">
        <v>191</v>
      </c>
      <c r="E134" s="82">
        <v>0.25</v>
      </c>
      <c r="F134" s="82">
        <f t="shared" si="2"/>
        <v>47.75</v>
      </c>
      <c r="G134" s="83">
        <f t="shared" si="0"/>
        <v>8.4241911012314322E-3</v>
      </c>
    </row>
    <row r="135" spans="1:7" ht="11.25" x14ac:dyDescent="0.2">
      <c r="A135" s="164">
        <v>133</v>
      </c>
      <c r="B135" s="285" t="s">
        <v>463</v>
      </c>
      <c r="C135" s="330">
        <v>2428.5</v>
      </c>
      <c r="D135" s="87">
        <v>504.5</v>
      </c>
      <c r="E135" s="82">
        <v>0.25</v>
      </c>
      <c r="F135" s="82">
        <f t="shared" si="2"/>
        <v>126.125</v>
      </c>
      <c r="G135" s="83">
        <f t="shared" si="0"/>
        <v>8.6558918399560775E-3</v>
      </c>
    </row>
    <row r="136" spans="1:7" ht="11.25" x14ac:dyDescent="0.2">
      <c r="A136" s="164">
        <v>134</v>
      </c>
      <c r="B136" s="285" t="s">
        <v>464</v>
      </c>
      <c r="C136" s="330">
        <v>4861.91</v>
      </c>
      <c r="D136" s="87">
        <v>893.4</v>
      </c>
      <c r="E136" s="82">
        <v>0.25</v>
      </c>
      <c r="F136" s="82">
        <f t="shared" si="2"/>
        <v>223.35</v>
      </c>
      <c r="G136" s="83">
        <f t="shared" si="0"/>
        <v>7.6564560018593519E-3</v>
      </c>
    </row>
    <row r="137" spans="1:7" ht="11.25" x14ac:dyDescent="0.2">
      <c r="A137" s="164">
        <v>135</v>
      </c>
      <c r="B137" s="285" t="s">
        <v>465</v>
      </c>
      <c r="C137" s="330">
        <v>3078.77</v>
      </c>
      <c r="D137" s="87">
        <v>758</v>
      </c>
      <c r="E137" s="82">
        <v>0.25</v>
      </c>
      <c r="F137" s="82">
        <f t="shared" si="2"/>
        <v>189.5</v>
      </c>
      <c r="G137" s="83">
        <f t="shared" si="0"/>
        <v>1.0258425713298927E-2</v>
      </c>
    </row>
    <row r="138" spans="1:7" ht="11.25" x14ac:dyDescent="0.2">
      <c r="A138" s="164">
        <v>136</v>
      </c>
      <c r="B138" s="285" t="s">
        <v>466</v>
      </c>
      <c r="C138" s="330">
        <v>3188.68</v>
      </c>
      <c r="D138" s="87">
        <v>661.6</v>
      </c>
      <c r="E138" s="82">
        <v>0.25</v>
      </c>
      <c r="F138" s="82">
        <f t="shared" si="2"/>
        <v>165.4</v>
      </c>
      <c r="G138" s="83">
        <f t="shared" si="0"/>
        <v>8.6451656066669179E-3</v>
      </c>
    </row>
    <row r="139" spans="1:7" ht="11.25" x14ac:dyDescent="0.2">
      <c r="A139" s="164">
        <v>137</v>
      </c>
      <c r="B139" s="285" t="s">
        <v>467</v>
      </c>
      <c r="C139" s="330">
        <v>2782.65</v>
      </c>
      <c r="D139" s="87">
        <v>601</v>
      </c>
      <c r="E139" s="82">
        <v>0.25</v>
      </c>
      <c r="F139" s="82">
        <f t="shared" si="2"/>
        <v>150.25</v>
      </c>
      <c r="G139" s="83">
        <f t="shared" si="0"/>
        <v>8.9992153762300919E-3</v>
      </c>
    </row>
    <row r="140" spans="1:7" ht="11.25" x14ac:dyDescent="0.2">
      <c r="A140" s="164">
        <v>138</v>
      </c>
      <c r="B140" s="285" t="s">
        <v>468</v>
      </c>
      <c r="C140" s="330">
        <v>2258.6</v>
      </c>
      <c r="D140" s="87">
        <v>471.5</v>
      </c>
      <c r="E140" s="82">
        <v>0.25</v>
      </c>
      <c r="F140" s="82">
        <f t="shared" si="2"/>
        <v>117.875</v>
      </c>
      <c r="G140" s="83">
        <f t="shared" si="0"/>
        <v>8.6982348947725729E-3</v>
      </c>
    </row>
    <row r="141" spans="1:7" ht="11.25" x14ac:dyDescent="0.2">
      <c r="A141" s="164">
        <v>139</v>
      </c>
      <c r="B141" s="285" t="s">
        <v>469</v>
      </c>
      <c r="C141" s="330">
        <v>1910</v>
      </c>
      <c r="D141" s="87">
        <v>560.29999999999995</v>
      </c>
      <c r="E141" s="82">
        <v>0.25</v>
      </c>
      <c r="F141" s="82">
        <f t="shared" si="2"/>
        <v>140.07499999999999</v>
      </c>
      <c r="G141" s="83">
        <f t="shared" si="0"/>
        <v>1.2222949389179755E-2</v>
      </c>
    </row>
    <row r="142" spans="1:7" ht="11.25" x14ac:dyDescent="0.2">
      <c r="A142" s="164">
        <v>140</v>
      </c>
      <c r="B142" s="285" t="s">
        <v>470</v>
      </c>
      <c r="C142" s="330">
        <v>2522.5</v>
      </c>
      <c r="D142" s="87">
        <v>465.5</v>
      </c>
      <c r="E142" s="82">
        <v>0.25</v>
      </c>
      <c r="F142" s="82">
        <f t="shared" si="2"/>
        <v>116.375</v>
      </c>
      <c r="G142" s="83">
        <f t="shared" si="0"/>
        <v>7.6891311529567229E-3</v>
      </c>
    </row>
    <row r="143" spans="1:7" ht="11.25" x14ac:dyDescent="0.2">
      <c r="A143" s="164">
        <v>141</v>
      </c>
      <c r="B143" s="285" t="s">
        <v>471</v>
      </c>
      <c r="C143" s="330">
        <v>3459.82</v>
      </c>
      <c r="D143" s="87">
        <v>740</v>
      </c>
      <c r="E143" s="82">
        <v>0.25</v>
      </c>
      <c r="F143" s="82">
        <f t="shared" si="2"/>
        <v>185</v>
      </c>
      <c r="G143" s="83">
        <f t="shared" si="0"/>
        <v>8.9118316367132779E-3</v>
      </c>
    </row>
    <row r="144" spans="1:7" ht="11.25" x14ac:dyDescent="0.2">
      <c r="A144" s="164">
        <v>142</v>
      </c>
      <c r="B144" s="285" t="s">
        <v>472</v>
      </c>
      <c r="C144" s="330">
        <v>1752.03</v>
      </c>
      <c r="D144" s="87">
        <v>378</v>
      </c>
      <c r="E144" s="82">
        <v>0.25</v>
      </c>
      <c r="F144" s="82">
        <f t="shared" si="2"/>
        <v>94.5</v>
      </c>
      <c r="G144" s="83">
        <f t="shared" si="0"/>
        <v>8.9895720963682132E-3</v>
      </c>
    </row>
    <row r="145" spans="1:7" ht="11.25" x14ac:dyDescent="0.2">
      <c r="A145" s="164">
        <v>143</v>
      </c>
      <c r="B145" s="285" t="s">
        <v>473</v>
      </c>
      <c r="C145" s="330">
        <v>4953.7</v>
      </c>
      <c r="D145" s="87">
        <v>1306</v>
      </c>
      <c r="E145" s="82">
        <v>0.25</v>
      </c>
      <c r="F145" s="82">
        <f t="shared" si="2"/>
        <v>326.5</v>
      </c>
      <c r="G145" s="83">
        <f t="shared" si="0"/>
        <v>1.0985054942097153E-2</v>
      </c>
    </row>
    <row r="146" spans="1:7" ht="11.25" x14ac:dyDescent="0.2">
      <c r="A146" s="164">
        <v>144</v>
      </c>
      <c r="B146" s="285" t="s">
        <v>474</v>
      </c>
      <c r="C146" s="330">
        <v>1706.17</v>
      </c>
      <c r="D146" s="87">
        <v>377</v>
      </c>
      <c r="E146" s="82">
        <v>0.25</v>
      </c>
      <c r="F146" s="82">
        <f t="shared" si="2"/>
        <v>94.25</v>
      </c>
      <c r="G146" s="83">
        <f t="shared" si="0"/>
        <v>9.2067808795919127E-3</v>
      </c>
    </row>
    <row r="147" spans="1:7" ht="11.25" x14ac:dyDescent="0.2">
      <c r="A147" s="164">
        <v>145</v>
      </c>
      <c r="B147" s="285" t="s">
        <v>475</v>
      </c>
      <c r="C147" s="330">
        <v>1135.3399999999999</v>
      </c>
      <c r="D147" s="87">
        <v>243.3</v>
      </c>
      <c r="E147" s="82">
        <v>0.25</v>
      </c>
      <c r="F147" s="82">
        <f t="shared" ref="F147:F160" si="3">D147*E147</f>
        <v>60.825000000000003</v>
      </c>
      <c r="G147" s="83">
        <f t="shared" si="0"/>
        <v>8.9290432821885965E-3</v>
      </c>
    </row>
    <row r="148" spans="1:7" ht="11.25" x14ac:dyDescent="0.2">
      <c r="A148" s="164">
        <v>146</v>
      </c>
      <c r="B148" s="285" t="s">
        <v>476</v>
      </c>
      <c r="C148" s="330">
        <v>1716.28</v>
      </c>
      <c r="D148" s="87">
        <v>370.1</v>
      </c>
      <c r="E148" s="82">
        <v>0.25</v>
      </c>
      <c r="F148" s="82">
        <f t="shared" si="3"/>
        <v>92.525000000000006</v>
      </c>
      <c r="G148" s="83">
        <f t="shared" si="0"/>
        <v>8.9850335221137185E-3</v>
      </c>
    </row>
    <row r="149" spans="1:7" ht="11.25" x14ac:dyDescent="0.2">
      <c r="A149" s="164">
        <v>147</v>
      </c>
      <c r="B149" s="285" t="s">
        <v>477</v>
      </c>
      <c r="C149" s="330">
        <v>2696.17</v>
      </c>
      <c r="D149" s="87">
        <v>565.29999999999995</v>
      </c>
      <c r="E149" s="82">
        <v>0.25</v>
      </c>
      <c r="F149" s="82">
        <f t="shared" si="3"/>
        <v>141.32499999999999</v>
      </c>
      <c r="G149" s="83">
        <f t="shared" si="0"/>
        <v>8.736157833766663E-3</v>
      </c>
    </row>
    <row r="150" spans="1:7" ht="11.25" x14ac:dyDescent="0.2">
      <c r="A150" s="164">
        <v>148</v>
      </c>
      <c r="B150" s="285" t="s">
        <v>478</v>
      </c>
      <c r="C150" s="330">
        <v>1747.74</v>
      </c>
      <c r="D150" s="87">
        <v>351.2</v>
      </c>
      <c r="E150" s="82">
        <v>0.25</v>
      </c>
      <c r="F150" s="82">
        <f t="shared" si="3"/>
        <v>87.8</v>
      </c>
      <c r="G150" s="83">
        <f t="shared" si="0"/>
        <v>8.3727175285416202E-3</v>
      </c>
    </row>
    <row r="151" spans="1:7" ht="11.25" x14ac:dyDescent="0.2">
      <c r="A151" s="164">
        <v>149</v>
      </c>
      <c r="B151" s="285" t="s">
        <v>479</v>
      </c>
      <c r="C151" s="330">
        <v>1129.0999999999999</v>
      </c>
      <c r="D151" s="87">
        <v>191.7</v>
      </c>
      <c r="E151" s="82">
        <v>0.25</v>
      </c>
      <c r="F151" s="82">
        <f t="shared" si="3"/>
        <v>47.924999999999997</v>
      </c>
      <c r="G151" s="83">
        <f t="shared" si="0"/>
        <v>7.0742184040386152E-3</v>
      </c>
    </row>
    <row r="152" spans="1:7" ht="11.25" x14ac:dyDescent="0.2">
      <c r="A152" s="164">
        <v>150</v>
      </c>
      <c r="B152" s="285" t="s">
        <v>480</v>
      </c>
      <c r="C152" s="330">
        <v>1724</v>
      </c>
      <c r="D152" s="87">
        <v>296.39999999999998</v>
      </c>
      <c r="E152" s="82">
        <v>0.25</v>
      </c>
      <c r="F152" s="82">
        <f t="shared" si="3"/>
        <v>74.099999999999994</v>
      </c>
      <c r="G152" s="83">
        <f t="shared" si="0"/>
        <v>7.1635730858468673E-3</v>
      </c>
    </row>
    <row r="153" spans="1:7" ht="11.25" x14ac:dyDescent="0.2">
      <c r="A153" s="164">
        <v>151</v>
      </c>
      <c r="B153" s="285" t="s">
        <v>481</v>
      </c>
      <c r="C153" s="330">
        <v>1775.1</v>
      </c>
      <c r="D153" s="87">
        <v>172.9</v>
      </c>
      <c r="E153" s="82">
        <v>0.25</v>
      </c>
      <c r="F153" s="82">
        <f t="shared" si="3"/>
        <v>43.225000000000001</v>
      </c>
      <c r="G153" s="83">
        <f t="shared" si="0"/>
        <v>4.058456800555838E-3</v>
      </c>
    </row>
    <row r="154" spans="1:7" ht="11.25" x14ac:dyDescent="0.2">
      <c r="A154" s="164">
        <v>152</v>
      </c>
      <c r="B154" s="285" t="s">
        <v>482</v>
      </c>
      <c r="C154" s="330">
        <v>3140.4</v>
      </c>
      <c r="D154" s="87">
        <v>538.6</v>
      </c>
      <c r="E154" s="82">
        <v>0.25</v>
      </c>
      <c r="F154" s="82">
        <f t="shared" si="3"/>
        <v>134.65</v>
      </c>
      <c r="G154" s="83">
        <f t="shared" si="0"/>
        <v>7.1461172674393914E-3</v>
      </c>
    </row>
    <row r="155" spans="1:7" ht="11.25" x14ac:dyDescent="0.2">
      <c r="A155" s="164">
        <v>153</v>
      </c>
      <c r="B155" s="285" t="s">
        <v>483</v>
      </c>
      <c r="C155" s="330">
        <v>6074.77</v>
      </c>
      <c r="D155" s="87">
        <v>589</v>
      </c>
      <c r="E155" s="82">
        <v>0.25</v>
      </c>
      <c r="F155" s="82">
        <f t="shared" si="3"/>
        <v>147.25</v>
      </c>
      <c r="G155" s="83">
        <f t="shared" si="0"/>
        <v>4.0399334734758131E-3</v>
      </c>
    </row>
    <row r="156" spans="1:7" ht="11.25" x14ac:dyDescent="0.2">
      <c r="A156" s="164">
        <v>154</v>
      </c>
      <c r="B156" s="285" t="s">
        <v>484</v>
      </c>
      <c r="C156" s="330">
        <v>1960.16</v>
      </c>
      <c r="D156" s="87">
        <v>268</v>
      </c>
      <c r="E156" s="82">
        <v>0.25</v>
      </c>
      <c r="F156" s="82">
        <f t="shared" si="3"/>
        <v>67</v>
      </c>
      <c r="G156" s="83">
        <f t="shared" si="0"/>
        <v>5.6968138655347856E-3</v>
      </c>
    </row>
    <row r="157" spans="1:7" ht="11.25" x14ac:dyDescent="0.2">
      <c r="A157" s="164">
        <v>155</v>
      </c>
      <c r="B157" s="285" t="s">
        <v>485</v>
      </c>
      <c r="C157" s="330">
        <v>5972.33</v>
      </c>
      <c r="D157" s="87" t="s">
        <v>20</v>
      </c>
      <c r="E157" s="87" t="s">
        <v>20</v>
      </c>
      <c r="F157" s="87" t="s">
        <v>20</v>
      </c>
      <c r="G157" s="87" t="s">
        <v>20</v>
      </c>
    </row>
    <row r="158" spans="1:7" ht="11.25" x14ac:dyDescent="0.2">
      <c r="A158" s="164">
        <v>156</v>
      </c>
      <c r="B158" s="285" t="s">
        <v>486</v>
      </c>
      <c r="C158" s="330">
        <v>2589.9</v>
      </c>
      <c r="D158" s="87">
        <v>285</v>
      </c>
      <c r="E158" s="82">
        <v>0.25</v>
      </c>
      <c r="F158" s="82">
        <f t="shared" si="3"/>
        <v>71.25</v>
      </c>
      <c r="G158" s="83">
        <f t="shared" si="0"/>
        <v>4.5851191165682068E-3</v>
      </c>
    </row>
    <row r="159" spans="1:7" ht="11.25" x14ac:dyDescent="0.2">
      <c r="A159" s="164">
        <v>157</v>
      </c>
      <c r="B159" s="285" t="s">
        <v>487</v>
      </c>
      <c r="C159" s="330">
        <v>3904.03</v>
      </c>
      <c r="D159" s="87">
        <v>425</v>
      </c>
      <c r="E159" s="82">
        <v>0.25</v>
      </c>
      <c r="F159" s="82">
        <f t="shared" si="3"/>
        <v>106.25</v>
      </c>
      <c r="G159" s="83">
        <f t="shared" si="0"/>
        <v>4.5359111823765012E-3</v>
      </c>
    </row>
    <row r="160" spans="1:7" ht="11.25" x14ac:dyDescent="0.2">
      <c r="A160" s="164">
        <v>158</v>
      </c>
      <c r="B160" s="285" t="s">
        <v>488</v>
      </c>
      <c r="C160" s="330">
        <v>3894.85</v>
      </c>
      <c r="D160" s="87">
        <v>425</v>
      </c>
      <c r="E160" s="82">
        <v>0.25</v>
      </c>
      <c r="F160" s="82">
        <f t="shared" si="3"/>
        <v>106.25</v>
      </c>
      <c r="G160" s="83">
        <f t="shared" si="0"/>
        <v>4.5466021370099835E-3</v>
      </c>
    </row>
    <row r="161" spans="1:23" s="70" customFormat="1" ht="10.5" x14ac:dyDescent="0.2">
      <c r="A161" s="165">
        <v>159</v>
      </c>
      <c r="B161" s="334" t="s">
        <v>41</v>
      </c>
      <c r="C161" s="194">
        <f>SUM(C3:C160)-C157-C130-C107-C82-C81-C80-C79-C76-C75-C74-C71-C70-C69-C68-C67-C66-C65-C64-C63-C62-C61-C60-C55-C52-C49-C48-C47-C46-C44-C43-C41-C40-C39-C38-C37-C36-C35-C34-C33-C32-C31-C30-C29-C22-C21-C20-C15-C14-C10-C8-C7-C6-C5-C4-C3</f>
        <v>209460.40000000005</v>
      </c>
      <c r="D161" s="249">
        <f>SUM(D3:D160)</f>
        <v>45827.4</v>
      </c>
      <c r="E161" s="194">
        <v>0.26</v>
      </c>
      <c r="F161" s="194">
        <f>D161*E161</f>
        <v>11915.124000000002</v>
      </c>
      <c r="G161" s="166">
        <f t="shared" si="0"/>
        <v>9.4808087829489473E-3</v>
      </c>
      <c r="H161" s="203"/>
      <c r="I161" s="203"/>
    </row>
    <row r="163" spans="1:23" s="81" customFormat="1" ht="15.75" customHeight="1" x14ac:dyDescent="0.2">
      <c r="A163" s="279"/>
      <c r="B163" s="276" t="s">
        <v>234</v>
      </c>
      <c r="C163" s="278"/>
      <c r="D163" s="278"/>
      <c r="E163" s="509" t="s">
        <v>648</v>
      </c>
      <c r="F163" s="509"/>
      <c r="G163" s="277"/>
      <c r="H163" s="510"/>
      <c r="I163" s="510"/>
      <c r="J163" s="510"/>
      <c r="K163" s="510"/>
      <c r="L163" s="510"/>
      <c r="M163" s="278"/>
      <c r="N163" s="245"/>
      <c r="O163" s="245"/>
      <c r="P163" s="105"/>
      <c r="Q163" s="105"/>
      <c r="R163" s="105"/>
      <c r="S163" s="105"/>
      <c r="T163" s="105"/>
      <c r="U163" s="245"/>
      <c r="V163" s="245"/>
      <c r="W163" s="105"/>
    </row>
    <row r="166" spans="1:23" x14ac:dyDescent="0.2">
      <c r="C166" s="109"/>
    </row>
  </sheetData>
  <mergeCells count="3">
    <mergeCell ref="A1:G1"/>
    <mergeCell ref="E163:F163"/>
    <mergeCell ref="H163:L163"/>
  </mergeCells>
  <phoneticPr fontId="2" type="noConversion"/>
  <pageMargins left="0.78740157480314965" right="0.15748031496062992" top="0.15748031496062992" bottom="0.19685039370078741" header="0.51181102362204722" footer="0.35433070866141736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opLeftCell="A22" zoomScale="120" zoomScaleNormal="120" workbookViewId="0">
      <selection activeCell="E163" sqref="E163:F163"/>
    </sheetView>
  </sheetViews>
  <sheetFormatPr defaultRowHeight="12" x14ac:dyDescent="0.2"/>
  <cols>
    <col min="1" max="1" width="5.5703125" style="39" bestFit="1" customWidth="1"/>
    <col min="2" max="2" width="20.140625" style="213" customWidth="1"/>
    <col min="3" max="3" width="13.140625" style="39" customWidth="1"/>
    <col min="4" max="4" width="15" style="39" customWidth="1"/>
    <col min="5" max="5" width="9.140625" style="39"/>
    <col min="6" max="6" width="11.85546875" style="39" customWidth="1"/>
    <col min="7" max="7" width="11.85546875" style="163" customWidth="1"/>
    <col min="8" max="8" width="9.140625" style="80"/>
  </cols>
  <sheetData>
    <row r="1" spans="1:8" ht="36" customHeight="1" x14ac:dyDescent="0.2">
      <c r="A1" s="512" t="s">
        <v>614</v>
      </c>
      <c r="B1" s="512"/>
      <c r="C1" s="512"/>
      <c r="D1" s="512"/>
      <c r="E1" s="512"/>
      <c r="F1" s="512"/>
      <c r="G1" s="512"/>
    </row>
    <row r="2" spans="1:8" s="84" customFormat="1" ht="36" x14ac:dyDescent="0.2">
      <c r="A2" s="40" t="s">
        <v>1</v>
      </c>
      <c r="B2" s="214" t="s">
        <v>0</v>
      </c>
      <c r="C2" s="40" t="s">
        <v>72</v>
      </c>
      <c r="D2" s="40" t="s">
        <v>78</v>
      </c>
      <c r="E2" s="40" t="s">
        <v>74</v>
      </c>
      <c r="F2" s="40" t="s">
        <v>91</v>
      </c>
      <c r="G2" s="41" t="s">
        <v>76</v>
      </c>
      <c r="H2" s="419"/>
    </row>
    <row r="3" spans="1:8" s="84" customFormat="1" x14ac:dyDescent="0.2">
      <c r="A3" s="34">
        <v>1</v>
      </c>
      <c r="B3" s="413" t="s">
        <v>331</v>
      </c>
      <c r="C3" s="434">
        <v>394.86</v>
      </c>
      <c r="D3" s="234" t="s">
        <v>20</v>
      </c>
      <c r="E3" s="234" t="s">
        <v>20</v>
      </c>
      <c r="F3" s="234" t="s">
        <v>20</v>
      </c>
      <c r="G3" s="234" t="s">
        <v>20</v>
      </c>
      <c r="H3" s="419"/>
    </row>
    <row r="4" spans="1:8" s="84" customFormat="1" x14ac:dyDescent="0.2">
      <c r="A4" s="34">
        <v>2</v>
      </c>
      <c r="B4" s="413" t="s">
        <v>332</v>
      </c>
      <c r="C4" s="414">
        <v>326.89999999999998</v>
      </c>
      <c r="D4" s="234" t="s">
        <v>20</v>
      </c>
      <c r="E4" s="234" t="s">
        <v>20</v>
      </c>
      <c r="F4" s="234" t="s">
        <v>20</v>
      </c>
      <c r="G4" s="234" t="s">
        <v>20</v>
      </c>
      <c r="H4" s="419"/>
    </row>
    <row r="5" spans="1:8" s="84" customFormat="1" x14ac:dyDescent="0.2">
      <c r="A5" s="34">
        <v>3</v>
      </c>
      <c r="B5" s="413" t="s">
        <v>333</v>
      </c>
      <c r="C5" s="414">
        <v>490.6</v>
      </c>
      <c r="D5" s="234" t="s">
        <v>20</v>
      </c>
      <c r="E5" s="234" t="s">
        <v>20</v>
      </c>
      <c r="F5" s="234" t="s">
        <v>20</v>
      </c>
      <c r="G5" s="234" t="s">
        <v>20</v>
      </c>
      <c r="H5" s="419"/>
    </row>
    <row r="6" spans="1:8" s="84" customFormat="1" x14ac:dyDescent="0.2">
      <c r="A6" s="34">
        <v>4</v>
      </c>
      <c r="B6" s="413" t="s">
        <v>334</v>
      </c>
      <c r="C6" s="414">
        <v>341.5</v>
      </c>
      <c r="D6" s="234" t="s">
        <v>20</v>
      </c>
      <c r="E6" s="234" t="s">
        <v>20</v>
      </c>
      <c r="F6" s="234" t="s">
        <v>20</v>
      </c>
      <c r="G6" s="234" t="s">
        <v>20</v>
      </c>
      <c r="H6" s="419"/>
    </row>
    <row r="7" spans="1:8" s="84" customFormat="1" x14ac:dyDescent="0.2">
      <c r="A7" s="34">
        <v>5</v>
      </c>
      <c r="B7" s="413" t="s">
        <v>335</v>
      </c>
      <c r="C7" s="414">
        <v>375.1</v>
      </c>
      <c r="D7" s="234" t="s">
        <v>20</v>
      </c>
      <c r="E7" s="234" t="s">
        <v>20</v>
      </c>
      <c r="F7" s="234" t="s">
        <v>20</v>
      </c>
      <c r="G7" s="234" t="s">
        <v>20</v>
      </c>
      <c r="H7" s="419"/>
    </row>
    <row r="8" spans="1:8" s="84" customFormat="1" x14ac:dyDescent="0.2">
      <c r="A8" s="34">
        <v>6</v>
      </c>
      <c r="B8" s="413" t="s">
        <v>336</v>
      </c>
      <c r="C8" s="414">
        <v>386.23</v>
      </c>
      <c r="D8" s="234" t="s">
        <v>20</v>
      </c>
      <c r="E8" s="234" t="s">
        <v>20</v>
      </c>
      <c r="F8" s="234" t="s">
        <v>20</v>
      </c>
      <c r="G8" s="234" t="s">
        <v>20</v>
      </c>
      <c r="H8" s="419"/>
    </row>
    <row r="9" spans="1:8" s="84" customFormat="1" x14ac:dyDescent="0.2">
      <c r="A9" s="34">
        <v>7</v>
      </c>
      <c r="B9" s="413" t="s">
        <v>337</v>
      </c>
      <c r="C9" s="414">
        <v>917</v>
      </c>
      <c r="D9" s="234">
        <v>434.3</v>
      </c>
      <c r="E9" s="40">
        <v>0.15</v>
      </c>
      <c r="F9" s="40">
        <f>D9*E9</f>
        <v>65.144999999999996</v>
      </c>
      <c r="G9" s="41">
        <f>(F9/C9/12)*2</f>
        <v>1.1840239912758996E-2</v>
      </c>
      <c r="H9" s="419"/>
    </row>
    <row r="10" spans="1:8" s="84" customFormat="1" x14ac:dyDescent="0.2">
      <c r="A10" s="34">
        <v>8</v>
      </c>
      <c r="B10" s="413" t="s">
        <v>338</v>
      </c>
      <c r="C10" s="414">
        <v>354.4</v>
      </c>
      <c r="D10" s="234" t="s">
        <v>20</v>
      </c>
      <c r="E10" s="234" t="s">
        <v>20</v>
      </c>
      <c r="F10" s="234" t="s">
        <v>20</v>
      </c>
      <c r="G10" s="234" t="s">
        <v>20</v>
      </c>
      <c r="H10" s="419"/>
    </row>
    <row r="11" spans="1:8" s="84" customFormat="1" x14ac:dyDescent="0.2">
      <c r="A11" s="34">
        <v>9</v>
      </c>
      <c r="B11" s="413" t="s">
        <v>339</v>
      </c>
      <c r="C11" s="414">
        <v>634.4</v>
      </c>
      <c r="D11" s="234">
        <v>282.2</v>
      </c>
      <c r="E11" s="40">
        <v>0.15</v>
      </c>
      <c r="F11" s="40">
        <f t="shared" ref="F11:F161" si="0">D11*E11</f>
        <v>42.33</v>
      </c>
      <c r="G11" s="41">
        <f>(F11/C11/12)*2</f>
        <v>1.1120744010088272E-2</v>
      </c>
      <c r="H11" s="419"/>
    </row>
    <row r="12" spans="1:8" s="84" customFormat="1" x14ac:dyDescent="0.2">
      <c r="A12" s="34">
        <v>10</v>
      </c>
      <c r="B12" s="413" t="s">
        <v>340</v>
      </c>
      <c r="C12" s="414">
        <v>637.20000000000005</v>
      </c>
      <c r="D12" s="234">
        <v>293.10000000000002</v>
      </c>
      <c r="E12" s="40">
        <v>0.15</v>
      </c>
      <c r="F12" s="40">
        <f t="shared" si="0"/>
        <v>43.965000000000003</v>
      </c>
      <c r="G12" s="41">
        <f>(F12/C12/12)*2</f>
        <v>1.1499529190207157E-2</v>
      </c>
      <c r="H12" s="419"/>
    </row>
    <row r="13" spans="1:8" s="84" customFormat="1" x14ac:dyDescent="0.2">
      <c r="A13" s="34">
        <v>11</v>
      </c>
      <c r="B13" s="413" t="s">
        <v>341</v>
      </c>
      <c r="C13" s="414">
        <v>463.8</v>
      </c>
      <c r="D13" s="234">
        <v>158.4</v>
      </c>
      <c r="E13" s="40">
        <v>0.15</v>
      </c>
      <c r="F13" s="40">
        <f t="shared" si="0"/>
        <v>23.76</v>
      </c>
      <c r="G13" s="41">
        <f>(F13/C13/12)*2</f>
        <v>8.538163001293661E-3</v>
      </c>
      <c r="H13" s="419"/>
    </row>
    <row r="14" spans="1:8" s="84" customFormat="1" x14ac:dyDescent="0.2">
      <c r="A14" s="34">
        <v>12</v>
      </c>
      <c r="B14" s="413" t="s">
        <v>342</v>
      </c>
      <c r="C14" s="414">
        <v>633.29999999999995</v>
      </c>
      <c r="D14" s="234" t="s">
        <v>20</v>
      </c>
      <c r="E14" s="234" t="s">
        <v>20</v>
      </c>
      <c r="F14" s="234" t="s">
        <v>20</v>
      </c>
      <c r="G14" s="234" t="s">
        <v>20</v>
      </c>
      <c r="H14" s="419"/>
    </row>
    <row r="15" spans="1:8" s="84" customFormat="1" x14ac:dyDescent="0.2">
      <c r="A15" s="34">
        <v>13</v>
      </c>
      <c r="B15" s="413" t="s">
        <v>343</v>
      </c>
      <c r="C15" s="414">
        <v>379.5</v>
      </c>
      <c r="D15" s="234" t="s">
        <v>20</v>
      </c>
      <c r="E15" s="234" t="s">
        <v>20</v>
      </c>
      <c r="F15" s="234" t="s">
        <v>20</v>
      </c>
      <c r="G15" s="234" t="s">
        <v>20</v>
      </c>
      <c r="H15" s="419"/>
    </row>
    <row r="16" spans="1:8" s="84" customFormat="1" x14ac:dyDescent="0.2">
      <c r="A16" s="34">
        <v>14</v>
      </c>
      <c r="B16" s="413" t="s">
        <v>344</v>
      </c>
      <c r="C16" s="414">
        <v>916.4</v>
      </c>
      <c r="D16" s="253">
        <v>468.8</v>
      </c>
      <c r="E16" s="40">
        <v>0.15</v>
      </c>
      <c r="F16" s="40">
        <f t="shared" si="0"/>
        <v>70.319999999999993</v>
      </c>
      <c r="G16" s="41">
        <f>(F16/C16/12)*2</f>
        <v>1.2789175032736794E-2</v>
      </c>
      <c r="H16" s="419"/>
    </row>
    <row r="17" spans="1:8" s="84" customFormat="1" x14ac:dyDescent="0.2">
      <c r="A17" s="34">
        <v>15</v>
      </c>
      <c r="B17" s="413" t="s">
        <v>345</v>
      </c>
      <c r="C17" s="414">
        <v>922.1</v>
      </c>
      <c r="D17" s="253">
        <v>468.8</v>
      </c>
      <c r="E17" s="40">
        <v>0.15</v>
      </c>
      <c r="F17" s="40">
        <f t="shared" si="0"/>
        <v>70.319999999999993</v>
      </c>
      <c r="G17" s="41">
        <f>(F17/C17/12)*2</f>
        <v>1.2710118208437262E-2</v>
      </c>
      <c r="H17" s="419"/>
    </row>
    <row r="18" spans="1:8" s="84" customFormat="1" x14ac:dyDescent="0.2">
      <c r="A18" s="34">
        <v>16</v>
      </c>
      <c r="B18" s="413" t="s">
        <v>346</v>
      </c>
      <c r="C18" s="414">
        <v>490.3</v>
      </c>
      <c r="D18" s="253">
        <v>277.8</v>
      </c>
      <c r="E18" s="40">
        <v>0.15</v>
      </c>
      <c r="F18" s="40">
        <f t="shared" si="0"/>
        <v>41.67</v>
      </c>
      <c r="G18" s="41">
        <f>(F18/C18/12)*2</f>
        <v>1.4164797063022641E-2</v>
      </c>
      <c r="H18" s="419"/>
    </row>
    <row r="19" spans="1:8" s="84" customFormat="1" x14ac:dyDescent="0.2">
      <c r="A19" s="34">
        <v>17</v>
      </c>
      <c r="B19" s="413" t="s">
        <v>347</v>
      </c>
      <c r="C19" s="414">
        <v>502.4</v>
      </c>
      <c r="D19" s="253">
        <v>277.8</v>
      </c>
      <c r="E19" s="40">
        <v>0.15</v>
      </c>
      <c r="F19" s="40">
        <f t="shared" si="0"/>
        <v>41.67</v>
      </c>
      <c r="G19" s="41">
        <f>(F19/C19/12)*2</f>
        <v>1.3823646496815287E-2</v>
      </c>
      <c r="H19" s="419"/>
    </row>
    <row r="20" spans="1:8" s="84" customFormat="1" x14ac:dyDescent="0.2">
      <c r="A20" s="34">
        <v>18</v>
      </c>
      <c r="B20" s="413" t="s">
        <v>348</v>
      </c>
      <c r="C20" s="414">
        <v>655.29999999999995</v>
      </c>
      <c r="D20" s="253" t="s">
        <v>20</v>
      </c>
      <c r="E20" s="253" t="s">
        <v>20</v>
      </c>
      <c r="F20" s="253" t="s">
        <v>20</v>
      </c>
      <c r="G20" s="253" t="s">
        <v>20</v>
      </c>
      <c r="H20" s="419"/>
    </row>
    <row r="21" spans="1:8" s="84" customFormat="1" x14ac:dyDescent="0.2">
      <c r="A21" s="34">
        <v>19</v>
      </c>
      <c r="B21" s="413" t="s">
        <v>349</v>
      </c>
      <c r="C21" s="414">
        <v>663.8</v>
      </c>
      <c r="D21" s="253" t="s">
        <v>20</v>
      </c>
      <c r="E21" s="253" t="s">
        <v>20</v>
      </c>
      <c r="F21" s="253" t="s">
        <v>20</v>
      </c>
      <c r="G21" s="253" t="s">
        <v>20</v>
      </c>
      <c r="H21" s="419"/>
    </row>
    <row r="22" spans="1:8" s="84" customFormat="1" x14ac:dyDescent="0.2">
      <c r="A22" s="34">
        <v>20</v>
      </c>
      <c r="B22" s="413" t="s">
        <v>350</v>
      </c>
      <c r="C22" s="414">
        <v>679.3</v>
      </c>
      <c r="D22" s="253" t="s">
        <v>20</v>
      </c>
      <c r="E22" s="253" t="s">
        <v>20</v>
      </c>
      <c r="F22" s="253" t="s">
        <v>20</v>
      </c>
      <c r="G22" s="253" t="s">
        <v>20</v>
      </c>
      <c r="H22" s="419"/>
    </row>
    <row r="23" spans="1:8" s="84" customFormat="1" x14ac:dyDescent="0.2">
      <c r="A23" s="34">
        <v>21</v>
      </c>
      <c r="B23" s="413" t="s">
        <v>351</v>
      </c>
      <c r="C23" s="414">
        <v>828.8</v>
      </c>
      <c r="D23" s="253">
        <v>469.3</v>
      </c>
      <c r="E23" s="40">
        <v>0.15</v>
      </c>
      <c r="F23" s="40">
        <f t="shared" si="0"/>
        <v>70.394999999999996</v>
      </c>
      <c r="G23" s="41">
        <f t="shared" ref="G23:G28" si="1">(F23/C23/12)*2</f>
        <v>1.4156008687258687E-2</v>
      </c>
      <c r="H23" s="419"/>
    </row>
    <row r="24" spans="1:8" s="84" customFormat="1" x14ac:dyDescent="0.2">
      <c r="A24" s="34">
        <v>22</v>
      </c>
      <c r="B24" s="413" t="s">
        <v>352</v>
      </c>
      <c r="C24" s="414">
        <v>1413.6</v>
      </c>
      <c r="D24" s="253">
        <v>823.7</v>
      </c>
      <c r="E24" s="40">
        <v>0.15</v>
      </c>
      <c r="F24" s="40">
        <f t="shared" si="0"/>
        <v>123.55500000000001</v>
      </c>
      <c r="G24" s="41">
        <f t="shared" si="1"/>
        <v>1.4567416525183929E-2</v>
      </c>
      <c r="H24" s="419"/>
    </row>
    <row r="25" spans="1:8" s="84" customFormat="1" x14ac:dyDescent="0.2">
      <c r="A25" s="34">
        <v>23</v>
      </c>
      <c r="B25" s="413" t="s">
        <v>353</v>
      </c>
      <c r="C25" s="414">
        <v>1478</v>
      </c>
      <c r="D25" s="253">
        <v>811.8</v>
      </c>
      <c r="E25" s="40">
        <v>0.15</v>
      </c>
      <c r="F25" s="40">
        <f t="shared" si="0"/>
        <v>121.76999999999998</v>
      </c>
      <c r="G25" s="41">
        <f t="shared" si="1"/>
        <v>1.3731393775372122E-2</v>
      </c>
      <c r="H25" s="419"/>
    </row>
    <row r="26" spans="1:8" s="84" customFormat="1" x14ac:dyDescent="0.2">
      <c r="A26" s="34">
        <v>24</v>
      </c>
      <c r="B26" s="413" t="s">
        <v>354</v>
      </c>
      <c r="C26" s="414">
        <v>848.6</v>
      </c>
      <c r="D26" s="253">
        <v>449.1</v>
      </c>
      <c r="E26" s="40">
        <v>0.15</v>
      </c>
      <c r="F26" s="40">
        <f t="shared" si="0"/>
        <v>67.364999999999995</v>
      </c>
      <c r="G26" s="41">
        <f t="shared" si="1"/>
        <v>1.3230615130803675E-2</v>
      </c>
      <c r="H26" s="419"/>
    </row>
    <row r="27" spans="1:8" s="84" customFormat="1" x14ac:dyDescent="0.2">
      <c r="A27" s="34">
        <v>25</v>
      </c>
      <c r="B27" s="413" t="s">
        <v>355</v>
      </c>
      <c r="C27" s="414">
        <v>834.8</v>
      </c>
      <c r="D27" s="253">
        <v>459.1</v>
      </c>
      <c r="E27" s="40">
        <v>0.15</v>
      </c>
      <c r="F27" s="40">
        <f t="shared" si="0"/>
        <v>68.864999999999995</v>
      </c>
      <c r="G27" s="41">
        <f t="shared" si="1"/>
        <v>1.374880210828941E-2</v>
      </c>
      <c r="H27" s="419"/>
    </row>
    <row r="28" spans="1:8" s="84" customFormat="1" x14ac:dyDescent="0.2">
      <c r="A28" s="34">
        <v>26</v>
      </c>
      <c r="B28" s="413" t="s">
        <v>356</v>
      </c>
      <c r="C28" s="414">
        <v>848.8</v>
      </c>
      <c r="D28" s="253">
        <v>459.1</v>
      </c>
      <c r="E28" s="40">
        <v>0.15</v>
      </c>
      <c r="F28" s="40">
        <f t="shared" si="0"/>
        <v>68.864999999999995</v>
      </c>
      <c r="G28" s="41">
        <f t="shared" si="1"/>
        <v>1.352203110273327E-2</v>
      </c>
      <c r="H28" s="419"/>
    </row>
    <row r="29" spans="1:8" s="84" customFormat="1" x14ac:dyDescent="0.2">
      <c r="A29" s="34">
        <v>27</v>
      </c>
      <c r="B29" s="413" t="s">
        <v>357</v>
      </c>
      <c r="C29" s="414">
        <v>646.76</v>
      </c>
      <c r="D29" s="253" t="s">
        <v>20</v>
      </c>
      <c r="E29" s="253" t="s">
        <v>20</v>
      </c>
      <c r="F29" s="253" t="s">
        <v>20</v>
      </c>
      <c r="G29" s="253" t="s">
        <v>20</v>
      </c>
      <c r="H29" s="419"/>
    </row>
    <row r="30" spans="1:8" s="84" customFormat="1" x14ac:dyDescent="0.2">
      <c r="A30" s="34">
        <v>28</v>
      </c>
      <c r="B30" s="413" t="s">
        <v>358</v>
      </c>
      <c r="C30" s="414">
        <v>638.20000000000005</v>
      </c>
      <c r="D30" s="253" t="s">
        <v>20</v>
      </c>
      <c r="E30" s="253" t="s">
        <v>20</v>
      </c>
      <c r="F30" s="253" t="s">
        <v>20</v>
      </c>
      <c r="G30" s="253" t="s">
        <v>20</v>
      </c>
      <c r="H30" s="419"/>
    </row>
    <row r="31" spans="1:8" s="84" customFormat="1" x14ac:dyDescent="0.2">
      <c r="A31" s="34">
        <v>29</v>
      </c>
      <c r="B31" s="413" t="s">
        <v>359</v>
      </c>
      <c r="C31" s="414">
        <v>385.2</v>
      </c>
      <c r="D31" s="253" t="s">
        <v>20</v>
      </c>
      <c r="E31" s="253" t="s">
        <v>20</v>
      </c>
      <c r="F31" s="253" t="s">
        <v>20</v>
      </c>
      <c r="G31" s="253" t="s">
        <v>20</v>
      </c>
      <c r="H31" s="419"/>
    </row>
    <row r="32" spans="1:8" s="84" customFormat="1" x14ac:dyDescent="0.2">
      <c r="A32" s="34">
        <v>30</v>
      </c>
      <c r="B32" s="413" t="s">
        <v>360</v>
      </c>
      <c r="C32" s="414">
        <v>398.4</v>
      </c>
      <c r="D32" s="253" t="s">
        <v>20</v>
      </c>
      <c r="E32" s="253" t="s">
        <v>20</v>
      </c>
      <c r="F32" s="253" t="s">
        <v>20</v>
      </c>
      <c r="G32" s="253" t="s">
        <v>20</v>
      </c>
      <c r="H32" s="419"/>
    </row>
    <row r="33" spans="1:8" s="84" customFormat="1" x14ac:dyDescent="0.2">
      <c r="A33" s="34">
        <v>31</v>
      </c>
      <c r="B33" s="413" t="s">
        <v>361</v>
      </c>
      <c r="C33" s="414">
        <v>977.25</v>
      </c>
      <c r="D33" s="253" t="s">
        <v>20</v>
      </c>
      <c r="E33" s="253" t="s">
        <v>20</v>
      </c>
      <c r="F33" s="253" t="s">
        <v>20</v>
      </c>
      <c r="G33" s="253" t="s">
        <v>20</v>
      </c>
      <c r="H33" s="419"/>
    </row>
    <row r="34" spans="1:8" s="84" customFormat="1" x14ac:dyDescent="0.2">
      <c r="A34" s="34">
        <v>32</v>
      </c>
      <c r="B34" s="413" t="s">
        <v>362</v>
      </c>
      <c r="C34" s="414">
        <v>796.2</v>
      </c>
      <c r="D34" s="253" t="s">
        <v>20</v>
      </c>
      <c r="E34" s="253" t="s">
        <v>20</v>
      </c>
      <c r="F34" s="253" t="s">
        <v>20</v>
      </c>
      <c r="G34" s="253" t="s">
        <v>20</v>
      </c>
      <c r="H34" s="419"/>
    </row>
    <row r="35" spans="1:8" s="84" customFormat="1" x14ac:dyDescent="0.2">
      <c r="A35" s="34">
        <v>33</v>
      </c>
      <c r="B35" s="413" t="s">
        <v>363</v>
      </c>
      <c r="C35" s="414">
        <v>394.3</v>
      </c>
      <c r="D35" s="253" t="s">
        <v>20</v>
      </c>
      <c r="E35" s="253" t="s">
        <v>20</v>
      </c>
      <c r="F35" s="253" t="s">
        <v>20</v>
      </c>
      <c r="G35" s="253" t="s">
        <v>20</v>
      </c>
      <c r="H35" s="419"/>
    </row>
    <row r="36" spans="1:8" s="84" customFormat="1" x14ac:dyDescent="0.2">
      <c r="A36" s="34">
        <v>34</v>
      </c>
      <c r="B36" s="413" t="s">
        <v>364</v>
      </c>
      <c r="C36" s="414">
        <v>462.9</v>
      </c>
      <c r="D36" s="253" t="s">
        <v>20</v>
      </c>
      <c r="E36" s="253" t="s">
        <v>20</v>
      </c>
      <c r="F36" s="253" t="s">
        <v>20</v>
      </c>
      <c r="G36" s="253" t="s">
        <v>20</v>
      </c>
      <c r="H36" s="419"/>
    </row>
    <row r="37" spans="1:8" s="84" customFormat="1" x14ac:dyDescent="0.2">
      <c r="A37" s="34">
        <v>35</v>
      </c>
      <c r="B37" s="413" t="s">
        <v>365</v>
      </c>
      <c r="C37" s="414">
        <v>411.79</v>
      </c>
      <c r="D37" s="253" t="s">
        <v>20</v>
      </c>
      <c r="E37" s="253" t="s">
        <v>20</v>
      </c>
      <c r="F37" s="253" t="s">
        <v>20</v>
      </c>
      <c r="G37" s="253" t="s">
        <v>20</v>
      </c>
      <c r="H37" s="419"/>
    </row>
    <row r="38" spans="1:8" s="84" customFormat="1" x14ac:dyDescent="0.2">
      <c r="A38" s="34">
        <v>36</v>
      </c>
      <c r="B38" s="413" t="s">
        <v>366</v>
      </c>
      <c r="C38" s="414">
        <v>674.2</v>
      </c>
      <c r="D38" s="253" t="s">
        <v>20</v>
      </c>
      <c r="E38" s="253" t="s">
        <v>20</v>
      </c>
      <c r="F38" s="253" t="s">
        <v>20</v>
      </c>
      <c r="G38" s="253" t="s">
        <v>20</v>
      </c>
      <c r="H38" s="419"/>
    </row>
    <row r="39" spans="1:8" s="84" customFormat="1" x14ac:dyDescent="0.2">
      <c r="A39" s="34">
        <v>37</v>
      </c>
      <c r="B39" s="413" t="s">
        <v>367</v>
      </c>
      <c r="C39" s="414">
        <v>169</v>
      </c>
      <c r="D39" s="253" t="s">
        <v>20</v>
      </c>
      <c r="E39" s="253" t="s">
        <v>20</v>
      </c>
      <c r="F39" s="253" t="s">
        <v>20</v>
      </c>
      <c r="G39" s="253" t="s">
        <v>20</v>
      </c>
      <c r="H39" s="419"/>
    </row>
    <row r="40" spans="1:8" s="84" customFormat="1" x14ac:dyDescent="0.2">
      <c r="A40" s="34">
        <v>38</v>
      </c>
      <c r="B40" s="413" t="s">
        <v>368</v>
      </c>
      <c r="C40" s="414">
        <v>175.4</v>
      </c>
      <c r="D40" s="253" t="s">
        <v>20</v>
      </c>
      <c r="E40" s="253" t="s">
        <v>20</v>
      </c>
      <c r="F40" s="253" t="s">
        <v>20</v>
      </c>
      <c r="G40" s="253" t="s">
        <v>20</v>
      </c>
      <c r="H40" s="419"/>
    </row>
    <row r="41" spans="1:8" s="84" customFormat="1" x14ac:dyDescent="0.2">
      <c r="A41" s="34">
        <v>39</v>
      </c>
      <c r="B41" s="413" t="s">
        <v>369</v>
      </c>
      <c r="C41" s="414">
        <v>173.5</v>
      </c>
      <c r="D41" s="253" t="s">
        <v>20</v>
      </c>
      <c r="E41" s="253" t="s">
        <v>20</v>
      </c>
      <c r="F41" s="253" t="s">
        <v>20</v>
      </c>
      <c r="G41" s="253" t="s">
        <v>20</v>
      </c>
      <c r="H41" s="419"/>
    </row>
    <row r="42" spans="1:8" s="84" customFormat="1" x14ac:dyDescent="0.2">
      <c r="A42" s="34">
        <v>40</v>
      </c>
      <c r="B42" s="413" t="s">
        <v>370</v>
      </c>
      <c r="C42" s="414">
        <v>182</v>
      </c>
      <c r="D42" s="253">
        <v>91.5</v>
      </c>
      <c r="E42" s="40">
        <v>0.15</v>
      </c>
      <c r="F42" s="40">
        <f t="shared" si="0"/>
        <v>13.725</v>
      </c>
      <c r="G42" s="41">
        <f>(F42/C42/12)*2</f>
        <v>1.2568681318681317E-2</v>
      </c>
      <c r="H42" s="419"/>
    </row>
    <row r="43" spans="1:8" s="84" customFormat="1" x14ac:dyDescent="0.2">
      <c r="A43" s="34">
        <v>41</v>
      </c>
      <c r="B43" s="413" t="s">
        <v>371</v>
      </c>
      <c r="C43" s="414">
        <v>629.6</v>
      </c>
      <c r="D43" s="253" t="s">
        <v>20</v>
      </c>
      <c r="E43" s="253" t="s">
        <v>20</v>
      </c>
      <c r="F43" s="253" t="s">
        <v>20</v>
      </c>
      <c r="G43" s="253" t="s">
        <v>20</v>
      </c>
      <c r="H43" s="419"/>
    </row>
    <row r="44" spans="1:8" s="84" customFormat="1" x14ac:dyDescent="0.2">
      <c r="A44" s="34">
        <v>42</v>
      </c>
      <c r="B44" s="413" t="s">
        <v>372</v>
      </c>
      <c r="C44" s="414">
        <v>628.9</v>
      </c>
      <c r="D44" s="261" t="s">
        <v>20</v>
      </c>
      <c r="E44" s="261" t="s">
        <v>20</v>
      </c>
      <c r="F44" s="261" t="s">
        <v>20</v>
      </c>
      <c r="G44" s="261" t="s">
        <v>20</v>
      </c>
      <c r="H44" s="419"/>
    </row>
    <row r="45" spans="1:8" s="84" customFormat="1" x14ac:dyDescent="0.2">
      <c r="A45" s="34">
        <v>43</v>
      </c>
      <c r="B45" s="413" t="s">
        <v>373</v>
      </c>
      <c r="C45" s="414">
        <v>509.3</v>
      </c>
      <c r="D45" s="253">
        <v>291.3</v>
      </c>
      <c r="E45" s="40">
        <v>0.15</v>
      </c>
      <c r="F45" s="40">
        <f t="shared" si="0"/>
        <v>43.695</v>
      </c>
      <c r="G45" s="41">
        <f>(F45/C45/12)*2</f>
        <v>1.4299037895150206E-2</v>
      </c>
      <c r="H45" s="419"/>
    </row>
    <row r="46" spans="1:8" s="84" customFormat="1" x14ac:dyDescent="0.2">
      <c r="A46" s="34">
        <v>44</v>
      </c>
      <c r="B46" s="413" t="s">
        <v>374</v>
      </c>
      <c r="C46" s="414">
        <v>404.4</v>
      </c>
      <c r="D46" s="253" t="s">
        <v>20</v>
      </c>
      <c r="E46" s="253" t="s">
        <v>20</v>
      </c>
      <c r="F46" s="253" t="s">
        <v>20</v>
      </c>
      <c r="G46" s="253" t="s">
        <v>20</v>
      </c>
      <c r="H46" s="419"/>
    </row>
    <row r="47" spans="1:8" s="84" customFormat="1" x14ac:dyDescent="0.2">
      <c r="A47" s="34">
        <v>45</v>
      </c>
      <c r="B47" s="413" t="s">
        <v>375</v>
      </c>
      <c r="C47" s="414">
        <v>409.8</v>
      </c>
      <c r="D47" s="253" t="s">
        <v>20</v>
      </c>
      <c r="E47" s="253" t="s">
        <v>20</v>
      </c>
      <c r="F47" s="253" t="s">
        <v>20</v>
      </c>
      <c r="G47" s="253" t="s">
        <v>20</v>
      </c>
      <c r="H47" s="419"/>
    </row>
    <row r="48" spans="1:8" s="84" customFormat="1" x14ac:dyDescent="0.2">
      <c r="A48" s="34">
        <v>46</v>
      </c>
      <c r="B48" s="413" t="s">
        <v>376</v>
      </c>
      <c r="C48" s="414">
        <v>374.7</v>
      </c>
      <c r="D48" s="253" t="s">
        <v>20</v>
      </c>
      <c r="E48" s="253" t="s">
        <v>20</v>
      </c>
      <c r="F48" s="253" t="s">
        <v>20</v>
      </c>
      <c r="G48" s="253" t="s">
        <v>20</v>
      </c>
      <c r="H48" s="419"/>
    </row>
    <row r="49" spans="1:8" s="84" customFormat="1" x14ac:dyDescent="0.2">
      <c r="A49" s="34">
        <v>47</v>
      </c>
      <c r="B49" s="413" t="s">
        <v>377</v>
      </c>
      <c r="C49" s="414">
        <v>618.4</v>
      </c>
      <c r="D49" s="253" t="s">
        <v>20</v>
      </c>
      <c r="E49" s="253" t="s">
        <v>20</v>
      </c>
      <c r="F49" s="253" t="s">
        <v>20</v>
      </c>
      <c r="G49" s="253" t="s">
        <v>20</v>
      </c>
      <c r="H49" s="419"/>
    </row>
    <row r="50" spans="1:8" s="84" customFormat="1" x14ac:dyDescent="0.2">
      <c r="A50" s="34">
        <v>48</v>
      </c>
      <c r="B50" s="413" t="s">
        <v>378</v>
      </c>
      <c r="C50" s="414">
        <v>1126.3</v>
      </c>
      <c r="D50" s="253">
        <v>125.5</v>
      </c>
      <c r="E50" s="40">
        <v>0.15</v>
      </c>
      <c r="F50" s="40">
        <f t="shared" si="0"/>
        <v>18.824999999999999</v>
      </c>
      <c r="G50" s="41">
        <f>(F50/C50/12)*2</f>
        <v>2.7856698925685873E-3</v>
      </c>
      <c r="H50" s="419"/>
    </row>
    <row r="51" spans="1:8" s="84" customFormat="1" x14ac:dyDescent="0.2">
      <c r="A51" s="34">
        <v>49</v>
      </c>
      <c r="B51" s="413" t="s">
        <v>379</v>
      </c>
      <c r="C51" s="414">
        <v>617</v>
      </c>
      <c r="D51" s="253">
        <v>308.2</v>
      </c>
      <c r="E51" s="40">
        <v>0.15</v>
      </c>
      <c r="F51" s="40">
        <f t="shared" si="0"/>
        <v>46.23</v>
      </c>
      <c r="G51" s="41">
        <f>(F51/C51/12)*2</f>
        <v>1.2487844408427875E-2</v>
      </c>
      <c r="H51" s="419"/>
    </row>
    <row r="52" spans="1:8" s="84" customFormat="1" x14ac:dyDescent="0.2">
      <c r="A52" s="34">
        <v>50</v>
      </c>
      <c r="B52" s="413" t="s">
        <v>380</v>
      </c>
      <c r="C52" s="414">
        <v>452</v>
      </c>
      <c r="D52" s="253" t="s">
        <v>20</v>
      </c>
      <c r="E52" s="253" t="s">
        <v>20</v>
      </c>
      <c r="F52" s="253" t="s">
        <v>20</v>
      </c>
      <c r="G52" s="253" t="s">
        <v>20</v>
      </c>
      <c r="H52" s="419"/>
    </row>
    <row r="53" spans="1:8" s="84" customFormat="1" x14ac:dyDescent="0.2">
      <c r="A53" s="34">
        <v>51</v>
      </c>
      <c r="B53" s="413" t="s">
        <v>381</v>
      </c>
      <c r="C53" s="414">
        <v>1245.5999999999999</v>
      </c>
      <c r="D53" s="253">
        <v>171.6</v>
      </c>
      <c r="E53" s="40">
        <v>0.15</v>
      </c>
      <c r="F53" s="40">
        <f t="shared" si="0"/>
        <v>25.74</v>
      </c>
      <c r="G53" s="41">
        <f>(F53/C53/12)*2</f>
        <v>3.4441233140655105E-3</v>
      </c>
      <c r="H53" s="419"/>
    </row>
    <row r="54" spans="1:8" s="84" customFormat="1" x14ac:dyDescent="0.2">
      <c r="A54" s="34">
        <v>52</v>
      </c>
      <c r="B54" s="413" t="s">
        <v>382</v>
      </c>
      <c r="C54" s="414">
        <v>1275.5999999999999</v>
      </c>
      <c r="D54" s="253">
        <v>446</v>
      </c>
      <c r="E54" s="40">
        <v>0.15</v>
      </c>
      <c r="F54" s="40">
        <f t="shared" si="0"/>
        <v>66.899999999999991</v>
      </c>
      <c r="G54" s="41">
        <f>(F54/C54/12)*2</f>
        <v>8.7409846346817189E-3</v>
      </c>
      <c r="H54" s="419"/>
    </row>
    <row r="55" spans="1:8" s="84" customFormat="1" x14ac:dyDescent="0.2">
      <c r="A55" s="34">
        <v>53</v>
      </c>
      <c r="B55" s="413" t="s">
        <v>383</v>
      </c>
      <c r="C55" s="414">
        <v>942.4</v>
      </c>
      <c r="D55" s="253" t="s">
        <v>20</v>
      </c>
      <c r="E55" s="253" t="s">
        <v>20</v>
      </c>
      <c r="F55" s="253" t="s">
        <v>20</v>
      </c>
      <c r="G55" s="253" t="s">
        <v>20</v>
      </c>
      <c r="H55" s="419"/>
    </row>
    <row r="56" spans="1:8" s="84" customFormat="1" x14ac:dyDescent="0.2">
      <c r="A56" s="34">
        <v>54</v>
      </c>
      <c r="B56" s="413" t="s">
        <v>384</v>
      </c>
      <c r="C56" s="414">
        <v>567.95000000000005</v>
      </c>
      <c r="D56" s="253">
        <v>172.9</v>
      </c>
      <c r="E56" s="40">
        <v>0.15</v>
      </c>
      <c r="F56" s="40">
        <f t="shared" si="0"/>
        <v>25.934999999999999</v>
      </c>
      <c r="G56" s="41">
        <f>(F56/C56/12)*2</f>
        <v>7.6107051677084233E-3</v>
      </c>
      <c r="H56" s="419"/>
    </row>
    <row r="57" spans="1:8" s="84" customFormat="1" x14ac:dyDescent="0.2">
      <c r="A57" s="34">
        <v>55</v>
      </c>
      <c r="B57" s="413" t="s">
        <v>385</v>
      </c>
      <c r="C57" s="414">
        <v>1119.5999999999999</v>
      </c>
      <c r="D57" s="253">
        <v>111.5</v>
      </c>
      <c r="E57" s="40">
        <v>0.15</v>
      </c>
      <c r="F57" s="40">
        <f t="shared" si="0"/>
        <v>16.724999999999998</v>
      </c>
      <c r="G57" s="41">
        <f>(F57/C57/12)*2</f>
        <v>2.4897284744551623E-3</v>
      </c>
      <c r="H57" s="419"/>
    </row>
    <row r="58" spans="1:8" s="84" customFormat="1" x14ac:dyDescent="0.2">
      <c r="A58" s="34">
        <v>56</v>
      </c>
      <c r="B58" s="413" t="s">
        <v>386</v>
      </c>
      <c r="C58" s="414">
        <v>946.6</v>
      </c>
      <c r="D58" s="253">
        <v>111.5</v>
      </c>
      <c r="E58" s="40">
        <v>0.15</v>
      </c>
      <c r="F58" s="40">
        <f t="shared" si="0"/>
        <v>16.724999999999998</v>
      </c>
      <c r="G58" s="41">
        <f>(F58/C58/12)*2</f>
        <v>2.9447496302556515E-3</v>
      </c>
      <c r="H58" s="419"/>
    </row>
    <row r="59" spans="1:8" s="84" customFormat="1" x14ac:dyDescent="0.2">
      <c r="A59" s="34">
        <v>57</v>
      </c>
      <c r="B59" s="413" t="s">
        <v>387</v>
      </c>
      <c r="C59" s="414">
        <v>1375.7</v>
      </c>
      <c r="D59" s="253">
        <v>458.1</v>
      </c>
      <c r="E59" s="40">
        <v>0.15</v>
      </c>
      <c r="F59" s="40">
        <f t="shared" si="0"/>
        <v>68.715000000000003</v>
      </c>
      <c r="G59" s="41">
        <f>(F59/C59/12)*2</f>
        <v>8.3248528022097836E-3</v>
      </c>
      <c r="H59" s="419"/>
    </row>
    <row r="60" spans="1:8" s="84" customFormat="1" x14ac:dyDescent="0.2">
      <c r="A60" s="34">
        <v>58</v>
      </c>
      <c r="B60" s="413" t="s">
        <v>388</v>
      </c>
      <c r="C60" s="414">
        <v>1540.17</v>
      </c>
      <c r="D60" s="253" t="s">
        <v>20</v>
      </c>
      <c r="E60" s="253" t="s">
        <v>20</v>
      </c>
      <c r="F60" s="253" t="s">
        <v>20</v>
      </c>
      <c r="G60" s="253" t="s">
        <v>20</v>
      </c>
      <c r="H60" s="419"/>
    </row>
    <row r="61" spans="1:8" s="84" customFormat="1" x14ac:dyDescent="0.2">
      <c r="A61" s="34">
        <v>59</v>
      </c>
      <c r="B61" s="413" t="s">
        <v>389</v>
      </c>
      <c r="C61" s="414">
        <v>1571.33</v>
      </c>
      <c r="D61" s="253" t="s">
        <v>20</v>
      </c>
      <c r="E61" s="253" t="s">
        <v>20</v>
      </c>
      <c r="F61" s="253" t="s">
        <v>20</v>
      </c>
      <c r="G61" s="253" t="s">
        <v>20</v>
      </c>
      <c r="H61" s="419"/>
    </row>
    <row r="62" spans="1:8" s="84" customFormat="1" x14ac:dyDescent="0.2">
      <c r="A62" s="34">
        <v>60</v>
      </c>
      <c r="B62" s="413" t="s">
        <v>390</v>
      </c>
      <c r="C62" s="414">
        <v>1686.29</v>
      </c>
      <c r="D62" s="253" t="s">
        <v>20</v>
      </c>
      <c r="E62" s="253" t="s">
        <v>20</v>
      </c>
      <c r="F62" s="253" t="s">
        <v>20</v>
      </c>
      <c r="G62" s="253" t="s">
        <v>20</v>
      </c>
      <c r="H62" s="419"/>
    </row>
    <row r="63" spans="1:8" s="84" customFormat="1" x14ac:dyDescent="0.2">
      <c r="A63" s="34">
        <v>61</v>
      </c>
      <c r="B63" s="413" t="s">
        <v>391</v>
      </c>
      <c r="C63" s="414">
        <v>454.2</v>
      </c>
      <c r="D63" s="253" t="s">
        <v>20</v>
      </c>
      <c r="E63" s="253" t="s">
        <v>20</v>
      </c>
      <c r="F63" s="253" t="s">
        <v>20</v>
      </c>
      <c r="G63" s="253" t="s">
        <v>20</v>
      </c>
      <c r="H63" s="419"/>
    </row>
    <row r="64" spans="1:8" s="84" customFormat="1" x14ac:dyDescent="0.2">
      <c r="A64" s="34">
        <v>62</v>
      </c>
      <c r="B64" s="413" t="s">
        <v>392</v>
      </c>
      <c r="C64" s="414">
        <v>752.4</v>
      </c>
      <c r="D64" s="253" t="s">
        <v>20</v>
      </c>
      <c r="E64" s="253" t="s">
        <v>20</v>
      </c>
      <c r="F64" s="253" t="s">
        <v>20</v>
      </c>
      <c r="G64" s="253" t="s">
        <v>20</v>
      </c>
      <c r="H64" s="419"/>
    </row>
    <row r="65" spans="1:8" s="84" customFormat="1" x14ac:dyDescent="0.2">
      <c r="A65" s="34">
        <v>63</v>
      </c>
      <c r="B65" s="413" t="s">
        <v>393</v>
      </c>
      <c r="C65" s="414">
        <v>956.4</v>
      </c>
      <c r="D65" s="253" t="s">
        <v>20</v>
      </c>
      <c r="E65" s="253" t="s">
        <v>20</v>
      </c>
      <c r="F65" s="253" t="s">
        <v>20</v>
      </c>
      <c r="G65" s="253" t="s">
        <v>20</v>
      </c>
      <c r="H65" s="419"/>
    </row>
    <row r="66" spans="1:8" s="84" customFormat="1" x14ac:dyDescent="0.2">
      <c r="A66" s="34">
        <v>64</v>
      </c>
      <c r="B66" s="413" t="s">
        <v>394</v>
      </c>
      <c r="C66" s="414">
        <v>955.5</v>
      </c>
      <c r="D66" s="253" t="s">
        <v>20</v>
      </c>
      <c r="E66" s="253" t="s">
        <v>20</v>
      </c>
      <c r="F66" s="253" t="s">
        <v>20</v>
      </c>
      <c r="G66" s="253" t="s">
        <v>20</v>
      </c>
      <c r="H66" s="419"/>
    </row>
    <row r="67" spans="1:8" s="84" customFormat="1" x14ac:dyDescent="0.2">
      <c r="A67" s="34">
        <v>65</v>
      </c>
      <c r="B67" s="413" t="s">
        <v>395</v>
      </c>
      <c r="C67" s="414">
        <v>1548.5</v>
      </c>
      <c r="D67" s="253" t="s">
        <v>20</v>
      </c>
      <c r="E67" s="253" t="s">
        <v>20</v>
      </c>
      <c r="F67" s="253" t="s">
        <v>20</v>
      </c>
      <c r="G67" s="253" t="s">
        <v>20</v>
      </c>
      <c r="H67" s="419"/>
    </row>
    <row r="68" spans="1:8" s="84" customFormat="1" x14ac:dyDescent="0.2">
      <c r="A68" s="34">
        <v>66</v>
      </c>
      <c r="B68" s="413" t="s">
        <v>396</v>
      </c>
      <c r="C68" s="414">
        <v>1567.3</v>
      </c>
      <c r="D68" s="253" t="s">
        <v>20</v>
      </c>
      <c r="E68" s="253" t="s">
        <v>20</v>
      </c>
      <c r="F68" s="253" t="s">
        <v>20</v>
      </c>
      <c r="G68" s="253" t="s">
        <v>20</v>
      </c>
      <c r="H68" s="419"/>
    </row>
    <row r="69" spans="1:8" s="84" customFormat="1" x14ac:dyDescent="0.2">
      <c r="A69" s="34">
        <v>67</v>
      </c>
      <c r="B69" s="413" t="s">
        <v>397</v>
      </c>
      <c r="C69" s="414">
        <v>1558.46</v>
      </c>
      <c r="D69" s="253" t="s">
        <v>20</v>
      </c>
      <c r="E69" s="253" t="s">
        <v>20</v>
      </c>
      <c r="F69" s="253" t="s">
        <v>20</v>
      </c>
      <c r="G69" s="253" t="s">
        <v>20</v>
      </c>
      <c r="H69" s="419"/>
    </row>
    <row r="70" spans="1:8" s="84" customFormat="1" x14ac:dyDescent="0.2">
      <c r="A70" s="34">
        <v>68</v>
      </c>
      <c r="B70" s="413" t="s">
        <v>398</v>
      </c>
      <c r="C70" s="414">
        <v>1575.7</v>
      </c>
      <c r="D70" s="253" t="s">
        <v>20</v>
      </c>
      <c r="E70" s="253" t="s">
        <v>20</v>
      </c>
      <c r="F70" s="253" t="s">
        <v>20</v>
      </c>
      <c r="G70" s="253" t="s">
        <v>20</v>
      </c>
      <c r="H70" s="419"/>
    </row>
    <row r="71" spans="1:8" s="84" customFormat="1" x14ac:dyDescent="0.2">
      <c r="A71" s="34">
        <v>69</v>
      </c>
      <c r="B71" s="413" t="s">
        <v>399</v>
      </c>
      <c r="C71" s="414">
        <v>1546.3</v>
      </c>
      <c r="D71" s="253" t="s">
        <v>20</v>
      </c>
      <c r="E71" s="253" t="s">
        <v>20</v>
      </c>
      <c r="F71" s="253" t="s">
        <v>20</v>
      </c>
      <c r="G71" s="253" t="s">
        <v>20</v>
      </c>
      <c r="H71" s="419"/>
    </row>
    <row r="72" spans="1:8" s="85" customFormat="1" x14ac:dyDescent="0.2">
      <c r="A72" s="34">
        <v>70</v>
      </c>
      <c r="B72" s="413" t="s">
        <v>400</v>
      </c>
      <c r="C72" s="414">
        <v>563.1</v>
      </c>
      <c r="D72" s="253">
        <v>6.6</v>
      </c>
      <c r="E72" s="40">
        <v>0.15</v>
      </c>
      <c r="F72" s="40">
        <f t="shared" si="0"/>
        <v>0.98999999999999988</v>
      </c>
      <c r="G72" s="41">
        <f>(F72/C72/12)*2</f>
        <v>2.9302077783697388E-4</v>
      </c>
      <c r="H72" s="412"/>
    </row>
    <row r="73" spans="1:8" s="85" customFormat="1" x14ac:dyDescent="0.2">
      <c r="A73" s="34">
        <v>71</v>
      </c>
      <c r="B73" s="413" t="s">
        <v>401</v>
      </c>
      <c r="C73" s="414">
        <v>549.6</v>
      </c>
      <c r="D73" s="253">
        <v>198.4</v>
      </c>
      <c r="E73" s="40">
        <v>0.15</v>
      </c>
      <c r="F73" s="40">
        <f t="shared" si="0"/>
        <v>29.759999999999998</v>
      </c>
      <c r="G73" s="41">
        <f>(F73/C73/12)*2</f>
        <v>9.0247452692867533E-3</v>
      </c>
      <c r="H73" s="412"/>
    </row>
    <row r="74" spans="1:8" s="85" customFormat="1" x14ac:dyDescent="0.2">
      <c r="A74" s="34">
        <v>72</v>
      </c>
      <c r="B74" s="413" t="s">
        <v>402</v>
      </c>
      <c r="C74" s="414">
        <v>983</v>
      </c>
      <c r="D74" s="253" t="s">
        <v>20</v>
      </c>
      <c r="E74" s="253" t="s">
        <v>20</v>
      </c>
      <c r="F74" s="253" t="s">
        <v>20</v>
      </c>
      <c r="G74" s="253" t="s">
        <v>20</v>
      </c>
      <c r="H74" s="412"/>
    </row>
    <row r="75" spans="1:8" s="85" customFormat="1" x14ac:dyDescent="0.2">
      <c r="A75" s="34">
        <v>73</v>
      </c>
      <c r="B75" s="413" t="s">
        <v>403</v>
      </c>
      <c r="C75" s="414">
        <v>1093.5999999999999</v>
      </c>
      <c r="D75" s="253" t="s">
        <v>20</v>
      </c>
      <c r="E75" s="253" t="s">
        <v>20</v>
      </c>
      <c r="F75" s="253" t="s">
        <v>20</v>
      </c>
      <c r="G75" s="253" t="s">
        <v>20</v>
      </c>
      <c r="H75" s="412"/>
    </row>
    <row r="76" spans="1:8" s="85" customFormat="1" x14ac:dyDescent="0.2">
      <c r="A76" s="34">
        <v>74</v>
      </c>
      <c r="B76" s="413" t="s">
        <v>404</v>
      </c>
      <c r="C76" s="414">
        <v>773.53</v>
      </c>
      <c r="D76" s="253" t="s">
        <v>20</v>
      </c>
      <c r="E76" s="253" t="s">
        <v>20</v>
      </c>
      <c r="F76" s="253" t="s">
        <v>20</v>
      </c>
      <c r="G76" s="253" t="s">
        <v>20</v>
      </c>
      <c r="H76" s="412"/>
    </row>
    <row r="77" spans="1:8" s="85" customFormat="1" x14ac:dyDescent="0.2">
      <c r="A77" s="34">
        <v>75</v>
      </c>
      <c r="B77" s="413" t="s">
        <v>405</v>
      </c>
      <c r="C77" s="414">
        <v>1603.4</v>
      </c>
      <c r="D77" s="253">
        <v>113.9</v>
      </c>
      <c r="E77" s="40">
        <v>0.15</v>
      </c>
      <c r="F77" s="40">
        <f t="shared" si="0"/>
        <v>17.085000000000001</v>
      </c>
      <c r="G77" s="41">
        <f>(F77/C77/12)*2</f>
        <v>1.7759136834227267E-3</v>
      </c>
      <c r="H77" s="412"/>
    </row>
    <row r="78" spans="1:8" s="85" customFormat="1" x14ac:dyDescent="0.2">
      <c r="A78" s="34">
        <v>76</v>
      </c>
      <c r="B78" s="413" t="s">
        <v>406</v>
      </c>
      <c r="C78" s="414">
        <v>561.1</v>
      </c>
      <c r="D78" s="253">
        <v>197.3</v>
      </c>
      <c r="E78" s="40">
        <v>0.15</v>
      </c>
      <c r="F78" s="40">
        <f t="shared" si="0"/>
        <v>29.594999999999999</v>
      </c>
      <c r="G78" s="41">
        <f>(F78/C78/12)*2</f>
        <v>8.7907681340224555E-3</v>
      </c>
      <c r="H78" s="412"/>
    </row>
    <row r="79" spans="1:8" s="85" customFormat="1" x14ac:dyDescent="0.2">
      <c r="A79" s="34">
        <v>77</v>
      </c>
      <c r="B79" s="413" t="s">
        <v>407</v>
      </c>
      <c r="C79" s="414">
        <v>780.4</v>
      </c>
      <c r="D79" s="253" t="s">
        <v>20</v>
      </c>
      <c r="E79" s="253" t="s">
        <v>20</v>
      </c>
      <c r="F79" s="253" t="s">
        <v>20</v>
      </c>
      <c r="G79" s="253" t="s">
        <v>20</v>
      </c>
      <c r="H79" s="412"/>
    </row>
    <row r="80" spans="1:8" s="85" customFormat="1" x14ac:dyDescent="0.2">
      <c r="A80" s="34">
        <v>78</v>
      </c>
      <c r="B80" s="413" t="s">
        <v>408</v>
      </c>
      <c r="C80" s="414">
        <v>1890.1</v>
      </c>
      <c r="D80" s="253" t="s">
        <v>20</v>
      </c>
      <c r="E80" s="253" t="s">
        <v>20</v>
      </c>
      <c r="F80" s="253" t="s">
        <v>20</v>
      </c>
      <c r="G80" s="253" t="s">
        <v>20</v>
      </c>
      <c r="H80" s="412"/>
    </row>
    <row r="81" spans="1:8" s="85" customFormat="1" x14ac:dyDescent="0.2">
      <c r="A81" s="34">
        <v>79</v>
      </c>
      <c r="B81" s="413" t="s">
        <v>409</v>
      </c>
      <c r="C81" s="414">
        <v>1734.5</v>
      </c>
      <c r="D81" s="253" t="s">
        <v>20</v>
      </c>
      <c r="E81" s="253" t="s">
        <v>20</v>
      </c>
      <c r="F81" s="253" t="s">
        <v>20</v>
      </c>
      <c r="G81" s="253" t="s">
        <v>20</v>
      </c>
      <c r="H81" s="412"/>
    </row>
    <row r="82" spans="1:8" s="85" customFormat="1" x14ac:dyDescent="0.2">
      <c r="A82" s="34">
        <v>80</v>
      </c>
      <c r="B82" s="413" t="s">
        <v>410</v>
      </c>
      <c r="C82" s="414">
        <v>1565.58</v>
      </c>
      <c r="D82" s="253" t="s">
        <v>20</v>
      </c>
      <c r="E82" s="253" t="s">
        <v>20</v>
      </c>
      <c r="F82" s="253" t="s">
        <v>20</v>
      </c>
      <c r="G82" s="253" t="s">
        <v>20</v>
      </c>
      <c r="H82" s="412"/>
    </row>
    <row r="83" spans="1:8" s="85" customFormat="1" x14ac:dyDescent="0.2">
      <c r="A83" s="34">
        <v>81</v>
      </c>
      <c r="B83" s="413" t="s">
        <v>411</v>
      </c>
      <c r="C83" s="414">
        <v>2043.8</v>
      </c>
      <c r="D83" s="253">
        <v>540.29999999999995</v>
      </c>
      <c r="E83" s="40">
        <v>0.15</v>
      </c>
      <c r="F83" s="40">
        <f t="shared" si="0"/>
        <v>81.044999999999987</v>
      </c>
      <c r="G83" s="41">
        <f t="shared" ref="G83:G146" si="2">(F83/C83/12)*2</f>
        <v>6.6090126235443768E-3</v>
      </c>
      <c r="H83" s="412"/>
    </row>
    <row r="84" spans="1:8" s="85" customFormat="1" x14ac:dyDescent="0.2">
      <c r="A84" s="34">
        <v>82</v>
      </c>
      <c r="B84" s="413" t="s">
        <v>412</v>
      </c>
      <c r="C84" s="414">
        <v>1277.5999999999999</v>
      </c>
      <c r="D84" s="253">
        <v>82.6</v>
      </c>
      <c r="E84" s="40">
        <v>0.15</v>
      </c>
      <c r="F84" s="40">
        <f t="shared" si="0"/>
        <v>12.389999999999999</v>
      </c>
      <c r="G84" s="41">
        <f t="shared" si="2"/>
        <v>1.6163118346900439E-3</v>
      </c>
      <c r="H84" s="412"/>
    </row>
    <row r="85" spans="1:8" s="85" customFormat="1" x14ac:dyDescent="0.2">
      <c r="A85" s="34">
        <v>83</v>
      </c>
      <c r="B85" s="413" t="s">
        <v>413</v>
      </c>
      <c r="C85" s="414">
        <v>1281.1500000000001</v>
      </c>
      <c r="D85" s="253">
        <v>115.5</v>
      </c>
      <c r="E85" s="40">
        <v>0.15</v>
      </c>
      <c r="F85" s="40">
        <f t="shared" si="0"/>
        <v>17.324999999999999</v>
      </c>
      <c r="G85" s="41">
        <f t="shared" si="2"/>
        <v>2.253834445615267E-3</v>
      </c>
      <c r="H85" s="412"/>
    </row>
    <row r="86" spans="1:8" s="85" customFormat="1" x14ac:dyDescent="0.2">
      <c r="A86" s="34">
        <v>84</v>
      </c>
      <c r="B86" s="413" t="s">
        <v>414</v>
      </c>
      <c r="C86" s="414">
        <v>1492.3</v>
      </c>
      <c r="D86" s="253">
        <v>388.4</v>
      </c>
      <c r="E86" s="40">
        <v>0.15</v>
      </c>
      <c r="F86" s="40">
        <f t="shared" si="0"/>
        <v>58.259999999999991</v>
      </c>
      <c r="G86" s="41">
        <f t="shared" si="2"/>
        <v>6.5067345707967563E-3</v>
      </c>
      <c r="H86" s="412"/>
    </row>
    <row r="87" spans="1:8" s="85" customFormat="1" x14ac:dyDescent="0.2">
      <c r="A87" s="34">
        <v>85</v>
      </c>
      <c r="B87" s="413" t="s">
        <v>415</v>
      </c>
      <c r="C87" s="414">
        <v>4130.75</v>
      </c>
      <c r="D87" s="253">
        <v>705.8</v>
      </c>
      <c r="E87" s="40">
        <v>0.15</v>
      </c>
      <c r="F87" s="40">
        <f t="shared" si="0"/>
        <v>105.86999999999999</v>
      </c>
      <c r="G87" s="41">
        <f t="shared" si="2"/>
        <v>4.27162137626339E-3</v>
      </c>
      <c r="H87" s="412"/>
    </row>
    <row r="88" spans="1:8" s="85" customFormat="1" x14ac:dyDescent="0.2">
      <c r="A88" s="34">
        <v>86</v>
      </c>
      <c r="B88" s="413" t="s">
        <v>416</v>
      </c>
      <c r="C88" s="414">
        <v>3262.1</v>
      </c>
      <c r="D88" s="253">
        <v>777.8</v>
      </c>
      <c r="E88" s="40">
        <v>0.15</v>
      </c>
      <c r="F88" s="40">
        <f t="shared" si="0"/>
        <v>116.66999999999999</v>
      </c>
      <c r="G88" s="41">
        <f t="shared" si="2"/>
        <v>5.9608840930688821E-3</v>
      </c>
      <c r="H88" s="412"/>
    </row>
    <row r="89" spans="1:8" s="85" customFormat="1" x14ac:dyDescent="0.2">
      <c r="A89" s="34">
        <v>87</v>
      </c>
      <c r="B89" s="413" t="s">
        <v>417</v>
      </c>
      <c r="C89" s="414">
        <v>1516.8</v>
      </c>
      <c r="D89" s="253">
        <v>512</v>
      </c>
      <c r="E89" s="40">
        <v>0.15</v>
      </c>
      <c r="F89" s="40">
        <f t="shared" si="0"/>
        <v>76.8</v>
      </c>
      <c r="G89" s="41">
        <f t="shared" si="2"/>
        <v>8.4388185654008432E-3</v>
      </c>
      <c r="H89" s="412"/>
    </row>
    <row r="90" spans="1:8" s="85" customFormat="1" x14ac:dyDescent="0.2">
      <c r="A90" s="34">
        <v>88</v>
      </c>
      <c r="B90" s="413" t="s">
        <v>418</v>
      </c>
      <c r="C90" s="414">
        <v>752.42</v>
      </c>
      <c r="D90" s="253">
        <v>202.5</v>
      </c>
      <c r="E90" s="40">
        <v>0.15</v>
      </c>
      <c r="F90" s="40">
        <f t="shared" si="0"/>
        <v>30.375</v>
      </c>
      <c r="G90" s="41">
        <f t="shared" si="2"/>
        <v>6.7282900507695175E-3</v>
      </c>
      <c r="H90" s="412"/>
    </row>
    <row r="91" spans="1:8" s="85" customFormat="1" x14ac:dyDescent="0.2">
      <c r="A91" s="34">
        <v>89</v>
      </c>
      <c r="B91" s="413" t="s">
        <v>419</v>
      </c>
      <c r="C91" s="414">
        <v>771.7</v>
      </c>
      <c r="D91" s="253">
        <v>202.5</v>
      </c>
      <c r="E91" s="40">
        <v>0.15</v>
      </c>
      <c r="F91" s="40">
        <f t="shared" si="0"/>
        <v>30.375</v>
      </c>
      <c r="G91" s="41">
        <f t="shared" si="2"/>
        <v>6.5601917843721652E-3</v>
      </c>
      <c r="H91" s="412"/>
    </row>
    <row r="92" spans="1:8" s="85" customFormat="1" x14ac:dyDescent="0.2">
      <c r="A92" s="34">
        <v>90</v>
      </c>
      <c r="B92" s="413" t="s">
        <v>420</v>
      </c>
      <c r="C92" s="414">
        <v>1545</v>
      </c>
      <c r="D92" s="253">
        <v>364.2</v>
      </c>
      <c r="E92" s="40">
        <v>0.15</v>
      </c>
      <c r="F92" s="40">
        <f t="shared" si="0"/>
        <v>54.629999999999995</v>
      </c>
      <c r="G92" s="41">
        <f t="shared" si="2"/>
        <v>5.8932038834951447E-3</v>
      </c>
      <c r="H92" s="412"/>
    </row>
    <row r="93" spans="1:8" s="85" customFormat="1" x14ac:dyDescent="0.2">
      <c r="A93" s="34">
        <v>91</v>
      </c>
      <c r="B93" s="413" t="s">
        <v>421</v>
      </c>
      <c r="C93" s="414">
        <v>769.7</v>
      </c>
      <c r="D93" s="253">
        <v>124.1</v>
      </c>
      <c r="E93" s="40">
        <v>0.15</v>
      </c>
      <c r="F93" s="40">
        <f t="shared" si="0"/>
        <v>18.614999999999998</v>
      </c>
      <c r="G93" s="41">
        <f t="shared" si="2"/>
        <v>4.0307912173574113E-3</v>
      </c>
      <c r="H93" s="412"/>
    </row>
    <row r="94" spans="1:8" s="85" customFormat="1" x14ac:dyDescent="0.2">
      <c r="A94" s="34">
        <v>92</v>
      </c>
      <c r="B94" s="413" t="s">
        <v>422</v>
      </c>
      <c r="C94" s="414">
        <v>776.9</v>
      </c>
      <c r="D94" s="253">
        <v>169</v>
      </c>
      <c r="E94" s="40">
        <v>0.15</v>
      </c>
      <c r="F94" s="40">
        <f t="shared" si="0"/>
        <v>25.349999999999998</v>
      </c>
      <c r="G94" s="41">
        <f t="shared" si="2"/>
        <v>5.4382803449607407E-3</v>
      </c>
      <c r="H94" s="412"/>
    </row>
    <row r="95" spans="1:8" s="85" customFormat="1" x14ac:dyDescent="0.2">
      <c r="A95" s="34">
        <v>93</v>
      </c>
      <c r="B95" s="413" t="s">
        <v>423</v>
      </c>
      <c r="C95" s="414">
        <v>1935.6</v>
      </c>
      <c r="D95" s="253">
        <v>547.20000000000005</v>
      </c>
      <c r="E95" s="40">
        <v>0.15</v>
      </c>
      <c r="F95" s="40">
        <f t="shared" si="0"/>
        <v>82.08</v>
      </c>
      <c r="G95" s="41">
        <f t="shared" si="2"/>
        <v>7.0675759454432744E-3</v>
      </c>
      <c r="H95" s="412"/>
    </row>
    <row r="96" spans="1:8" s="85" customFormat="1" x14ac:dyDescent="0.2">
      <c r="A96" s="34">
        <v>94</v>
      </c>
      <c r="B96" s="413" t="s">
        <v>424</v>
      </c>
      <c r="C96" s="414">
        <v>1513.72</v>
      </c>
      <c r="D96" s="253">
        <v>407.8</v>
      </c>
      <c r="E96" s="40">
        <v>0.15</v>
      </c>
      <c r="F96" s="40">
        <f t="shared" si="0"/>
        <v>61.17</v>
      </c>
      <c r="G96" s="41">
        <f t="shared" si="2"/>
        <v>6.7350632877943087E-3</v>
      </c>
      <c r="H96" s="412"/>
    </row>
    <row r="97" spans="1:8" s="85" customFormat="1" x14ac:dyDescent="0.2">
      <c r="A97" s="34">
        <v>95</v>
      </c>
      <c r="B97" s="413" t="s">
        <v>425</v>
      </c>
      <c r="C97" s="414">
        <v>1500.3</v>
      </c>
      <c r="D97" s="253">
        <v>403.5</v>
      </c>
      <c r="E97" s="40">
        <v>0.15</v>
      </c>
      <c r="F97" s="40">
        <f t="shared" si="0"/>
        <v>60.524999999999999</v>
      </c>
      <c r="G97" s="41">
        <f t="shared" si="2"/>
        <v>6.723655268946211E-3</v>
      </c>
      <c r="H97" s="412"/>
    </row>
    <row r="98" spans="1:8" s="85" customFormat="1" x14ac:dyDescent="0.2">
      <c r="A98" s="34">
        <v>96</v>
      </c>
      <c r="B98" s="413" t="s">
        <v>426</v>
      </c>
      <c r="C98" s="414">
        <v>735.9</v>
      </c>
      <c r="D98" s="253">
        <v>98.3</v>
      </c>
      <c r="E98" s="40">
        <v>0.15</v>
      </c>
      <c r="F98" s="40">
        <f t="shared" si="0"/>
        <v>14.744999999999999</v>
      </c>
      <c r="G98" s="41">
        <f t="shared" si="2"/>
        <v>3.3394482946052452E-3</v>
      </c>
      <c r="H98" s="412"/>
    </row>
    <row r="99" spans="1:8" s="85" customFormat="1" x14ac:dyDescent="0.2">
      <c r="A99" s="34">
        <v>97</v>
      </c>
      <c r="B99" s="413" t="s">
        <v>427</v>
      </c>
      <c r="C99" s="414">
        <v>757.7</v>
      </c>
      <c r="D99" s="253">
        <v>153.1</v>
      </c>
      <c r="E99" s="40">
        <v>0.15</v>
      </c>
      <c r="F99" s="40">
        <f t="shared" si="0"/>
        <v>22.965</v>
      </c>
      <c r="G99" s="41">
        <f t="shared" si="2"/>
        <v>5.0514715586643787E-3</v>
      </c>
      <c r="H99" s="412"/>
    </row>
    <row r="100" spans="1:8" s="85" customFormat="1" x14ac:dyDescent="0.2">
      <c r="A100" s="34">
        <v>98</v>
      </c>
      <c r="B100" s="413" t="s">
        <v>428</v>
      </c>
      <c r="C100" s="414">
        <v>1915.15</v>
      </c>
      <c r="D100" s="253">
        <v>517.20000000000005</v>
      </c>
      <c r="E100" s="40">
        <v>0.15</v>
      </c>
      <c r="F100" s="40">
        <f t="shared" si="0"/>
        <v>77.58</v>
      </c>
      <c r="G100" s="41">
        <f t="shared" si="2"/>
        <v>6.7514293919536325E-3</v>
      </c>
      <c r="H100" s="412"/>
    </row>
    <row r="101" spans="1:8" s="85" customFormat="1" x14ac:dyDescent="0.2">
      <c r="A101" s="34">
        <v>99</v>
      </c>
      <c r="B101" s="413" t="s">
        <v>429</v>
      </c>
      <c r="C101" s="414">
        <v>1544.5</v>
      </c>
      <c r="D101" s="253">
        <v>456.3</v>
      </c>
      <c r="E101" s="40">
        <v>0.15</v>
      </c>
      <c r="F101" s="40">
        <f t="shared" si="0"/>
        <v>68.444999999999993</v>
      </c>
      <c r="G101" s="41">
        <f t="shared" si="2"/>
        <v>7.3858853998057623E-3</v>
      </c>
      <c r="H101" s="412"/>
    </row>
    <row r="102" spans="1:8" s="85" customFormat="1" x14ac:dyDescent="0.2">
      <c r="A102" s="34">
        <v>100</v>
      </c>
      <c r="B102" s="413" t="s">
        <v>430</v>
      </c>
      <c r="C102" s="414">
        <v>1552.3</v>
      </c>
      <c r="D102" s="253">
        <v>426.2</v>
      </c>
      <c r="E102" s="40">
        <v>0.15</v>
      </c>
      <c r="F102" s="40">
        <f t="shared" si="0"/>
        <v>63.929999999999993</v>
      </c>
      <c r="G102" s="41">
        <f t="shared" si="2"/>
        <v>6.8640082458287692E-3</v>
      </c>
      <c r="H102" s="412"/>
    </row>
    <row r="103" spans="1:8" s="85" customFormat="1" x14ac:dyDescent="0.2">
      <c r="A103" s="34">
        <v>101</v>
      </c>
      <c r="B103" s="413" t="s">
        <v>431</v>
      </c>
      <c r="C103" s="414">
        <v>1287.0999999999999</v>
      </c>
      <c r="D103" s="253">
        <v>328.7</v>
      </c>
      <c r="E103" s="40">
        <v>0.15</v>
      </c>
      <c r="F103" s="40">
        <f t="shared" si="0"/>
        <v>49.305</v>
      </c>
      <c r="G103" s="41">
        <f t="shared" si="2"/>
        <v>6.3845078082511069E-3</v>
      </c>
      <c r="H103" s="412"/>
    </row>
    <row r="104" spans="1:8" s="85" customFormat="1" x14ac:dyDescent="0.2">
      <c r="A104" s="34">
        <v>102</v>
      </c>
      <c r="B104" s="413" t="s">
        <v>432</v>
      </c>
      <c r="C104" s="414">
        <v>3473.9</v>
      </c>
      <c r="D104" s="253">
        <v>668.1</v>
      </c>
      <c r="E104" s="40">
        <v>0.15</v>
      </c>
      <c r="F104" s="40">
        <f t="shared" si="0"/>
        <v>100.215</v>
      </c>
      <c r="G104" s="41">
        <f t="shared" si="2"/>
        <v>4.8079967759578571E-3</v>
      </c>
      <c r="H104" s="412"/>
    </row>
    <row r="105" spans="1:8" s="85" customFormat="1" x14ac:dyDescent="0.2">
      <c r="A105" s="34">
        <v>103</v>
      </c>
      <c r="B105" s="413" t="s">
        <v>433</v>
      </c>
      <c r="C105" s="414">
        <v>1838.18</v>
      </c>
      <c r="D105" s="253">
        <v>387.1</v>
      </c>
      <c r="E105" s="40">
        <v>0.15</v>
      </c>
      <c r="F105" s="40">
        <f t="shared" si="0"/>
        <v>58.064999999999998</v>
      </c>
      <c r="G105" s="41">
        <f t="shared" si="2"/>
        <v>5.2647183627283498E-3</v>
      </c>
      <c r="H105" s="412"/>
    </row>
    <row r="106" spans="1:8" s="85" customFormat="1" x14ac:dyDescent="0.2">
      <c r="A106" s="34">
        <v>104</v>
      </c>
      <c r="B106" s="413" t="s">
        <v>434</v>
      </c>
      <c r="C106" s="414">
        <v>4517.6000000000004</v>
      </c>
      <c r="D106" s="253">
        <v>963</v>
      </c>
      <c r="E106" s="40">
        <v>0.15</v>
      </c>
      <c r="F106" s="40">
        <f t="shared" si="0"/>
        <v>144.44999999999999</v>
      </c>
      <c r="G106" s="41">
        <f t="shared" si="2"/>
        <v>5.3291570745528588E-3</v>
      </c>
      <c r="H106" s="412"/>
    </row>
    <row r="107" spans="1:8" s="85" customFormat="1" x14ac:dyDescent="0.2">
      <c r="A107" s="34">
        <v>105</v>
      </c>
      <c r="B107" s="413" t="s">
        <v>435</v>
      </c>
      <c r="C107" s="414">
        <v>4524.9399999999996</v>
      </c>
      <c r="D107" s="253" t="s">
        <v>20</v>
      </c>
      <c r="E107" s="253" t="s">
        <v>20</v>
      </c>
      <c r="F107" s="253" t="s">
        <v>20</v>
      </c>
      <c r="G107" s="253" t="s">
        <v>20</v>
      </c>
      <c r="H107" s="412"/>
    </row>
    <row r="108" spans="1:8" s="85" customFormat="1" x14ac:dyDescent="0.2">
      <c r="A108" s="34">
        <v>106</v>
      </c>
      <c r="B108" s="413" t="s">
        <v>436</v>
      </c>
      <c r="C108" s="414">
        <v>4742.2700000000004</v>
      </c>
      <c r="D108" s="253">
        <v>1044.8</v>
      </c>
      <c r="E108" s="40">
        <v>0.15</v>
      </c>
      <c r="F108" s="40">
        <f t="shared" si="0"/>
        <v>156.72</v>
      </c>
      <c r="G108" s="41">
        <f t="shared" si="2"/>
        <v>5.5079107684716383E-3</v>
      </c>
      <c r="H108" s="412"/>
    </row>
    <row r="109" spans="1:8" s="85" customFormat="1" x14ac:dyDescent="0.2">
      <c r="A109" s="34">
        <v>107</v>
      </c>
      <c r="B109" s="413" t="s">
        <v>437</v>
      </c>
      <c r="C109" s="414">
        <v>2538.3000000000002</v>
      </c>
      <c r="D109" s="253">
        <v>651.9</v>
      </c>
      <c r="E109" s="40">
        <v>0.15</v>
      </c>
      <c r="F109" s="40">
        <f t="shared" si="0"/>
        <v>97.784999999999997</v>
      </c>
      <c r="G109" s="41">
        <f t="shared" si="2"/>
        <v>6.4206358586455488E-3</v>
      </c>
      <c r="H109" s="412"/>
    </row>
    <row r="110" spans="1:8" s="85" customFormat="1" x14ac:dyDescent="0.2">
      <c r="A110" s="34">
        <v>108</v>
      </c>
      <c r="B110" s="413" t="s">
        <v>438</v>
      </c>
      <c r="C110" s="414">
        <v>4452.8999999999996</v>
      </c>
      <c r="D110" s="253">
        <v>971.5</v>
      </c>
      <c r="E110" s="40">
        <v>0.15</v>
      </c>
      <c r="F110" s="40">
        <f t="shared" si="0"/>
        <v>145.72499999999999</v>
      </c>
      <c r="G110" s="41">
        <f t="shared" si="2"/>
        <v>5.4543106739428247E-3</v>
      </c>
      <c r="H110" s="412"/>
    </row>
    <row r="111" spans="1:8" s="85" customFormat="1" x14ac:dyDescent="0.2">
      <c r="A111" s="34">
        <v>109</v>
      </c>
      <c r="B111" s="413" t="s">
        <v>439</v>
      </c>
      <c r="C111" s="414">
        <v>1573.08</v>
      </c>
      <c r="D111" s="253">
        <v>345.5</v>
      </c>
      <c r="E111" s="40">
        <v>0.15</v>
      </c>
      <c r="F111" s="40">
        <f t="shared" si="0"/>
        <v>51.824999999999996</v>
      </c>
      <c r="G111" s="41">
        <f t="shared" si="2"/>
        <v>5.4908205558522128E-3</v>
      </c>
      <c r="H111" s="412"/>
    </row>
    <row r="112" spans="1:8" s="85" customFormat="1" x14ac:dyDescent="0.2">
      <c r="A112" s="34">
        <v>110</v>
      </c>
      <c r="B112" s="413" t="s">
        <v>440</v>
      </c>
      <c r="C112" s="414">
        <v>3168.45</v>
      </c>
      <c r="D112" s="253">
        <v>638.79999999999995</v>
      </c>
      <c r="E112" s="40">
        <v>0.15</v>
      </c>
      <c r="F112" s="40">
        <f t="shared" si="0"/>
        <v>95.82</v>
      </c>
      <c r="G112" s="41">
        <f t="shared" si="2"/>
        <v>5.0403193990752578E-3</v>
      </c>
      <c r="H112" s="412"/>
    </row>
    <row r="113" spans="1:8" s="85" customFormat="1" x14ac:dyDescent="0.2">
      <c r="A113" s="34">
        <v>111</v>
      </c>
      <c r="B113" s="413" t="s">
        <v>441</v>
      </c>
      <c r="C113" s="414">
        <v>3182.6</v>
      </c>
      <c r="D113" s="253">
        <v>637.20000000000005</v>
      </c>
      <c r="E113" s="40">
        <v>0.15</v>
      </c>
      <c r="F113" s="40">
        <f t="shared" si="0"/>
        <v>95.58</v>
      </c>
      <c r="G113" s="41">
        <f t="shared" si="2"/>
        <v>5.005341544649029E-3</v>
      </c>
      <c r="H113" s="412"/>
    </row>
    <row r="114" spans="1:8" s="85" customFormat="1" x14ac:dyDescent="0.2">
      <c r="A114" s="34">
        <v>112</v>
      </c>
      <c r="B114" s="413" t="s">
        <v>442</v>
      </c>
      <c r="C114" s="414">
        <v>2283.1999999999998</v>
      </c>
      <c r="D114" s="253">
        <v>423.7</v>
      </c>
      <c r="E114" s="40">
        <v>0.15</v>
      </c>
      <c r="F114" s="40">
        <f t="shared" si="0"/>
        <v>63.554999999999993</v>
      </c>
      <c r="G114" s="41">
        <f t="shared" si="2"/>
        <v>4.6393220042046249E-3</v>
      </c>
      <c r="H114" s="412"/>
    </row>
    <row r="115" spans="1:8" s="85" customFormat="1" x14ac:dyDescent="0.2">
      <c r="A115" s="34">
        <v>113</v>
      </c>
      <c r="B115" s="413" t="s">
        <v>443</v>
      </c>
      <c r="C115" s="414">
        <v>1091.7</v>
      </c>
      <c r="D115" s="253">
        <v>209</v>
      </c>
      <c r="E115" s="40">
        <v>0.15</v>
      </c>
      <c r="F115" s="40">
        <f t="shared" si="0"/>
        <v>31.349999999999998</v>
      </c>
      <c r="G115" s="41">
        <f t="shared" si="2"/>
        <v>4.7861134011175227E-3</v>
      </c>
      <c r="H115" s="412"/>
    </row>
    <row r="116" spans="1:8" s="85" customFormat="1" x14ac:dyDescent="0.2">
      <c r="A116" s="34">
        <v>114</v>
      </c>
      <c r="B116" s="413" t="s">
        <v>444</v>
      </c>
      <c r="C116" s="414">
        <v>1733.3</v>
      </c>
      <c r="D116" s="253">
        <v>340.3</v>
      </c>
      <c r="E116" s="40">
        <v>0.15</v>
      </c>
      <c r="F116" s="40">
        <f t="shared" si="0"/>
        <v>51.045000000000002</v>
      </c>
      <c r="G116" s="41">
        <f t="shared" si="2"/>
        <v>4.9082674666820524E-3</v>
      </c>
      <c r="H116" s="412"/>
    </row>
    <row r="117" spans="1:8" s="85" customFormat="1" x14ac:dyDescent="0.2">
      <c r="A117" s="34">
        <v>115</v>
      </c>
      <c r="B117" s="413" t="s">
        <v>445</v>
      </c>
      <c r="C117" s="414">
        <v>1752.82</v>
      </c>
      <c r="D117" s="253">
        <v>351.2</v>
      </c>
      <c r="E117" s="40">
        <v>0.15</v>
      </c>
      <c r="F117" s="40">
        <f t="shared" si="0"/>
        <v>52.68</v>
      </c>
      <c r="G117" s="41">
        <f t="shared" si="2"/>
        <v>5.0090710968610586E-3</v>
      </c>
      <c r="H117" s="412"/>
    </row>
    <row r="118" spans="1:8" s="85" customFormat="1" x14ac:dyDescent="0.2">
      <c r="A118" s="34">
        <v>116</v>
      </c>
      <c r="B118" s="413" t="s">
        <v>446</v>
      </c>
      <c r="C118" s="414">
        <v>3688.59</v>
      </c>
      <c r="D118" s="253">
        <v>720</v>
      </c>
      <c r="E118" s="40">
        <v>0.15</v>
      </c>
      <c r="F118" s="40">
        <f t="shared" si="0"/>
        <v>108</v>
      </c>
      <c r="G118" s="41">
        <f t="shared" si="2"/>
        <v>4.879913462867925E-3</v>
      </c>
      <c r="H118" s="412"/>
    </row>
    <row r="119" spans="1:8" s="85" customFormat="1" x14ac:dyDescent="0.2">
      <c r="A119" s="34">
        <v>117</v>
      </c>
      <c r="B119" s="413" t="s">
        <v>447</v>
      </c>
      <c r="C119" s="414">
        <v>3868.13</v>
      </c>
      <c r="D119" s="253">
        <v>796</v>
      </c>
      <c r="E119" s="40">
        <v>0.15</v>
      </c>
      <c r="F119" s="40">
        <f t="shared" si="0"/>
        <v>119.39999999999999</v>
      </c>
      <c r="G119" s="41">
        <f t="shared" si="2"/>
        <v>5.144604757337524E-3</v>
      </c>
      <c r="H119" s="412"/>
    </row>
    <row r="120" spans="1:8" s="85" customFormat="1" x14ac:dyDescent="0.2">
      <c r="A120" s="34">
        <v>118</v>
      </c>
      <c r="B120" s="413" t="s">
        <v>448</v>
      </c>
      <c r="C120" s="414">
        <v>2821.38</v>
      </c>
      <c r="D120" s="253">
        <v>532</v>
      </c>
      <c r="E120" s="40">
        <v>0.15</v>
      </c>
      <c r="F120" s="40">
        <f t="shared" si="0"/>
        <v>79.8</v>
      </c>
      <c r="G120" s="41">
        <f t="shared" si="2"/>
        <v>4.7140052031275472E-3</v>
      </c>
      <c r="H120" s="412"/>
    </row>
    <row r="121" spans="1:8" s="85" customFormat="1" x14ac:dyDescent="0.2">
      <c r="A121" s="34">
        <v>119</v>
      </c>
      <c r="B121" s="413" t="s">
        <v>449</v>
      </c>
      <c r="C121" s="414">
        <v>4277.29</v>
      </c>
      <c r="D121" s="253">
        <v>892</v>
      </c>
      <c r="E121" s="40">
        <v>0.15</v>
      </c>
      <c r="F121" s="40">
        <f t="shared" si="0"/>
        <v>133.79999999999998</v>
      </c>
      <c r="G121" s="41">
        <f t="shared" si="2"/>
        <v>5.2135814966953369E-3</v>
      </c>
      <c r="H121" s="412"/>
    </row>
    <row r="122" spans="1:8" s="85" customFormat="1" x14ac:dyDescent="0.2">
      <c r="A122" s="34">
        <v>120</v>
      </c>
      <c r="B122" s="413" t="s">
        <v>450</v>
      </c>
      <c r="C122" s="414">
        <v>2171.3000000000002</v>
      </c>
      <c r="D122" s="253">
        <v>453</v>
      </c>
      <c r="E122" s="40">
        <v>0.15</v>
      </c>
      <c r="F122" s="40">
        <f t="shared" si="0"/>
        <v>67.95</v>
      </c>
      <c r="G122" s="41">
        <f t="shared" si="2"/>
        <v>5.2157693547644273E-3</v>
      </c>
      <c r="H122" s="412"/>
    </row>
    <row r="123" spans="1:8" s="85" customFormat="1" x14ac:dyDescent="0.2">
      <c r="A123" s="34">
        <v>121</v>
      </c>
      <c r="B123" s="413" t="s">
        <v>451</v>
      </c>
      <c r="C123" s="414">
        <v>5707.1</v>
      </c>
      <c r="D123" s="253">
        <v>1235.7</v>
      </c>
      <c r="E123" s="40">
        <v>0.15</v>
      </c>
      <c r="F123" s="40">
        <f t="shared" si="0"/>
        <v>185.35499999999999</v>
      </c>
      <c r="G123" s="41">
        <f t="shared" si="2"/>
        <v>5.4129943403830308E-3</v>
      </c>
      <c r="H123" s="412"/>
    </row>
    <row r="124" spans="1:8" s="85" customFormat="1" x14ac:dyDescent="0.2">
      <c r="A124" s="34">
        <v>122</v>
      </c>
      <c r="B124" s="413" t="s">
        <v>452</v>
      </c>
      <c r="C124" s="414">
        <v>1727.35</v>
      </c>
      <c r="D124" s="253">
        <v>491.3</v>
      </c>
      <c r="E124" s="40">
        <v>0.15</v>
      </c>
      <c r="F124" s="40">
        <f t="shared" si="0"/>
        <v>73.694999999999993</v>
      </c>
      <c r="G124" s="41">
        <f t="shared" si="2"/>
        <v>7.1106029467102776E-3</v>
      </c>
      <c r="H124" s="412"/>
    </row>
    <row r="125" spans="1:8" s="85" customFormat="1" x14ac:dyDescent="0.2">
      <c r="A125" s="34">
        <v>123</v>
      </c>
      <c r="B125" s="413" t="s">
        <v>453</v>
      </c>
      <c r="C125" s="414">
        <v>2522.5500000000002</v>
      </c>
      <c r="D125" s="253">
        <v>552.70000000000005</v>
      </c>
      <c r="E125" s="40">
        <v>0.15</v>
      </c>
      <c r="F125" s="40">
        <f t="shared" si="0"/>
        <v>82.905000000000001</v>
      </c>
      <c r="G125" s="41">
        <f t="shared" si="2"/>
        <v>5.4775921190858452E-3</v>
      </c>
      <c r="H125" s="412"/>
    </row>
    <row r="126" spans="1:8" s="85" customFormat="1" x14ac:dyDescent="0.2">
      <c r="A126" s="34">
        <v>124</v>
      </c>
      <c r="B126" s="413" t="s">
        <v>454</v>
      </c>
      <c r="C126" s="414">
        <v>2516.6999999999998</v>
      </c>
      <c r="D126" s="253">
        <v>530.5</v>
      </c>
      <c r="E126" s="40">
        <v>0.15</v>
      </c>
      <c r="F126" s="40">
        <f t="shared" si="0"/>
        <v>79.575000000000003</v>
      </c>
      <c r="G126" s="41">
        <f t="shared" si="2"/>
        <v>5.2697977510231661E-3</v>
      </c>
      <c r="H126" s="412"/>
    </row>
    <row r="127" spans="1:8" s="85" customFormat="1" x14ac:dyDescent="0.2">
      <c r="A127" s="34">
        <v>125</v>
      </c>
      <c r="B127" s="413" t="s">
        <v>455</v>
      </c>
      <c r="C127" s="414">
        <v>1774.47</v>
      </c>
      <c r="D127" s="253">
        <v>375</v>
      </c>
      <c r="E127" s="40">
        <v>0.15</v>
      </c>
      <c r="F127" s="40">
        <f t="shared" si="0"/>
        <v>56.25</v>
      </c>
      <c r="G127" s="41">
        <f t="shared" si="2"/>
        <v>5.283267679926964E-3</v>
      </c>
      <c r="H127" s="412"/>
    </row>
    <row r="128" spans="1:8" s="85" customFormat="1" x14ac:dyDescent="0.2">
      <c r="A128" s="34">
        <v>126</v>
      </c>
      <c r="B128" s="413" t="s">
        <v>456</v>
      </c>
      <c r="C128" s="414">
        <v>1727.7</v>
      </c>
      <c r="D128" s="253">
        <v>425.2</v>
      </c>
      <c r="E128" s="40">
        <v>0.15</v>
      </c>
      <c r="F128" s="40">
        <f t="shared" si="0"/>
        <v>63.779999999999994</v>
      </c>
      <c r="G128" s="41">
        <f t="shared" si="2"/>
        <v>6.1526885454650689E-3</v>
      </c>
      <c r="H128" s="412"/>
    </row>
    <row r="129" spans="1:8" s="85" customFormat="1" x14ac:dyDescent="0.2">
      <c r="A129" s="34">
        <v>127</v>
      </c>
      <c r="B129" s="413" t="s">
        <v>457</v>
      </c>
      <c r="C129" s="414">
        <v>3216.3</v>
      </c>
      <c r="D129" s="253">
        <v>634</v>
      </c>
      <c r="E129" s="40">
        <v>0.15</v>
      </c>
      <c r="F129" s="40">
        <f t="shared" si="0"/>
        <v>95.1</v>
      </c>
      <c r="G129" s="41">
        <f t="shared" si="2"/>
        <v>4.9280228834374896E-3</v>
      </c>
      <c r="H129" s="412"/>
    </row>
    <row r="130" spans="1:8" s="85" customFormat="1" x14ac:dyDescent="0.2">
      <c r="A130" s="34">
        <v>128</v>
      </c>
      <c r="B130" s="413" t="s">
        <v>458</v>
      </c>
      <c r="C130" s="414">
        <v>3895.1</v>
      </c>
      <c r="D130" s="253" t="s">
        <v>20</v>
      </c>
      <c r="E130" s="253" t="s">
        <v>20</v>
      </c>
      <c r="F130" s="253" t="s">
        <v>20</v>
      </c>
      <c r="G130" s="253" t="s">
        <v>20</v>
      </c>
      <c r="H130" s="412"/>
    </row>
    <row r="131" spans="1:8" s="85" customFormat="1" x14ac:dyDescent="0.2">
      <c r="A131" s="34">
        <v>129</v>
      </c>
      <c r="B131" s="413" t="s">
        <v>459</v>
      </c>
      <c r="C131" s="414">
        <v>4002.8</v>
      </c>
      <c r="D131" s="253">
        <v>356</v>
      </c>
      <c r="E131" s="40">
        <v>0.15</v>
      </c>
      <c r="F131" s="40">
        <f t="shared" si="0"/>
        <v>53.4</v>
      </c>
      <c r="G131" s="41">
        <f t="shared" si="2"/>
        <v>2.223443589487359E-3</v>
      </c>
      <c r="H131" s="412"/>
    </row>
    <row r="132" spans="1:8" s="85" customFormat="1" x14ac:dyDescent="0.2">
      <c r="A132" s="34">
        <v>130</v>
      </c>
      <c r="B132" s="413" t="s">
        <v>460</v>
      </c>
      <c r="C132" s="414">
        <v>3852.63</v>
      </c>
      <c r="D132" s="253">
        <v>359</v>
      </c>
      <c r="E132" s="40">
        <v>0.15</v>
      </c>
      <c r="F132" s="40">
        <f t="shared" si="0"/>
        <v>53.85</v>
      </c>
      <c r="G132" s="41">
        <f t="shared" si="2"/>
        <v>2.3295774574771002E-3</v>
      </c>
      <c r="H132" s="412"/>
    </row>
    <row r="133" spans="1:8" s="85" customFormat="1" x14ac:dyDescent="0.2">
      <c r="A133" s="34">
        <v>131</v>
      </c>
      <c r="B133" s="413" t="s">
        <v>461</v>
      </c>
      <c r="C133" s="414">
        <v>3560.4</v>
      </c>
      <c r="D133" s="253">
        <v>753</v>
      </c>
      <c r="E133" s="40">
        <v>0.15</v>
      </c>
      <c r="F133" s="40">
        <f t="shared" si="0"/>
        <v>112.95</v>
      </c>
      <c r="G133" s="41">
        <f t="shared" si="2"/>
        <v>5.2873272665992579E-3</v>
      </c>
      <c r="H133" s="412"/>
    </row>
    <row r="134" spans="1:8" s="85" customFormat="1" x14ac:dyDescent="0.2">
      <c r="A134" s="34">
        <v>132</v>
      </c>
      <c r="B134" s="413" t="s">
        <v>462</v>
      </c>
      <c r="C134" s="414">
        <v>944.7</v>
      </c>
      <c r="D134" s="253">
        <v>191</v>
      </c>
      <c r="E134" s="40">
        <v>0.15</v>
      </c>
      <c r="F134" s="40">
        <f t="shared" si="0"/>
        <v>28.65</v>
      </c>
      <c r="G134" s="41">
        <f t="shared" si="2"/>
        <v>5.0545146607388581E-3</v>
      </c>
      <c r="H134" s="412"/>
    </row>
    <row r="135" spans="1:8" s="85" customFormat="1" x14ac:dyDescent="0.2">
      <c r="A135" s="34">
        <v>133</v>
      </c>
      <c r="B135" s="413" t="s">
        <v>463</v>
      </c>
      <c r="C135" s="414">
        <v>2428.5</v>
      </c>
      <c r="D135" s="253">
        <v>504.5</v>
      </c>
      <c r="E135" s="40">
        <v>0.15</v>
      </c>
      <c r="F135" s="40">
        <f t="shared" si="0"/>
        <v>75.674999999999997</v>
      </c>
      <c r="G135" s="41">
        <f t="shared" si="2"/>
        <v>5.1935351039736457E-3</v>
      </c>
      <c r="H135" s="412"/>
    </row>
    <row r="136" spans="1:8" s="85" customFormat="1" x14ac:dyDescent="0.2">
      <c r="A136" s="34">
        <v>134</v>
      </c>
      <c r="B136" s="413" t="s">
        <v>464</v>
      </c>
      <c r="C136" s="414">
        <v>4861.91</v>
      </c>
      <c r="D136" s="253">
        <v>893.4</v>
      </c>
      <c r="E136" s="40">
        <v>0.15</v>
      </c>
      <c r="F136" s="40">
        <f t="shared" si="0"/>
        <v>134.01</v>
      </c>
      <c r="G136" s="41">
        <f t="shared" si="2"/>
        <v>4.5938736011156113E-3</v>
      </c>
      <c r="H136" s="412"/>
    </row>
    <row r="137" spans="1:8" s="85" customFormat="1" x14ac:dyDescent="0.2">
      <c r="A137" s="34">
        <v>135</v>
      </c>
      <c r="B137" s="413" t="s">
        <v>465</v>
      </c>
      <c r="C137" s="414">
        <v>3078.77</v>
      </c>
      <c r="D137" s="253">
        <v>758</v>
      </c>
      <c r="E137" s="40">
        <v>0.15</v>
      </c>
      <c r="F137" s="40">
        <f t="shared" si="0"/>
        <v>113.7</v>
      </c>
      <c r="G137" s="41">
        <f t="shared" si="2"/>
        <v>6.1550554279793555E-3</v>
      </c>
      <c r="H137" s="412"/>
    </row>
    <row r="138" spans="1:8" s="85" customFormat="1" x14ac:dyDescent="0.2">
      <c r="A138" s="34">
        <v>136</v>
      </c>
      <c r="B138" s="413" t="s">
        <v>466</v>
      </c>
      <c r="C138" s="414">
        <v>3188.68</v>
      </c>
      <c r="D138" s="253">
        <v>661.6</v>
      </c>
      <c r="E138" s="40">
        <v>0.15</v>
      </c>
      <c r="F138" s="40">
        <f t="shared" si="0"/>
        <v>99.24</v>
      </c>
      <c r="G138" s="41">
        <f t="shared" si="2"/>
        <v>5.1870993640001509E-3</v>
      </c>
      <c r="H138" s="412"/>
    </row>
    <row r="139" spans="1:8" s="85" customFormat="1" x14ac:dyDescent="0.2">
      <c r="A139" s="34">
        <v>137</v>
      </c>
      <c r="B139" s="413" t="s">
        <v>467</v>
      </c>
      <c r="C139" s="414">
        <v>2782.65</v>
      </c>
      <c r="D139" s="253">
        <v>601</v>
      </c>
      <c r="E139" s="40">
        <v>0.15</v>
      </c>
      <c r="F139" s="40">
        <f t="shared" si="0"/>
        <v>90.149999999999991</v>
      </c>
      <c r="G139" s="41">
        <f t="shared" si="2"/>
        <v>5.3995292257380543E-3</v>
      </c>
      <c r="H139" s="412"/>
    </row>
    <row r="140" spans="1:8" s="85" customFormat="1" x14ac:dyDescent="0.2">
      <c r="A140" s="34">
        <v>138</v>
      </c>
      <c r="B140" s="413" t="s">
        <v>468</v>
      </c>
      <c r="C140" s="414">
        <v>2258.6</v>
      </c>
      <c r="D140" s="253">
        <v>471.5</v>
      </c>
      <c r="E140" s="40">
        <v>0.15</v>
      </c>
      <c r="F140" s="40">
        <f t="shared" si="0"/>
        <v>70.724999999999994</v>
      </c>
      <c r="G140" s="41">
        <f t="shared" si="2"/>
        <v>5.2189409368635434E-3</v>
      </c>
      <c r="H140" s="412"/>
    </row>
    <row r="141" spans="1:8" s="85" customFormat="1" x14ac:dyDescent="0.2">
      <c r="A141" s="34">
        <v>139</v>
      </c>
      <c r="B141" s="413" t="s">
        <v>469</v>
      </c>
      <c r="C141" s="414">
        <v>1910</v>
      </c>
      <c r="D141" s="253">
        <v>560.29999999999995</v>
      </c>
      <c r="E141" s="40">
        <v>0.15</v>
      </c>
      <c r="F141" s="40">
        <f t="shared" si="0"/>
        <v>84.044999999999987</v>
      </c>
      <c r="G141" s="41">
        <f t="shared" si="2"/>
        <v>7.3337696335078516E-3</v>
      </c>
      <c r="H141" s="412"/>
    </row>
    <row r="142" spans="1:8" s="85" customFormat="1" x14ac:dyDescent="0.2">
      <c r="A142" s="34">
        <v>140</v>
      </c>
      <c r="B142" s="413" t="s">
        <v>470</v>
      </c>
      <c r="C142" s="414">
        <v>2522.5</v>
      </c>
      <c r="D142" s="253">
        <v>465.5</v>
      </c>
      <c r="E142" s="40">
        <v>0.15</v>
      </c>
      <c r="F142" s="40">
        <f t="shared" si="0"/>
        <v>69.825000000000003</v>
      </c>
      <c r="G142" s="41">
        <f t="shared" si="2"/>
        <v>4.6134786917740337E-3</v>
      </c>
      <c r="H142" s="412"/>
    </row>
    <row r="143" spans="1:8" s="85" customFormat="1" x14ac:dyDescent="0.2">
      <c r="A143" s="34">
        <v>141</v>
      </c>
      <c r="B143" s="413" t="s">
        <v>471</v>
      </c>
      <c r="C143" s="414">
        <v>3459.82</v>
      </c>
      <c r="D143" s="253">
        <v>740</v>
      </c>
      <c r="E143" s="40">
        <v>0.15</v>
      </c>
      <c r="F143" s="40">
        <f t="shared" si="0"/>
        <v>111</v>
      </c>
      <c r="G143" s="41">
        <f t="shared" si="2"/>
        <v>5.3470989820279665E-3</v>
      </c>
      <c r="H143" s="412"/>
    </row>
    <row r="144" spans="1:8" s="85" customFormat="1" x14ac:dyDescent="0.2">
      <c r="A144" s="34">
        <v>142</v>
      </c>
      <c r="B144" s="413" t="s">
        <v>472</v>
      </c>
      <c r="C144" s="414">
        <v>1752.03</v>
      </c>
      <c r="D144" s="253">
        <v>378</v>
      </c>
      <c r="E144" s="40">
        <v>0.15</v>
      </c>
      <c r="F144" s="40">
        <f t="shared" si="0"/>
        <v>56.699999999999996</v>
      </c>
      <c r="G144" s="41">
        <f t="shared" si="2"/>
        <v>5.3937432578209273E-3</v>
      </c>
      <c r="H144" s="412"/>
    </row>
    <row r="145" spans="1:8" s="85" customFormat="1" x14ac:dyDescent="0.2">
      <c r="A145" s="34">
        <v>143</v>
      </c>
      <c r="B145" s="413" t="s">
        <v>473</v>
      </c>
      <c r="C145" s="414">
        <v>4953.7</v>
      </c>
      <c r="D145" s="253">
        <v>1306</v>
      </c>
      <c r="E145" s="40">
        <v>0.15</v>
      </c>
      <c r="F145" s="40">
        <f t="shared" si="0"/>
        <v>195.9</v>
      </c>
      <c r="G145" s="41">
        <f t="shared" si="2"/>
        <v>6.5910329652582927E-3</v>
      </c>
      <c r="H145" s="412"/>
    </row>
    <row r="146" spans="1:8" s="85" customFormat="1" x14ac:dyDescent="0.2">
      <c r="A146" s="34">
        <v>144</v>
      </c>
      <c r="B146" s="413" t="s">
        <v>474</v>
      </c>
      <c r="C146" s="414">
        <v>1706.17</v>
      </c>
      <c r="D146" s="253">
        <v>377</v>
      </c>
      <c r="E146" s="40">
        <v>0.15</v>
      </c>
      <c r="F146" s="40">
        <f t="shared" si="0"/>
        <v>56.55</v>
      </c>
      <c r="G146" s="41">
        <f t="shared" si="2"/>
        <v>5.5240685277551478E-3</v>
      </c>
      <c r="H146" s="412"/>
    </row>
    <row r="147" spans="1:8" s="85" customFormat="1" x14ac:dyDescent="0.2">
      <c r="A147" s="34">
        <v>145</v>
      </c>
      <c r="B147" s="413" t="s">
        <v>475</v>
      </c>
      <c r="C147" s="414">
        <v>1135.3399999999999</v>
      </c>
      <c r="D147" s="253">
        <v>243.3</v>
      </c>
      <c r="E147" s="40">
        <v>0.15</v>
      </c>
      <c r="F147" s="40">
        <f t="shared" si="0"/>
        <v>36.494999999999997</v>
      </c>
      <c r="G147" s="41">
        <f t="shared" ref="G147:G160" si="3">(F147/C147/12)*2</f>
        <v>5.3574259693131574E-3</v>
      </c>
      <c r="H147" s="412"/>
    </row>
    <row r="148" spans="1:8" s="85" customFormat="1" x14ac:dyDescent="0.2">
      <c r="A148" s="34">
        <v>146</v>
      </c>
      <c r="B148" s="413" t="s">
        <v>476</v>
      </c>
      <c r="C148" s="414">
        <v>1716.28</v>
      </c>
      <c r="D148" s="253">
        <v>370.1</v>
      </c>
      <c r="E148" s="40">
        <v>0.15</v>
      </c>
      <c r="F148" s="40">
        <f t="shared" si="0"/>
        <v>55.515000000000001</v>
      </c>
      <c r="G148" s="41">
        <f t="shared" si="3"/>
        <v>5.3910201132682314E-3</v>
      </c>
      <c r="H148" s="412"/>
    </row>
    <row r="149" spans="1:8" s="85" customFormat="1" x14ac:dyDescent="0.2">
      <c r="A149" s="34">
        <v>147</v>
      </c>
      <c r="B149" s="413" t="s">
        <v>477</v>
      </c>
      <c r="C149" s="414">
        <v>2696.17</v>
      </c>
      <c r="D149" s="253">
        <v>565.29999999999995</v>
      </c>
      <c r="E149" s="40">
        <v>0.15</v>
      </c>
      <c r="F149" s="40">
        <f t="shared" si="0"/>
        <v>84.794999999999987</v>
      </c>
      <c r="G149" s="41">
        <f t="shared" si="3"/>
        <v>5.2416947002599974E-3</v>
      </c>
      <c r="H149" s="412"/>
    </row>
    <row r="150" spans="1:8" s="85" customFormat="1" x14ac:dyDescent="0.2">
      <c r="A150" s="34">
        <v>148</v>
      </c>
      <c r="B150" s="413" t="s">
        <v>478</v>
      </c>
      <c r="C150" s="414">
        <v>1747.74</v>
      </c>
      <c r="D150" s="253">
        <v>351.2</v>
      </c>
      <c r="E150" s="40">
        <v>0.15</v>
      </c>
      <c r="F150" s="40">
        <f t="shared" si="0"/>
        <v>52.68</v>
      </c>
      <c r="G150" s="41">
        <f t="shared" si="3"/>
        <v>5.0236305171249733E-3</v>
      </c>
      <c r="H150" s="412"/>
    </row>
    <row r="151" spans="1:8" s="85" customFormat="1" x14ac:dyDescent="0.2">
      <c r="A151" s="34">
        <v>149</v>
      </c>
      <c r="B151" s="413" t="s">
        <v>479</v>
      </c>
      <c r="C151" s="414">
        <v>1129.0999999999999</v>
      </c>
      <c r="D151" s="253">
        <v>191.7</v>
      </c>
      <c r="E151" s="40">
        <v>0.15</v>
      </c>
      <c r="F151" s="40">
        <f t="shared" si="0"/>
        <v>28.754999999999999</v>
      </c>
      <c r="G151" s="41">
        <f t="shared" si="3"/>
        <v>4.2445310424231693E-3</v>
      </c>
      <c r="H151" s="412"/>
    </row>
    <row r="152" spans="1:8" s="85" customFormat="1" x14ac:dyDescent="0.2">
      <c r="A152" s="34">
        <v>150</v>
      </c>
      <c r="B152" s="413" t="s">
        <v>480</v>
      </c>
      <c r="C152" s="414">
        <v>1724</v>
      </c>
      <c r="D152" s="253">
        <v>296.39999999999998</v>
      </c>
      <c r="E152" s="40">
        <v>0.15</v>
      </c>
      <c r="F152" s="40">
        <f t="shared" si="0"/>
        <v>44.459999999999994</v>
      </c>
      <c r="G152" s="41">
        <f t="shared" si="3"/>
        <v>4.29814385150812E-3</v>
      </c>
      <c r="H152" s="412"/>
    </row>
    <row r="153" spans="1:8" s="85" customFormat="1" ht="15.75" customHeight="1" x14ac:dyDescent="0.2">
      <c r="A153" s="34">
        <v>151</v>
      </c>
      <c r="B153" s="413" t="s">
        <v>481</v>
      </c>
      <c r="C153" s="414">
        <v>1775.1</v>
      </c>
      <c r="D153" s="253">
        <v>172.9</v>
      </c>
      <c r="E153" s="40">
        <v>0.15</v>
      </c>
      <c r="F153" s="40">
        <f t="shared" si="0"/>
        <v>25.934999999999999</v>
      </c>
      <c r="G153" s="41">
        <f t="shared" si="3"/>
        <v>2.4350740803335022E-3</v>
      </c>
      <c r="H153" s="412"/>
    </row>
    <row r="154" spans="1:8" s="85" customFormat="1" x14ac:dyDescent="0.2">
      <c r="A154" s="34">
        <v>152</v>
      </c>
      <c r="B154" s="413" t="s">
        <v>482</v>
      </c>
      <c r="C154" s="414">
        <v>3140.4</v>
      </c>
      <c r="D154" s="253">
        <v>538.6</v>
      </c>
      <c r="E154" s="40">
        <v>0.15</v>
      </c>
      <c r="F154" s="40">
        <f t="shared" si="0"/>
        <v>80.790000000000006</v>
      </c>
      <c r="G154" s="41">
        <f t="shared" si="3"/>
        <v>4.2876703604636359E-3</v>
      </c>
      <c r="H154" s="412"/>
    </row>
    <row r="155" spans="1:8" s="85" customFormat="1" x14ac:dyDescent="0.2">
      <c r="A155" s="34">
        <v>153</v>
      </c>
      <c r="B155" s="413" t="s">
        <v>483</v>
      </c>
      <c r="C155" s="414">
        <v>6074.77</v>
      </c>
      <c r="D155" s="253">
        <v>589</v>
      </c>
      <c r="E155" s="40">
        <v>0.15</v>
      </c>
      <c r="F155" s="40">
        <f t="shared" si="0"/>
        <v>88.35</v>
      </c>
      <c r="G155" s="41">
        <f t="shared" si="3"/>
        <v>2.4239600840854874E-3</v>
      </c>
      <c r="H155" s="412"/>
    </row>
    <row r="156" spans="1:8" s="85" customFormat="1" x14ac:dyDescent="0.2">
      <c r="A156" s="34">
        <v>154</v>
      </c>
      <c r="B156" s="413" t="s">
        <v>484</v>
      </c>
      <c r="C156" s="414">
        <v>1960.16</v>
      </c>
      <c r="D156" s="253">
        <v>268</v>
      </c>
      <c r="E156" s="40">
        <v>0.15</v>
      </c>
      <c r="F156" s="40">
        <f t="shared" si="0"/>
        <v>40.199999999999996</v>
      </c>
      <c r="G156" s="41">
        <f t="shared" si="3"/>
        <v>3.4180883193208715E-3</v>
      </c>
      <c r="H156" s="412"/>
    </row>
    <row r="157" spans="1:8" s="85" customFormat="1" x14ac:dyDescent="0.2">
      <c r="A157" s="34">
        <v>155</v>
      </c>
      <c r="B157" s="413" t="s">
        <v>485</v>
      </c>
      <c r="C157" s="414">
        <v>5972.33</v>
      </c>
      <c r="D157" s="253" t="s">
        <v>20</v>
      </c>
      <c r="E157" s="253" t="s">
        <v>20</v>
      </c>
      <c r="F157" s="253" t="s">
        <v>20</v>
      </c>
      <c r="G157" s="253" t="s">
        <v>20</v>
      </c>
      <c r="H157" s="412"/>
    </row>
    <row r="158" spans="1:8" s="85" customFormat="1" x14ac:dyDescent="0.2">
      <c r="A158" s="34">
        <v>156</v>
      </c>
      <c r="B158" s="413" t="s">
        <v>486</v>
      </c>
      <c r="C158" s="414">
        <v>2589.9</v>
      </c>
      <c r="D158" s="253">
        <v>285</v>
      </c>
      <c r="E158" s="40">
        <v>0.15</v>
      </c>
      <c r="F158" s="40">
        <f t="shared" si="0"/>
        <v>42.75</v>
      </c>
      <c r="G158" s="41">
        <f t="shared" si="3"/>
        <v>2.7510714699409242E-3</v>
      </c>
      <c r="H158" s="412"/>
    </row>
    <row r="159" spans="1:8" s="85" customFormat="1" x14ac:dyDescent="0.2">
      <c r="A159" s="34">
        <v>157</v>
      </c>
      <c r="B159" s="413" t="s">
        <v>487</v>
      </c>
      <c r="C159" s="414">
        <v>3904.03</v>
      </c>
      <c r="D159" s="253">
        <v>425</v>
      </c>
      <c r="E159" s="40">
        <v>0.15</v>
      </c>
      <c r="F159" s="40">
        <f t="shared" si="0"/>
        <v>63.75</v>
      </c>
      <c r="G159" s="41">
        <f t="shared" si="3"/>
        <v>2.7215467094259004E-3</v>
      </c>
      <c r="H159" s="412"/>
    </row>
    <row r="160" spans="1:8" s="85" customFormat="1" x14ac:dyDescent="0.2">
      <c r="A160" s="34">
        <v>158</v>
      </c>
      <c r="B160" s="413" t="s">
        <v>488</v>
      </c>
      <c r="C160" s="414">
        <v>3894.85</v>
      </c>
      <c r="D160" s="253">
        <v>425</v>
      </c>
      <c r="E160" s="40">
        <v>0.15</v>
      </c>
      <c r="F160" s="40">
        <f t="shared" si="0"/>
        <v>63.75</v>
      </c>
      <c r="G160" s="41">
        <f t="shared" si="3"/>
        <v>2.72796128220599E-3</v>
      </c>
      <c r="H160" s="412"/>
    </row>
    <row r="161" spans="1:23" s="85" customFormat="1" x14ac:dyDescent="0.2">
      <c r="A161" s="58">
        <v>159</v>
      </c>
      <c r="B161" s="43" t="s">
        <v>41</v>
      </c>
      <c r="C161" s="33">
        <f>SUM(C3:C72)-C28-C35-C37-C43-C44-C45-C46-C47-C48-C49-C50-C51-C52-C53-C54-C55-C56-C62</f>
        <v>40278.459999999985</v>
      </c>
      <c r="D161" s="259">
        <f>SUM(D3:D72)</f>
        <v>8428.0000000000018</v>
      </c>
      <c r="E161" s="33">
        <v>0.5</v>
      </c>
      <c r="F161" s="33">
        <f t="shared" si="0"/>
        <v>4214.0000000000009</v>
      </c>
      <c r="G161" s="45">
        <f>(F161/C161/12)*2</f>
        <v>1.7436946033520986E-2</v>
      </c>
      <c r="H161" s="435"/>
      <c r="I161" s="435"/>
    </row>
    <row r="163" spans="1:23" s="81" customFormat="1" ht="15.75" customHeight="1" x14ac:dyDescent="0.2">
      <c r="A163" s="279"/>
      <c r="B163" s="276" t="s">
        <v>234</v>
      </c>
      <c r="C163" s="278"/>
      <c r="D163" s="278"/>
      <c r="E163" s="509" t="s">
        <v>648</v>
      </c>
      <c r="F163" s="509"/>
      <c r="G163" s="277"/>
      <c r="H163" s="510"/>
      <c r="I163" s="510"/>
      <c r="J163" s="510"/>
      <c r="K163" s="510"/>
      <c r="L163" s="510"/>
      <c r="M163" s="278"/>
      <c r="N163" s="245"/>
      <c r="O163" s="245"/>
      <c r="P163" s="105"/>
      <c r="Q163" s="105"/>
      <c r="R163" s="105"/>
      <c r="S163" s="105"/>
      <c r="T163" s="105"/>
      <c r="U163" s="245"/>
      <c r="V163" s="245"/>
      <c r="W163" s="105"/>
    </row>
  </sheetData>
  <mergeCells count="3">
    <mergeCell ref="A1:G1"/>
    <mergeCell ref="E163:F163"/>
    <mergeCell ref="H163:L163"/>
  </mergeCells>
  <phoneticPr fontId="2" type="noConversion"/>
  <pageMargins left="0.98425196850393704" right="0.35433070866141736" top="0.27559055118110237" bottom="0.19685039370078741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opLeftCell="A139" zoomScale="120" zoomScaleNormal="120" workbookViewId="0">
      <selection activeCell="E165" sqref="E165:F165"/>
    </sheetView>
  </sheetViews>
  <sheetFormatPr defaultRowHeight="12.75" x14ac:dyDescent="0.2"/>
  <cols>
    <col min="1" max="1" width="3.5703125" style="195" bestFit="1" customWidth="1"/>
    <col min="2" max="2" width="20.42578125" style="196" customWidth="1"/>
    <col min="3" max="3" width="11" style="195" customWidth="1"/>
    <col min="4" max="4" width="12.28515625" style="195" customWidth="1"/>
    <col min="5" max="5" width="14.7109375" style="230" customWidth="1"/>
    <col min="6" max="6" width="13.140625" style="230" customWidth="1"/>
    <col min="7" max="7" width="11.28515625" style="197" customWidth="1"/>
    <col min="8" max="20" width="9.140625" style="29"/>
  </cols>
  <sheetData>
    <row r="1" spans="1:20" ht="34.5" customHeight="1" x14ac:dyDescent="0.2">
      <c r="A1" s="518" t="s">
        <v>616</v>
      </c>
      <c r="B1" s="518"/>
      <c r="C1" s="518"/>
      <c r="D1" s="518"/>
      <c r="E1" s="518"/>
      <c r="F1" s="518"/>
      <c r="G1" s="518"/>
      <c r="H1" s="30"/>
      <c r="I1" s="30"/>
      <c r="J1" s="30"/>
      <c r="K1" s="30"/>
      <c r="L1" s="30"/>
    </row>
    <row r="2" spans="1:20" s="84" customFormat="1" ht="48" x14ac:dyDescent="0.2">
      <c r="A2" s="40" t="s">
        <v>1</v>
      </c>
      <c r="B2" s="214" t="s">
        <v>0</v>
      </c>
      <c r="C2" s="40" t="s">
        <v>72</v>
      </c>
      <c r="D2" s="40" t="s">
        <v>73</v>
      </c>
      <c r="E2" s="41" t="s">
        <v>597</v>
      </c>
      <c r="F2" s="41" t="s">
        <v>598</v>
      </c>
      <c r="G2" s="41" t="s">
        <v>237</v>
      </c>
      <c r="H2" s="170"/>
      <c r="I2" s="170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</row>
    <row r="3" spans="1:20" s="84" customFormat="1" ht="12" x14ac:dyDescent="0.2">
      <c r="A3" s="34">
        <v>1</v>
      </c>
      <c r="B3" s="413" t="s">
        <v>331</v>
      </c>
      <c r="C3" s="434">
        <v>394.86</v>
      </c>
      <c r="D3" s="418">
        <f>[6]Лист1!$H$21</f>
        <v>8</v>
      </c>
      <c r="E3" s="436">
        <v>7.04</v>
      </c>
      <c r="F3" s="436">
        <f>D3*E3</f>
        <v>56.32</v>
      </c>
      <c r="G3" s="437">
        <f>F3/C3/12</f>
        <v>1.1886069324148643E-2</v>
      </c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</row>
    <row r="4" spans="1:20" s="84" customFormat="1" ht="12" x14ac:dyDescent="0.2">
      <c r="A4" s="34">
        <v>2</v>
      </c>
      <c r="B4" s="413" t="s">
        <v>332</v>
      </c>
      <c r="C4" s="414">
        <v>326.89999999999998</v>
      </c>
      <c r="D4" s="418">
        <f>[6]Лист1!$H$23</f>
        <v>4</v>
      </c>
      <c r="E4" s="436">
        <v>7.04</v>
      </c>
      <c r="F4" s="436">
        <f t="shared" ref="F4:F67" si="0">D4*E4</f>
        <v>28.16</v>
      </c>
      <c r="G4" s="437">
        <f t="shared" ref="G4:G67" si="1">F4/C4/12</f>
        <v>7.1785459365759155E-3</v>
      </c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</row>
    <row r="5" spans="1:20" s="84" customFormat="1" ht="12" x14ac:dyDescent="0.2">
      <c r="A5" s="34">
        <v>3</v>
      </c>
      <c r="B5" s="413" t="s">
        <v>333</v>
      </c>
      <c r="C5" s="414">
        <v>490.6</v>
      </c>
      <c r="D5" s="418">
        <f>[6]Лист1!$H$4</f>
        <v>16</v>
      </c>
      <c r="E5" s="436">
        <v>7.04</v>
      </c>
      <c r="F5" s="436">
        <f t="shared" si="0"/>
        <v>112.64</v>
      </c>
      <c r="G5" s="437">
        <f t="shared" si="1"/>
        <v>1.9133034379671152E-2</v>
      </c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</row>
    <row r="6" spans="1:20" s="84" customFormat="1" ht="12" x14ac:dyDescent="0.2">
      <c r="A6" s="34">
        <v>4</v>
      </c>
      <c r="B6" s="413" t="s">
        <v>334</v>
      </c>
      <c r="C6" s="414">
        <v>341.5</v>
      </c>
      <c r="D6" s="418">
        <f>[6]Лист1!$H$19</f>
        <v>12</v>
      </c>
      <c r="E6" s="436">
        <v>7.04</v>
      </c>
      <c r="F6" s="436">
        <f t="shared" si="0"/>
        <v>84.48</v>
      </c>
      <c r="G6" s="437">
        <f t="shared" si="1"/>
        <v>2.0614934114202049E-2</v>
      </c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</row>
    <row r="7" spans="1:20" s="84" customFormat="1" ht="12" x14ac:dyDescent="0.2">
      <c r="A7" s="34">
        <v>5</v>
      </c>
      <c r="B7" s="413" t="s">
        <v>335</v>
      </c>
      <c r="C7" s="414">
        <v>375.1</v>
      </c>
      <c r="D7" s="418">
        <f>[6]Лист1!$H$20</f>
        <v>16</v>
      </c>
      <c r="E7" s="436">
        <v>7.04</v>
      </c>
      <c r="F7" s="436">
        <f t="shared" si="0"/>
        <v>112.64</v>
      </c>
      <c r="G7" s="437">
        <f t="shared" si="1"/>
        <v>2.5024437927663734E-2</v>
      </c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</row>
    <row r="8" spans="1:20" s="84" customFormat="1" ht="12" x14ac:dyDescent="0.2">
      <c r="A8" s="34">
        <v>6</v>
      </c>
      <c r="B8" s="413" t="s">
        <v>336</v>
      </c>
      <c r="C8" s="414">
        <v>386.23</v>
      </c>
      <c r="D8" s="418">
        <f>[6]Лист1!$H$25</f>
        <v>12</v>
      </c>
      <c r="E8" s="436">
        <v>7.04</v>
      </c>
      <c r="F8" s="436">
        <f t="shared" si="0"/>
        <v>84.48</v>
      </c>
      <c r="G8" s="437">
        <f t="shared" si="1"/>
        <v>1.8227481034616678E-2</v>
      </c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</row>
    <row r="9" spans="1:20" s="84" customFormat="1" ht="12" x14ac:dyDescent="0.2">
      <c r="A9" s="34">
        <v>7</v>
      </c>
      <c r="B9" s="413" t="s">
        <v>337</v>
      </c>
      <c r="C9" s="414">
        <v>917</v>
      </c>
      <c r="D9" s="418">
        <f>[6]Лист1!$H$26</f>
        <v>24</v>
      </c>
      <c r="E9" s="436">
        <v>7.04</v>
      </c>
      <c r="F9" s="436">
        <f t="shared" si="0"/>
        <v>168.96</v>
      </c>
      <c r="G9" s="437">
        <f t="shared" si="1"/>
        <v>1.5354416575790621E-2</v>
      </c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</row>
    <row r="10" spans="1:20" s="84" customFormat="1" ht="12" x14ac:dyDescent="0.2">
      <c r="A10" s="34">
        <v>8</v>
      </c>
      <c r="B10" s="413" t="s">
        <v>338</v>
      </c>
      <c r="C10" s="414">
        <v>354.4</v>
      </c>
      <c r="D10" s="418">
        <f>[6]Лист1!$H$33</f>
        <v>12</v>
      </c>
      <c r="E10" s="436">
        <v>7.04</v>
      </c>
      <c r="F10" s="436">
        <f t="shared" si="0"/>
        <v>84.48</v>
      </c>
      <c r="G10" s="437">
        <f t="shared" si="1"/>
        <v>1.9864559819413093E-2</v>
      </c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</row>
    <row r="11" spans="1:20" s="84" customFormat="1" ht="12" x14ac:dyDescent="0.2">
      <c r="A11" s="34">
        <v>9</v>
      </c>
      <c r="B11" s="413" t="s">
        <v>339</v>
      </c>
      <c r="C11" s="414">
        <v>634.4</v>
      </c>
      <c r="D11" s="418">
        <f>[6]Лист1!$H$37</f>
        <v>48</v>
      </c>
      <c r="E11" s="436">
        <v>7.04</v>
      </c>
      <c r="F11" s="436">
        <f t="shared" si="0"/>
        <v>337.92</v>
      </c>
      <c r="G11" s="437">
        <f t="shared" si="1"/>
        <v>4.4388398486759149E-2</v>
      </c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</row>
    <row r="12" spans="1:20" s="84" customFormat="1" ht="12" x14ac:dyDescent="0.2">
      <c r="A12" s="34">
        <v>10</v>
      </c>
      <c r="B12" s="413" t="s">
        <v>340</v>
      </c>
      <c r="C12" s="414">
        <v>637.20000000000005</v>
      </c>
      <c r="D12" s="418">
        <f>[6]Лист1!$H$39</f>
        <v>32</v>
      </c>
      <c r="E12" s="436">
        <v>7.04</v>
      </c>
      <c r="F12" s="436">
        <f t="shared" si="0"/>
        <v>225.28</v>
      </c>
      <c r="G12" s="437">
        <f t="shared" si="1"/>
        <v>2.9462230592174093E-2</v>
      </c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</row>
    <row r="13" spans="1:20" s="84" customFormat="1" ht="12" x14ac:dyDescent="0.2">
      <c r="A13" s="34">
        <v>11</v>
      </c>
      <c r="B13" s="413" t="s">
        <v>341</v>
      </c>
      <c r="C13" s="414">
        <v>463.8</v>
      </c>
      <c r="D13" s="418">
        <f>[6]Лист1!$H$42</f>
        <v>16</v>
      </c>
      <c r="E13" s="436">
        <v>7.04</v>
      </c>
      <c r="F13" s="436">
        <f t="shared" si="0"/>
        <v>112.64</v>
      </c>
      <c r="G13" s="437">
        <f t="shared" si="1"/>
        <v>2.0238608595659048E-2</v>
      </c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</row>
    <row r="14" spans="1:20" s="84" customFormat="1" ht="12" x14ac:dyDescent="0.2">
      <c r="A14" s="34">
        <v>12</v>
      </c>
      <c r="B14" s="413" t="s">
        <v>342</v>
      </c>
      <c r="C14" s="414">
        <v>633.29999999999995</v>
      </c>
      <c r="D14" s="418">
        <f>[6]Лист1!$H$43</f>
        <v>48</v>
      </c>
      <c r="E14" s="436">
        <v>7.04</v>
      </c>
      <c r="F14" s="436">
        <f t="shared" si="0"/>
        <v>337.92</v>
      </c>
      <c r="G14" s="437">
        <f t="shared" si="1"/>
        <v>4.4465498184114959E-2</v>
      </c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</row>
    <row r="15" spans="1:20" s="84" customFormat="1" ht="12" x14ac:dyDescent="0.2">
      <c r="A15" s="34">
        <v>13</v>
      </c>
      <c r="B15" s="413" t="s">
        <v>343</v>
      </c>
      <c r="C15" s="414">
        <v>379.5</v>
      </c>
      <c r="D15" s="418">
        <f>[6]Лист1!$H$51</f>
        <v>28</v>
      </c>
      <c r="E15" s="436">
        <v>7.04</v>
      </c>
      <c r="F15" s="436">
        <f t="shared" si="0"/>
        <v>197.12</v>
      </c>
      <c r="G15" s="437">
        <f t="shared" si="1"/>
        <v>4.3285024154589374E-2</v>
      </c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</row>
    <row r="16" spans="1:20" s="84" customFormat="1" ht="12" x14ac:dyDescent="0.2">
      <c r="A16" s="34">
        <v>14</v>
      </c>
      <c r="B16" s="413" t="s">
        <v>344</v>
      </c>
      <c r="C16" s="414">
        <v>916.4</v>
      </c>
      <c r="D16" s="418">
        <f>[6]Лист1!$H$62</f>
        <v>54</v>
      </c>
      <c r="E16" s="436">
        <v>7.04</v>
      </c>
      <c r="F16" s="436">
        <f t="shared" si="0"/>
        <v>380.16</v>
      </c>
      <c r="G16" s="437">
        <f t="shared" si="1"/>
        <v>3.4570056743780012E-2</v>
      </c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</row>
    <row r="17" spans="1:20" s="84" customFormat="1" ht="12" x14ac:dyDescent="0.2">
      <c r="A17" s="34">
        <v>15</v>
      </c>
      <c r="B17" s="413" t="s">
        <v>345</v>
      </c>
      <c r="C17" s="414">
        <v>922.1</v>
      </c>
      <c r="D17" s="418">
        <f>[6]Лист1!$H$63</f>
        <v>54</v>
      </c>
      <c r="E17" s="436">
        <v>7.04</v>
      </c>
      <c r="F17" s="436">
        <f t="shared" si="0"/>
        <v>380.16</v>
      </c>
      <c r="G17" s="437">
        <f t="shared" si="1"/>
        <v>3.4356360481509599E-2</v>
      </c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</row>
    <row r="18" spans="1:20" s="84" customFormat="1" ht="12" x14ac:dyDescent="0.2">
      <c r="A18" s="34">
        <v>16</v>
      </c>
      <c r="B18" s="413" t="s">
        <v>346</v>
      </c>
      <c r="C18" s="414">
        <v>490.3</v>
      </c>
      <c r="D18" s="418">
        <f>[6]Лист1!$H$65</f>
        <v>24</v>
      </c>
      <c r="E18" s="436">
        <v>7.04</v>
      </c>
      <c r="F18" s="436">
        <f t="shared" si="0"/>
        <v>168.96</v>
      </c>
      <c r="G18" s="437">
        <f t="shared" si="1"/>
        <v>2.8717111972261882E-2</v>
      </c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</row>
    <row r="19" spans="1:20" s="84" customFormat="1" ht="12" x14ac:dyDescent="0.2">
      <c r="A19" s="34">
        <v>17</v>
      </c>
      <c r="B19" s="413" t="s">
        <v>347</v>
      </c>
      <c r="C19" s="414">
        <v>502.4</v>
      </c>
      <c r="D19" s="418">
        <f>[6]Лист1!$H$66</f>
        <v>24</v>
      </c>
      <c r="E19" s="436">
        <v>7.04</v>
      </c>
      <c r="F19" s="436">
        <f t="shared" si="0"/>
        <v>168.96</v>
      </c>
      <c r="G19" s="437">
        <f t="shared" si="1"/>
        <v>2.8025477707006374E-2</v>
      </c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</row>
    <row r="20" spans="1:20" s="84" customFormat="1" ht="12" x14ac:dyDescent="0.2">
      <c r="A20" s="34">
        <v>18</v>
      </c>
      <c r="B20" s="413" t="s">
        <v>348</v>
      </c>
      <c r="C20" s="414">
        <v>655.29999999999995</v>
      </c>
      <c r="D20" s="418">
        <f>[6]Лист1!$H$68</f>
        <v>12</v>
      </c>
      <c r="E20" s="436">
        <v>7.04</v>
      </c>
      <c r="F20" s="436">
        <f t="shared" si="0"/>
        <v>84.48</v>
      </c>
      <c r="G20" s="437">
        <f t="shared" si="1"/>
        <v>1.0743171066687015E-2</v>
      </c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</row>
    <row r="21" spans="1:20" s="84" customFormat="1" ht="12" x14ac:dyDescent="0.2">
      <c r="A21" s="34">
        <v>19</v>
      </c>
      <c r="B21" s="413" t="s">
        <v>349</v>
      </c>
      <c r="C21" s="414">
        <v>663.8</v>
      </c>
      <c r="D21" s="418">
        <f>[6]Лист1!$H$69</f>
        <v>12</v>
      </c>
      <c r="E21" s="436">
        <v>7.04</v>
      </c>
      <c r="F21" s="436">
        <f t="shared" si="0"/>
        <v>84.48</v>
      </c>
      <c r="G21" s="437">
        <f t="shared" si="1"/>
        <v>1.0605604097619766E-2</v>
      </c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</row>
    <row r="22" spans="1:20" s="84" customFormat="1" ht="12" x14ac:dyDescent="0.2">
      <c r="A22" s="34">
        <v>20</v>
      </c>
      <c r="B22" s="413" t="s">
        <v>350</v>
      </c>
      <c r="C22" s="414">
        <v>679.3</v>
      </c>
      <c r="D22" s="418">
        <f>[6]Лист1!$H$71</f>
        <v>24</v>
      </c>
      <c r="E22" s="436">
        <v>7.04</v>
      </c>
      <c r="F22" s="436">
        <f t="shared" si="0"/>
        <v>168.96</v>
      </c>
      <c r="G22" s="437">
        <f t="shared" si="1"/>
        <v>2.0727219196231418E-2</v>
      </c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</row>
    <row r="23" spans="1:20" s="84" customFormat="1" ht="12" x14ac:dyDescent="0.2">
      <c r="A23" s="34">
        <v>21</v>
      </c>
      <c r="B23" s="413" t="s">
        <v>351</v>
      </c>
      <c r="C23" s="414">
        <v>828.8</v>
      </c>
      <c r="D23" s="418">
        <f>[6]Лист1!$H$75</f>
        <v>48</v>
      </c>
      <c r="E23" s="436">
        <v>7.04</v>
      </c>
      <c r="F23" s="436">
        <f t="shared" si="0"/>
        <v>337.92</v>
      </c>
      <c r="G23" s="437">
        <f t="shared" si="1"/>
        <v>3.397683397683398E-2</v>
      </c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</row>
    <row r="24" spans="1:20" s="84" customFormat="1" ht="12" x14ac:dyDescent="0.2">
      <c r="A24" s="34">
        <v>22</v>
      </c>
      <c r="B24" s="413" t="s">
        <v>352</v>
      </c>
      <c r="C24" s="414">
        <v>1413.6</v>
      </c>
      <c r="D24" s="418">
        <f>[6]Лист1!$H$78</f>
        <v>93</v>
      </c>
      <c r="E24" s="436">
        <v>7.04</v>
      </c>
      <c r="F24" s="436">
        <f t="shared" si="0"/>
        <v>654.72</v>
      </c>
      <c r="G24" s="437">
        <f t="shared" si="1"/>
        <v>3.8596491228070177E-2</v>
      </c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</row>
    <row r="25" spans="1:20" s="84" customFormat="1" ht="12" x14ac:dyDescent="0.2">
      <c r="A25" s="34">
        <v>23</v>
      </c>
      <c r="B25" s="413" t="s">
        <v>353</v>
      </c>
      <c r="C25" s="414">
        <v>1478</v>
      </c>
      <c r="D25" s="418">
        <f>[6]Лист1!$H$79</f>
        <v>96</v>
      </c>
      <c r="E25" s="436">
        <v>7.04</v>
      </c>
      <c r="F25" s="436">
        <f t="shared" si="0"/>
        <v>675.84</v>
      </c>
      <c r="G25" s="437">
        <f t="shared" si="1"/>
        <v>3.8105548037889042E-2</v>
      </c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</row>
    <row r="26" spans="1:20" s="84" customFormat="1" ht="12" x14ac:dyDescent="0.2">
      <c r="A26" s="34">
        <v>24</v>
      </c>
      <c r="B26" s="413" t="s">
        <v>354</v>
      </c>
      <c r="C26" s="414">
        <v>848.6</v>
      </c>
      <c r="D26" s="418">
        <f>[6]Лист1!$H$80</f>
        <v>48</v>
      </c>
      <c r="E26" s="436">
        <v>7.04</v>
      </c>
      <c r="F26" s="436">
        <f t="shared" si="0"/>
        <v>337.92</v>
      </c>
      <c r="G26" s="437">
        <f t="shared" si="1"/>
        <v>3.3184067876502472E-2</v>
      </c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</row>
    <row r="27" spans="1:20" s="84" customFormat="1" ht="12" x14ac:dyDescent="0.2">
      <c r="A27" s="34">
        <v>25</v>
      </c>
      <c r="B27" s="413" t="s">
        <v>355</v>
      </c>
      <c r="C27" s="414">
        <v>834.8</v>
      </c>
      <c r="D27" s="417">
        <v>16</v>
      </c>
      <c r="E27" s="436">
        <v>7.04</v>
      </c>
      <c r="F27" s="436">
        <f t="shared" si="0"/>
        <v>112.64</v>
      </c>
      <c r="G27" s="437">
        <f t="shared" si="1"/>
        <v>1.1244210190065487E-2</v>
      </c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</row>
    <row r="28" spans="1:20" s="84" customFormat="1" ht="12" x14ac:dyDescent="0.2">
      <c r="A28" s="34">
        <v>26</v>
      </c>
      <c r="B28" s="413" t="s">
        <v>356</v>
      </c>
      <c r="C28" s="414">
        <v>848.8</v>
      </c>
      <c r="D28" s="418">
        <f>[6]Лист1!$H$81</f>
        <v>48</v>
      </c>
      <c r="E28" s="436">
        <v>7.04</v>
      </c>
      <c r="F28" s="436">
        <f t="shared" si="0"/>
        <v>337.92</v>
      </c>
      <c r="G28" s="437">
        <f t="shared" si="1"/>
        <v>3.3176248821866171E-2</v>
      </c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</row>
    <row r="29" spans="1:20" s="84" customFormat="1" ht="12" x14ac:dyDescent="0.2">
      <c r="A29" s="34">
        <v>27</v>
      </c>
      <c r="B29" s="413" t="s">
        <v>357</v>
      </c>
      <c r="C29" s="414">
        <v>646.76</v>
      </c>
      <c r="D29" s="418">
        <f>[6]Лист1!$H$83</f>
        <v>12</v>
      </c>
      <c r="E29" s="436">
        <v>7.04</v>
      </c>
      <c r="F29" s="436">
        <f t="shared" si="0"/>
        <v>84.48</v>
      </c>
      <c r="G29" s="437">
        <f t="shared" si="1"/>
        <v>1.0885026903333541E-2</v>
      </c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</row>
    <row r="30" spans="1:20" s="84" customFormat="1" ht="12" x14ac:dyDescent="0.2">
      <c r="A30" s="34">
        <v>28</v>
      </c>
      <c r="B30" s="413" t="s">
        <v>358</v>
      </c>
      <c r="C30" s="414">
        <v>638.20000000000005</v>
      </c>
      <c r="D30" s="418">
        <f>[6]Лист1!$H$84</f>
        <v>12</v>
      </c>
      <c r="E30" s="436">
        <v>7.04</v>
      </c>
      <c r="F30" s="436">
        <f t="shared" si="0"/>
        <v>84.48</v>
      </c>
      <c r="G30" s="437">
        <f t="shared" si="1"/>
        <v>1.1031024757129427E-2</v>
      </c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</row>
    <row r="31" spans="1:20" s="84" customFormat="1" ht="12" x14ac:dyDescent="0.2">
      <c r="A31" s="34">
        <v>29</v>
      </c>
      <c r="B31" s="413" t="s">
        <v>359</v>
      </c>
      <c r="C31" s="414">
        <v>385.2</v>
      </c>
      <c r="D31" s="418">
        <f>[6]Лист1!$H$88</f>
        <v>8</v>
      </c>
      <c r="E31" s="436">
        <v>7.04</v>
      </c>
      <c r="F31" s="436">
        <f t="shared" si="0"/>
        <v>56.32</v>
      </c>
      <c r="G31" s="437">
        <f t="shared" si="1"/>
        <v>1.2184146763586015E-2</v>
      </c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</row>
    <row r="32" spans="1:20" s="84" customFormat="1" ht="12" x14ac:dyDescent="0.2">
      <c r="A32" s="34">
        <v>30</v>
      </c>
      <c r="B32" s="413" t="s">
        <v>360</v>
      </c>
      <c r="C32" s="414">
        <v>398.4</v>
      </c>
      <c r="D32" s="418">
        <f>[6]Лист1!$H$89</f>
        <v>8</v>
      </c>
      <c r="E32" s="436">
        <v>7.04</v>
      </c>
      <c r="F32" s="436">
        <f t="shared" si="0"/>
        <v>56.32</v>
      </c>
      <c r="G32" s="437">
        <f t="shared" si="1"/>
        <v>1.1780455153949132E-2</v>
      </c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</row>
    <row r="33" spans="1:20" s="84" customFormat="1" ht="12" x14ac:dyDescent="0.2">
      <c r="A33" s="34">
        <v>31</v>
      </c>
      <c r="B33" s="413" t="s">
        <v>361</v>
      </c>
      <c r="C33" s="414">
        <v>977.25</v>
      </c>
      <c r="D33" s="418">
        <f>[6]Лист1!$H$90</f>
        <v>18</v>
      </c>
      <c r="E33" s="436">
        <v>7.04</v>
      </c>
      <c r="F33" s="436">
        <f t="shared" si="0"/>
        <v>126.72</v>
      </c>
      <c r="G33" s="437">
        <f t="shared" si="1"/>
        <v>1.0805832693783575E-2</v>
      </c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</row>
    <row r="34" spans="1:20" s="84" customFormat="1" ht="12" x14ac:dyDescent="0.2">
      <c r="A34" s="34">
        <v>32</v>
      </c>
      <c r="B34" s="413" t="s">
        <v>362</v>
      </c>
      <c r="C34" s="414">
        <v>796.2</v>
      </c>
      <c r="D34" s="418">
        <f>[6]Лист1!$H$91</f>
        <v>12</v>
      </c>
      <c r="E34" s="436">
        <v>7.04</v>
      </c>
      <c r="F34" s="436">
        <f t="shared" si="0"/>
        <v>84.48</v>
      </c>
      <c r="G34" s="437">
        <f t="shared" si="1"/>
        <v>8.8419994976136652E-3</v>
      </c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</row>
    <row r="35" spans="1:20" s="84" customFormat="1" ht="12" x14ac:dyDescent="0.2">
      <c r="A35" s="34">
        <v>33</v>
      </c>
      <c r="B35" s="413" t="s">
        <v>363</v>
      </c>
      <c r="C35" s="414">
        <v>394.3</v>
      </c>
      <c r="D35" s="418">
        <f>[6]Лист1!$H$98</f>
        <v>25</v>
      </c>
      <c r="E35" s="436">
        <v>7.04</v>
      </c>
      <c r="F35" s="436">
        <f t="shared" si="0"/>
        <v>176</v>
      </c>
      <c r="G35" s="437">
        <f t="shared" si="1"/>
        <v>3.719671992560656E-2</v>
      </c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</row>
    <row r="36" spans="1:20" s="84" customFormat="1" ht="12" x14ac:dyDescent="0.2">
      <c r="A36" s="34">
        <v>34</v>
      </c>
      <c r="B36" s="413" t="s">
        <v>364</v>
      </c>
      <c r="C36" s="414">
        <v>462.9</v>
      </c>
      <c r="D36" s="418">
        <f>[6]Лист1!$H$100</f>
        <v>16</v>
      </c>
      <c r="E36" s="436">
        <v>7.04</v>
      </c>
      <c r="F36" s="436">
        <f t="shared" si="0"/>
        <v>112.64</v>
      </c>
      <c r="G36" s="437">
        <f t="shared" si="1"/>
        <v>2.0277957802261107E-2</v>
      </c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</row>
    <row r="37" spans="1:20" s="84" customFormat="1" ht="12" x14ac:dyDescent="0.2">
      <c r="A37" s="34">
        <v>35</v>
      </c>
      <c r="B37" s="413" t="s">
        <v>365</v>
      </c>
      <c r="C37" s="414">
        <v>411.79</v>
      </c>
      <c r="D37" s="418">
        <f>[6]Лист1!$H$102</f>
        <v>24</v>
      </c>
      <c r="E37" s="436">
        <v>7.04</v>
      </c>
      <c r="F37" s="436">
        <f t="shared" si="0"/>
        <v>168.96</v>
      </c>
      <c r="G37" s="437">
        <f t="shared" si="1"/>
        <v>3.4192185337186431E-2</v>
      </c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</row>
    <row r="38" spans="1:20" s="84" customFormat="1" ht="12" x14ac:dyDescent="0.2">
      <c r="A38" s="34">
        <v>36</v>
      </c>
      <c r="B38" s="413" t="s">
        <v>366</v>
      </c>
      <c r="C38" s="414">
        <v>674.2</v>
      </c>
      <c r="D38" s="418">
        <f>[6]Лист1!$H$106</f>
        <v>24</v>
      </c>
      <c r="E38" s="436">
        <v>7.04</v>
      </c>
      <c r="F38" s="436">
        <f t="shared" si="0"/>
        <v>168.96</v>
      </c>
      <c r="G38" s="437">
        <f t="shared" si="1"/>
        <v>2.0884010679323644E-2</v>
      </c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</row>
    <row r="39" spans="1:20" s="84" customFormat="1" ht="12" x14ac:dyDescent="0.2">
      <c r="A39" s="34">
        <v>37</v>
      </c>
      <c r="B39" s="413" t="s">
        <v>367</v>
      </c>
      <c r="C39" s="414">
        <v>169</v>
      </c>
      <c r="D39" s="418">
        <f>[6]Лист1!$H$138</f>
        <v>4</v>
      </c>
      <c r="E39" s="436">
        <v>7.04</v>
      </c>
      <c r="F39" s="436">
        <f t="shared" si="0"/>
        <v>28.16</v>
      </c>
      <c r="G39" s="437">
        <f t="shared" si="1"/>
        <v>1.3885601577909272E-2</v>
      </c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</row>
    <row r="40" spans="1:20" s="84" customFormat="1" ht="12" x14ac:dyDescent="0.2">
      <c r="A40" s="34">
        <v>38</v>
      </c>
      <c r="B40" s="413" t="s">
        <v>368</v>
      </c>
      <c r="C40" s="414">
        <v>175.4</v>
      </c>
      <c r="D40" s="418">
        <f>[6]Лист1!$H$139</f>
        <v>4</v>
      </c>
      <c r="E40" s="436">
        <v>7.04</v>
      </c>
      <c r="F40" s="436">
        <f t="shared" si="0"/>
        <v>28.16</v>
      </c>
      <c r="G40" s="437">
        <f t="shared" si="1"/>
        <v>1.3378943367540858E-2</v>
      </c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</row>
    <row r="41" spans="1:20" s="84" customFormat="1" ht="12" x14ac:dyDescent="0.2">
      <c r="A41" s="34">
        <v>39</v>
      </c>
      <c r="B41" s="413" t="s">
        <v>369</v>
      </c>
      <c r="C41" s="414">
        <v>173.5</v>
      </c>
      <c r="D41" s="418">
        <f>[6]Лист1!$H$140</f>
        <v>4</v>
      </c>
      <c r="E41" s="436">
        <v>7.04</v>
      </c>
      <c r="F41" s="436">
        <f t="shared" si="0"/>
        <v>28.16</v>
      </c>
      <c r="G41" s="437">
        <f t="shared" si="1"/>
        <v>1.3525456292026896E-2</v>
      </c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</row>
    <row r="42" spans="1:20" s="84" customFormat="1" ht="12" x14ac:dyDescent="0.2">
      <c r="A42" s="34">
        <v>40</v>
      </c>
      <c r="B42" s="413" t="s">
        <v>370</v>
      </c>
      <c r="C42" s="414">
        <v>182</v>
      </c>
      <c r="D42" s="418">
        <f>[6]Лист1!$H$141</f>
        <v>4</v>
      </c>
      <c r="E42" s="436">
        <v>7.04</v>
      </c>
      <c r="F42" s="436">
        <f t="shared" si="0"/>
        <v>28.16</v>
      </c>
      <c r="G42" s="437">
        <f t="shared" si="1"/>
        <v>1.2893772893772894E-2</v>
      </c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</row>
    <row r="43" spans="1:20" s="84" customFormat="1" ht="12" x14ac:dyDescent="0.2">
      <c r="A43" s="34">
        <v>41</v>
      </c>
      <c r="B43" s="413" t="s">
        <v>371</v>
      </c>
      <c r="C43" s="414">
        <v>629.6</v>
      </c>
      <c r="D43" s="418">
        <f>[6]Лист1!$H$143</f>
        <v>48</v>
      </c>
      <c r="E43" s="436">
        <v>7.04</v>
      </c>
      <c r="F43" s="436">
        <f t="shared" si="0"/>
        <v>337.92</v>
      </c>
      <c r="G43" s="437">
        <f t="shared" si="1"/>
        <v>4.4726810673443453E-2</v>
      </c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</row>
    <row r="44" spans="1:20" s="84" customFormat="1" ht="12" x14ac:dyDescent="0.2">
      <c r="A44" s="34">
        <v>42</v>
      </c>
      <c r="B44" s="413" t="s">
        <v>372</v>
      </c>
      <c r="C44" s="414">
        <v>628.9</v>
      </c>
      <c r="D44" s="418">
        <f>[6]Лист1!$H$144</f>
        <v>48</v>
      </c>
      <c r="E44" s="436">
        <v>7.04</v>
      </c>
      <c r="F44" s="436">
        <f t="shared" si="0"/>
        <v>337.92</v>
      </c>
      <c r="G44" s="437">
        <f t="shared" si="1"/>
        <v>4.4776594053108604E-2</v>
      </c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</row>
    <row r="45" spans="1:20" s="84" customFormat="1" ht="14.25" customHeight="1" x14ac:dyDescent="0.2">
      <c r="A45" s="34">
        <v>43</v>
      </c>
      <c r="B45" s="413" t="s">
        <v>373</v>
      </c>
      <c r="C45" s="414">
        <v>509.3</v>
      </c>
      <c r="D45" s="418">
        <f>[6]Лист1!$H$145</f>
        <v>24</v>
      </c>
      <c r="E45" s="436">
        <v>7.04</v>
      </c>
      <c r="F45" s="436">
        <f t="shared" si="0"/>
        <v>168.96</v>
      </c>
      <c r="G45" s="437">
        <f t="shared" si="1"/>
        <v>2.7645788336933045E-2</v>
      </c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</row>
    <row r="46" spans="1:20" s="84" customFormat="1" ht="12" x14ac:dyDescent="0.2">
      <c r="A46" s="34">
        <v>44</v>
      </c>
      <c r="B46" s="413" t="s">
        <v>374</v>
      </c>
      <c r="C46" s="414">
        <v>404.4</v>
      </c>
      <c r="D46" s="418">
        <f>[6]Лист1!$H$148</f>
        <v>16</v>
      </c>
      <c r="E46" s="436">
        <v>7.04</v>
      </c>
      <c r="F46" s="436">
        <f t="shared" si="0"/>
        <v>112.64</v>
      </c>
      <c r="G46" s="437">
        <f t="shared" si="1"/>
        <v>2.3211341905703925E-2</v>
      </c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</row>
    <row r="47" spans="1:20" s="84" customFormat="1" ht="12" x14ac:dyDescent="0.2">
      <c r="A47" s="34">
        <v>45</v>
      </c>
      <c r="B47" s="413" t="s">
        <v>375</v>
      </c>
      <c r="C47" s="414">
        <v>409.8</v>
      </c>
      <c r="D47" s="418">
        <f>[6]Лист1!$H$149</f>
        <v>16</v>
      </c>
      <c r="E47" s="436">
        <v>7.04</v>
      </c>
      <c r="F47" s="436">
        <f t="shared" si="0"/>
        <v>112.64</v>
      </c>
      <c r="G47" s="437">
        <f t="shared" si="1"/>
        <v>2.2905482349113385E-2</v>
      </c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84" customFormat="1" ht="12" x14ac:dyDescent="0.2">
      <c r="A48" s="34">
        <v>46</v>
      </c>
      <c r="B48" s="413" t="s">
        <v>376</v>
      </c>
      <c r="C48" s="414">
        <v>374.7</v>
      </c>
      <c r="D48" s="418">
        <f>[6]Лист1!$H$152</f>
        <v>32</v>
      </c>
      <c r="E48" s="436">
        <v>7.04</v>
      </c>
      <c r="F48" s="436">
        <f t="shared" si="0"/>
        <v>225.28</v>
      </c>
      <c r="G48" s="437">
        <f t="shared" si="1"/>
        <v>5.0102304065474605E-2</v>
      </c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0" s="84" customFormat="1" ht="12" x14ac:dyDescent="0.2">
      <c r="A49" s="34">
        <v>47</v>
      </c>
      <c r="B49" s="413" t="s">
        <v>377</v>
      </c>
      <c r="C49" s="414">
        <v>618.4</v>
      </c>
      <c r="D49" s="418">
        <f>[6]Лист1!$H$153</f>
        <v>48</v>
      </c>
      <c r="E49" s="436">
        <v>7.04</v>
      </c>
      <c r="F49" s="436">
        <f t="shared" si="0"/>
        <v>337.92</v>
      </c>
      <c r="G49" s="437">
        <f t="shared" si="1"/>
        <v>4.5536869340232856E-2</v>
      </c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</row>
    <row r="50" spans="1:20" s="84" customFormat="1" ht="12" x14ac:dyDescent="0.2">
      <c r="A50" s="34">
        <v>48</v>
      </c>
      <c r="B50" s="413" t="s">
        <v>378</v>
      </c>
      <c r="C50" s="414">
        <v>1126.3</v>
      </c>
      <c r="D50" s="418">
        <f>[6]Лист1!$H$132</f>
        <v>46</v>
      </c>
      <c r="E50" s="436">
        <v>7.04</v>
      </c>
      <c r="F50" s="436">
        <f t="shared" si="0"/>
        <v>323.83999999999997</v>
      </c>
      <c r="G50" s="437">
        <f t="shared" si="1"/>
        <v>2.3960460504898043E-2</v>
      </c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</row>
    <row r="51" spans="1:20" s="84" customFormat="1" ht="12" x14ac:dyDescent="0.2">
      <c r="A51" s="34">
        <v>49</v>
      </c>
      <c r="B51" s="413" t="s">
        <v>379</v>
      </c>
      <c r="C51" s="414">
        <v>617</v>
      </c>
      <c r="D51" s="418">
        <f>[6]Лист1!$H$13</f>
        <v>10</v>
      </c>
      <c r="E51" s="436">
        <v>7.04</v>
      </c>
      <c r="F51" s="436">
        <f t="shared" si="0"/>
        <v>70.400000000000006</v>
      </c>
      <c r="G51" s="437">
        <f t="shared" si="1"/>
        <v>9.5083738519719085E-3</v>
      </c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</row>
    <row r="52" spans="1:20" s="84" customFormat="1" ht="12" x14ac:dyDescent="0.2">
      <c r="A52" s="34">
        <v>50</v>
      </c>
      <c r="B52" s="413" t="s">
        <v>380</v>
      </c>
      <c r="C52" s="414">
        <v>452</v>
      </c>
      <c r="D52" s="418">
        <f>[6]Лист1!$H$18</f>
        <v>20</v>
      </c>
      <c r="E52" s="436">
        <v>7.04</v>
      </c>
      <c r="F52" s="436">
        <f t="shared" si="0"/>
        <v>140.80000000000001</v>
      </c>
      <c r="G52" s="437">
        <f t="shared" si="1"/>
        <v>2.5958702064896758E-2</v>
      </c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</row>
    <row r="53" spans="1:20" s="84" customFormat="1" ht="12" x14ac:dyDescent="0.2">
      <c r="A53" s="34">
        <v>51</v>
      </c>
      <c r="B53" s="413" t="s">
        <v>381</v>
      </c>
      <c r="C53" s="414">
        <v>1245.5999999999999</v>
      </c>
      <c r="D53" s="418">
        <f>[6]Лист1!$H$40</f>
        <v>72</v>
      </c>
      <c r="E53" s="436">
        <v>7.04</v>
      </c>
      <c r="F53" s="436">
        <f t="shared" si="0"/>
        <v>506.88</v>
      </c>
      <c r="G53" s="437">
        <f t="shared" si="1"/>
        <v>3.3911368015414257E-2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0" s="84" customFormat="1" ht="12" x14ac:dyDescent="0.2">
      <c r="A54" s="34">
        <v>52</v>
      </c>
      <c r="B54" s="413" t="s">
        <v>382</v>
      </c>
      <c r="C54" s="414">
        <v>1275.5999999999999</v>
      </c>
      <c r="D54" s="418">
        <f>[6]Лист1!$H$41</f>
        <v>72</v>
      </c>
      <c r="E54" s="436">
        <v>7.04</v>
      </c>
      <c r="F54" s="436">
        <f t="shared" si="0"/>
        <v>506.88</v>
      </c>
      <c r="G54" s="437">
        <f t="shared" si="1"/>
        <v>3.3113828786453435E-2</v>
      </c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</row>
    <row r="55" spans="1:20" s="84" customFormat="1" ht="12" x14ac:dyDescent="0.2">
      <c r="A55" s="34">
        <v>53</v>
      </c>
      <c r="B55" s="413" t="s">
        <v>383</v>
      </c>
      <c r="C55" s="414">
        <v>942.4</v>
      </c>
      <c r="D55" s="418">
        <f>[6]Лист1!$H$70</f>
        <v>48</v>
      </c>
      <c r="E55" s="436">
        <v>7.04</v>
      </c>
      <c r="F55" s="436">
        <f t="shared" si="0"/>
        <v>337.92</v>
      </c>
      <c r="G55" s="437">
        <f t="shared" si="1"/>
        <v>2.9881154499151106E-2</v>
      </c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0" s="84" customFormat="1" ht="12" x14ac:dyDescent="0.2">
      <c r="A56" s="34">
        <v>54</v>
      </c>
      <c r="B56" s="413" t="s">
        <v>384</v>
      </c>
      <c r="C56" s="414">
        <v>567.95000000000005</v>
      </c>
      <c r="D56" s="418">
        <f>[6]Лист1!$H$72</f>
        <v>36</v>
      </c>
      <c r="E56" s="436">
        <v>7.04</v>
      </c>
      <c r="F56" s="436">
        <f t="shared" si="0"/>
        <v>253.44</v>
      </c>
      <c r="G56" s="437">
        <f t="shared" si="1"/>
        <v>3.7186372039792227E-2</v>
      </c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0" s="84" customFormat="1" ht="12" x14ac:dyDescent="0.2">
      <c r="A57" s="34">
        <v>55</v>
      </c>
      <c r="B57" s="413" t="s">
        <v>385</v>
      </c>
      <c r="C57" s="414">
        <v>1119.5999999999999</v>
      </c>
      <c r="D57" s="418">
        <f>[6]Лист1!$H$76</f>
        <v>48</v>
      </c>
      <c r="E57" s="436">
        <v>7.04</v>
      </c>
      <c r="F57" s="436">
        <f t="shared" si="0"/>
        <v>337.92</v>
      </c>
      <c r="G57" s="437">
        <f t="shared" si="1"/>
        <v>2.5151839942836731E-2</v>
      </c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0" s="84" customFormat="1" ht="12" x14ac:dyDescent="0.2">
      <c r="A58" s="34">
        <v>56</v>
      </c>
      <c r="B58" s="413" t="s">
        <v>386</v>
      </c>
      <c r="C58" s="414">
        <v>946.6</v>
      </c>
      <c r="D58" s="418">
        <f>[6]Лист1!$H$77</f>
        <v>48</v>
      </c>
      <c r="E58" s="436">
        <v>7.04</v>
      </c>
      <c r="F58" s="436">
        <f t="shared" si="0"/>
        <v>337.92</v>
      </c>
      <c r="G58" s="437">
        <f t="shared" si="1"/>
        <v>2.9748573843228394E-2</v>
      </c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</row>
    <row r="59" spans="1:20" s="84" customFormat="1" ht="12" x14ac:dyDescent="0.2">
      <c r="A59" s="34">
        <v>57</v>
      </c>
      <c r="B59" s="413" t="s">
        <v>387</v>
      </c>
      <c r="C59" s="414">
        <v>1375.7</v>
      </c>
      <c r="D59" s="418">
        <f>[6]Лист1!$H$82</f>
        <v>54</v>
      </c>
      <c r="E59" s="436">
        <v>7.04</v>
      </c>
      <c r="F59" s="436">
        <f t="shared" si="0"/>
        <v>380.16</v>
      </c>
      <c r="G59" s="437">
        <f t="shared" si="1"/>
        <v>2.3028276513774804E-2</v>
      </c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</row>
    <row r="60" spans="1:20" s="84" customFormat="1" ht="12" x14ac:dyDescent="0.2">
      <c r="A60" s="34">
        <v>58</v>
      </c>
      <c r="B60" s="413" t="s">
        <v>388</v>
      </c>
      <c r="C60" s="414">
        <v>1540.17</v>
      </c>
      <c r="D60" s="418">
        <f>[6]Лист1!$H$93</f>
        <v>72</v>
      </c>
      <c r="E60" s="436">
        <v>7.04</v>
      </c>
      <c r="F60" s="436">
        <f t="shared" si="0"/>
        <v>506.88</v>
      </c>
      <c r="G60" s="437">
        <f t="shared" si="1"/>
        <v>2.7425543933461888E-2</v>
      </c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</row>
    <row r="61" spans="1:20" s="84" customFormat="1" ht="12" x14ac:dyDescent="0.2">
      <c r="A61" s="34">
        <v>59</v>
      </c>
      <c r="B61" s="413" t="s">
        <v>389</v>
      </c>
      <c r="C61" s="414">
        <v>1571.33</v>
      </c>
      <c r="D61" s="418">
        <f>[6]Лист1!$H$94</f>
        <v>72</v>
      </c>
      <c r="E61" s="436">
        <v>7.04</v>
      </c>
      <c r="F61" s="436">
        <f t="shared" si="0"/>
        <v>506.88</v>
      </c>
      <c r="G61" s="437">
        <f t="shared" si="1"/>
        <v>2.6881686214862571E-2</v>
      </c>
      <c r="H61" s="419"/>
      <c r="I61" s="419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</row>
    <row r="62" spans="1:20" s="84" customFormat="1" ht="12" x14ac:dyDescent="0.2">
      <c r="A62" s="34">
        <v>60</v>
      </c>
      <c r="B62" s="413" t="s">
        <v>390</v>
      </c>
      <c r="C62" s="414">
        <v>1686.29</v>
      </c>
      <c r="D62" s="418">
        <f>[6]Лист1!$H$95</f>
        <v>60</v>
      </c>
      <c r="E62" s="436">
        <v>7.04</v>
      </c>
      <c r="F62" s="436">
        <f t="shared" si="0"/>
        <v>422.4</v>
      </c>
      <c r="G62" s="437">
        <f t="shared" si="1"/>
        <v>2.0874226853032394E-2</v>
      </c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</row>
    <row r="63" spans="1:20" s="84" customFormat="1" ht="12" x14ac:dyDescent="0.2">
      <c r="A63" s="34">
        <v>61</v>
      </c>
      <c r="B63" s="413" t="s">
        <v>391</v>
      </c>
      <c r="C63" s="414">
        <v>454.2</v>
      </c>
      <c r="D63" s="418">
        <f>[6]Лист1!$H$96</f>
        <v>30</v>
      </c>
      <c r="E63" s="436">
        <v>7.04</v>
      </c>
      <c r="F63" s="436">
        <f t="shared" si="0"/>
        <v>211.2</v>
      </c>
      <c r="G63" s="437">
        <f t="shared" si="1"/>
        <v>3.8749449581682076E-2</v>
      </c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</row>
    <row r="64" spans="1:20" s="84" customFormat="1" ht="12" x14ac:dyDescent="0.2">
      <c r="A64" s="34">
        <v>62</v>
      </c>
      <c r="B64" s="413" t="s">
        <v>392</v>
      </c>
      <c r="C64" s="414">
        <v>752.4</v>
      </c>
      <c r="D64" s="418">
        <f>[6]Лист1!$H$97</f>
        <v>16</v>
      </c>
      <c r="E64" s="436">
        <v>7.04</v>
      </c>
      <c r="F64" s="436">
        <f t="shared" si="0"/>
        <v>112.64</v>
      </c>
      <c r="G64" s="437">
        <f t="shared" si="1"/>
        <v>1.2475633528265107E-2</v>
      </c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</row>
    <row r="65" spans="1:20" s="84" customFormat="1" ht="12" x14ac:dyDescent="0.2">
      <c r="A65" s="34">
        <v>63</v>
      </c>
      <c r="B65" s="413" t="s">
        <v>393</v>
      </c>
      <c r="C65" s="414">
        <v>956.4</v>
      </c>
      <c r="D65" s="418">
        <f>[6]Лист1!$H$99</f>
        <v>56</v>
      </c>
      <c r="E65" s="436">
        <v>7.04</v>
      </c>
      <c r="F65" s="436">
        <f t="shared" si="0"/>
        <v>394.24</v>
      </c>
      <c r="G65" s="437">
        <f t="shared" si="1"/>
        <v>3.435103861703611E-2</v>
      </c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</row>
    <row r="66" spans="1:20" s="84" customFormat="1" ht="12" x14ac:dyDescent="0.2">
      <c r="A66" s="34">
        <v>64</v>
      </c>
      <c r="B66" s="413" t="s">
        <v>394</v>
      </c>
      <c r="C66" s="414">
        <v>955.5</v>
      </c>
      <c r="D66" s="418">
        <f>[6]Лист1!$H$107</f>
        <v>72</v>
      </c>
      <c r="E66" s="436">
        <v>7.04</v>
      </c>
      <c r="F66" s="436">
        <f t="shared" si="0"/>
        <v>506.88</v>
      </c>
      <c r="G66" s="437">
        <f t="shared" si="1"/>
        <v>4.4207221350078492E-2</v>
      </c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</row>
    <row r="67" spans="1:20" s="84" customFormat="1" ht="12" x14ac:dyDescent="0.2">
      <c r="A67" s="34">
        <v>65</v>
      </c>
      <c r="B67" s="413" t="s">
        <v>395</v>
      </c>
      <c r="C67" s="414">
        <v>1548.5</v>
      </c>
      <c r="D67" s="418">
        <f>[6]Лист1!$H$110</f>
        <v>72</v>
      </c>
      <c r="E67" s="436">
        <v>7.04</v>
      </c>
      <c r="F67" s="436">
        <f t="shared" si="0"/>
        <v>506.88</v>
      </c>
      <c r="G67" s="437">
        <f t="shared" si="1"/>
        <v>2.7278010978366161E-2</v>
      </c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</row>
    <row r="68" spans="1:20" s="84" customFormat="1" ht="12" x14ac:dyDescent="0.2">
      <c r="A68" s="34">
        <v>66</v>
      </c>
      <c r="B68" s="413" t="s">
        <v>396</v>
      </c>
      <c r="C68" s="414">
        <v>1567.3</v>
      </c>
      <c r="D68" s="418">
        <f>[6]Лист1!$H$117</f>
        <v>72</v>
      </c>
      <c r="E68" s="436">
        <v>7.04</v>
      </c>
      <c r="F68" s="436">
        <f t="shared" ref="F68:F131" si="2">D68*E68</f>
        <v>506.88</v>
      </c>
      <c r="G68" s="437">
        <f t="shared" ref="G68:G131" si="3">F68/C68/12</f>
        <v>2.6950807120525746E-2</v>
      </c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</row>
    <row r="69" spans="1:20" s="84" customFormat="1" ht="12" x14ac:dyDescent="0.2">
      <c r="A69" s="34">
        <v>67</v>
      </c>
      <c r="B69" s="413" t="s">
        <v>397</v>
      </c>
      <c r="C69" s="414">
        <v>1558.46</v>
      </c>
      <c r="D69" s="418">
        <f>[6]Лист1!$H$120</f>
        <v>72</v>
      </c>
      <c r="E69" s="436">
        <v>7.04</v>
      </c>
      <c r="F69" s="436">
        <f t="shared" si="2"/>
        <v>506.88</v>
      </c>
      <c r="G69" s="437">
        <f t="shared" si="3"/>
        <v>2.7103679273128598E-2</v>
      </c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</row>
    <row r="70" spans="1:20" s="84" customFormat="1" ht="12" x14ac:dyDescent="0.2">
      <c r="A70" s="34">
        <v>68</v>
      </c>
      <c r="B70" s="413" t="s">
        <v>398</v>
      </c>
      <c r="C70" s="414">
        <v>1575.7</v>
      </c>
      <c r="D70" s="418">
        <f>[6]Лист1!$H$121</f>
        <v>72</v>
      </c>
      <c r="E70" s="436">
        <v>7.04</v>
      </c>
      <c r="F70" s="436">
        <f t="shared" si="2"/>
        <v>506.88</v>
      </c>
      <c r="G70" s="437">
        <f t="shared" si="3"/>
        <v>2.6807133337564255E-2</v>
      </c>
      <c r="H70" s="419"/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19"/>
    </row>
    <row r="71" spans="1:20" s="84" customFormat="1" ht="12" x14ac:dyDescent="0.2">
      <c r="A71" s="34">
        <v>69</v>
      </c>
      <c r="B71" s="413" t="s">
        <v>399</v>
      </c>
      <c r="C71" s="414">
        <v>1546.3</v>
      </c>
      <c r="D71" s="418">
        <f>[6]Лист1!$H$122</f>
        <v>72</v>
      </c>
      <c r="E71" s="436">
        <v>7.04</v>
      </c>
      <c r="F71" s="436">
        <f t="shared" si="2"/>
        <v>506.88</v>
      </c>
      <c r="G71" s="437">
        <f t="shared" si="3"/>
        <v>2.7316820798034019E-2</v>
      </c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</row>
    <row r="72" spans="1:20" s="84" customFormat="1" ht="12" x14ac:dyDescent="0.2">
      <c r="A72" s="34">
        <v>70</v>
      </c>
      <c r="B72" s="413" t="s">
        <v>400</v>
      </c>
      <c r="C72" s="414">
        <v>563.1</v>
      </c>
      <c r="D72" s="418">
        <f>[6]Лист1!$H$142</f>
        <v>24</v>
      </c>
      <c r="E72" s="436">
        <v>7.04</v>
      </c>
      <c r="F72" s="436">
        <f t="shared" si="2"/>
        <v>168.96</v>
      </c>
      <c r="G72" s="437">
        <f t="shared" si="3"/>
        <v>2.5004439708755103E-2</v>
      </c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84" customFormat="1" ht="12" x14ac:dyDescent="0.2">
      <c r="A73" s="34">
        <v>71</v>
      </c>
      <c r="B73" s="413" t="s">
        <v>401</v>
      </c>
      <c r="C73" s="414">
        <v>549.6</v>
      </c>
      <c r="D73" s="418">
        <f>[6]Лист1!$H$147</f>
        <v>24</v>
      </c>
      <c r="E73" s="436">
        <v>7.04</v>
      </c>
      <c r="F73" s="436">
        <f t="shared" si="2"/>
        <v>168.96</v>
      </c>
      <c r="G73" s="437">
        <f t="shared" si="3"/>
        <v>2.5618631732168853E-2</v>
      </c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</row>
    <row r="74" spans="1:20" s="84" customFormat="1" ht="12" x14ac:dyDescent="0.2">
      <c r="A74" s="34">
        <v>72</v>
      </c>
      <c r="B74" s="413" t="s">
        <v>402</v>
      </c>
      <c r="C74" s="414">
        <v>983</v>
      </c>
      <c r="D74" s="418">
        <f>[6]Лист1!$H$151</f>
        <v>54</v>
      </c>
      <c r="E74" s="436">
        <v>7.04</v>
      </c>
      <c r="F74" s="436">
        <f t="shared" si="2"/>
        <v>380.16</v>
      </c>
      <c r="G74" s="437">
        <f t="shared" si="3"/>
        <v>3.2227873855544258E-2</v>
      </c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</row>
    <row r="75" spans="1:20" s="84" customFormat="1" ht="12" x14ac:dyDescent="0.2">
      <c r="A75" s="34">
        <v>73</v>
      </c>
      <c r="B75" s="413" t="s">
        <v>403</v>
      </c>
      <c r="C75" s="414">
        <v>1093.5999999999999</v>
      </c>
      <c r="D75" s="418">
        <f>[6]Лист1!$H$155</f>
        <v>72</v>
      </c>
      <c r="E75" s="436">
        <v>7.04</v>
      </c>
      <c r="F75" s="436">
        <f t="shared" si="2"/>
        <v>506.88</v>
      </c>
      <c r="G75" s="437">
        <f t="shared" si="3"/>
        <v>3.862472567666423E-2</v>
      </c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</row>
    <row r="76" spans="1:20" s="84" customFormat="1" ht="12" x14ac:dyDescent="0.2">
      <c r="A76" s="34">
        <v>74</v>
      </c>
      <c r="B76" s="413" t="s">
        <v>404</v>
      </c>
      <c r="C76" s="414">
        <v>773.53</v>
      </c>
      <c r="D76" s="418">
        <f>[6]Лист1!$H$123</f>
        <v>24</v>
      </c>
      <c r="E76" s="436">
        <v>7.04</v>
      </c>
      <c r="F76" s="436">
        <f t="shared" si="2"/>
        <v>168.96</v>
      </c>
      <c r="G76" s="437">
        <f t="shared" si="3"/>
        <v>1.8202267526792756E-2</v>
      </c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</row>
    <row r="77" spans="1:20" s="84" customFormat="1" ht="12" x14ac:dyDescent="0.2">
      <c r="A77" s="34">
        <v>75</v>
      </c>
      <c r="B77" s="413" t="s">
        <v>405</v>
      </c>
      <c r="C77" s="414">
        <v>1603.4</v>
      </c>
      <c r="D77" s="418">
        <f>[6]Лист1!$H$125</f>
        <v>30</v>
      </c>
      <c r="E77" s="436">
        <v>7.04</v>
      </c>
      <c r="F77" s="436">
        <f t="shared" si="2"/>
        <v>211.2</v>
      </c>
      <c r="G77" s="437">
        <f t="shared" si="3"/>
        <v>1.0976674566546088E-2</v>
      </c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</row>
    <row r="78" spans="1:20" s="84" customFormat="1" ht="12" x14ac:dyDescent="0.2">
      <c r="A78" s="34">
        <v>76</v>
      </c>
      <c r="B78" s="413" t="s">
        <v>406</v>
      </c>
      <c r="C78" s="414">
        <v>561.1</v>
      </c>
      <c r="D78" s="418">
        <f>[6]Лист1!$H$126</f>
        <v>36</v>
      </c>
      <c r="E78" s="436">
        <v>7.04</v>
      </c>
      <c r="F78" s="436">
        <f t="shared" si="2"/>
        <v>253.44</v>
      </c>
      <c r="G78" s="437">
        <f t="shared" si="3"/>
        <v>3.7640349313847798E-2</v>
      </c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</row>
    <row r="79" spans="1:20" s="84" customFormat="1" ht="12" x14ac:dyDescent="0.2">
      <c r="A79" s="34">
        <v>77</v>
      </c>
      <c r="B79" s="413" t="s">
        <v>407</v>
      </c>
      <c r="C79" s="414">
        <v>780.4</v>
      </c>
      <c r="D79" s="418">
        <f>[6]Лист1!$H$128</f>
        <v>24</v>
      </c>
      <c r="E79" s="436">
        <v>7.04</v>
      </c>
      <c r="F79" s="436">
        <f t="shared" si="2"/>
        <v>168.96</v>
      </c>
      <c r="G79" s="437">
        <f t="shared" si="3"/>
        <v>1.8042029728344438E-2</v>
      </c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</row>
    <row r="80" spans="1:20" s="84" customFormat="1" ht="12" x14ac:dyDescent="0.2">
      <c r="A80" s="34">
        <v>78</v>
      </c>
      <c r="B80" s="413" t="s">
        <v>408</v>
      </c>
      <c r="C80" s="414">
        <v>1890.1</v>
      </c>
      <c r="D80" s="418">
        <f>[6]Лист1!$H$129</f>
        <v>72</v>
      </c>
      <c r="E80" s="436">
        <v>7.04</v>
      </c>
      <c r="F80" s="436">
        <f t="shared" si="2"/>
        <v>506.88</v>
      </c>
      <c r="G80" s="437">
        <f t="shared" si="3"/>
        <v>2.2348023914078623E-2</v>
      </c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</row>
    <row r="81" spans="1:20" s="84" customFormat="1" ht="12" x14ac:dyDescent="0.2">
      <c r="A81" s="34">
        <v>79</v>
      </c>
      <c r="B81" s="413" t="s">
        <v>409</v>
      </c>
      <c r="C81" s="414">
        <v>1734.5</v>
      </c>
      <c r="D81" s="418">
        <f>[6]Лист1!$H$130</f>
        <v>84</v>
      </c>
      <c r="E81" s="436">
        <v>7.04</v>
      </c>
      <c r="F81" s="436">
        <f t="shared" si="2"/>
        <v>591.36</v>
      </c>
      <c r="G81" s="437">
        <f t="shared" si="3"/>
        <v>2.8411646007494958E-2</v>
      </c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</row>
    <row r="82" spans="1:20" s="84" customFormat="1" ht="12" x14ac:dyDescent="0.2">
      <c r="A82" s="34">
        <v>80</v>
      </c>
      <c r="B82" s="413" t="s">
        <v>410</v>
      </c>
      <c r="C82" s="414">
        <v>1565.58</v>
      </c>
      <c r="D82" s="418">
        <f>[6]Лист1!$H$131</f>
        <v>69</v>
      </c>
      <c r="E82" s="436">
        <v>7.04</v>
      </c>
      <c r="F82" s="436">
        <f t="shared" si="2"/>
        <v>485.76</v>
      </c>
      <c r="G82" s="437">
        <f t="shared" si="3"/>
        <v>2.5856232195097025E-2</v>
      </c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</row>
    <row r="83" spans="1:20" s="84" customFormat="1" ht="12" x14ac:dyDescent="0.2">
      <c r="A83" s="34">
        <v>81</v>
      </c>
      <c r="B83" s="413" t="s">
        <v>411</v>
      </c>
      <c r="C83" s="414">
        <v>2043.8</v>
      </c>
      <c r="D83" s="418">
        <f>[6]Лист1!$H$12</f>
        <v>144</v>
      </c>
      <c r="E83" s="436">
        <v>7.04</v>
      </c>
      <c r="F83" s="436">
        <f t="shared" si="2"/>
        <v>1013.76</v>
      </c>
      <c r="G83" s="437">
        <f t="shared" si="3"/>
        <v>4.1334768568353067E-2</v>
      </c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</row>
    <row r="84" spans="1:20" s="84" customFormat="1" ht="12" x14ac:dyDescent="0.2">
      <c r="A84" s="34">
        <v>82</v>
      </c>
      <c r="B84" s="413" t="s">
        <v>412</v>
      </c>
      <c r="C84" s="414">
        <v>1277.5999999999999</v>
      </c>
      <c r="D84" s="418">
        <f>[6]Лист1!$H$5</f>
        <v>96</v>
      </c>
      <c r="E84" s="436">
        <v>7.04</v>
      </c>
      <c r="F84" s="436">
        <f t="shared" si="2"/>
        <v>675.84</v>
      </c>
      <c r="G84" s="437">
        <f t="shared" si="3"/>
        <v>4.4082654978083911E-2</v>
      </c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</row>
    <row r="85" spans="1:20" s="84" customFormat="1" ht="12" x14ac:dyDescent="0.2">
      <c r="A85" s="34">
        <v>83</v>
      </c>
      <c r="B85" s="413" t="s">
        <v>413</v>
      </c>
      <c r="C85" s="414">
        <v>1281.1500000000001</v>
      </c>
      <c r="D85" s="418">
        <f>[6]Лист1!$H$7</f>
        <v>96</v>
      </c>
      <c r="E85" s="436">
        <v>7.04</v>
      </c>
      <c r="F85" s="436">
        <f t="shared" si="2"/>
        <v>675.84</v>
      </c>
      <c r="G85" s="437">
        <f t="shared" si="3"/>
        <v>4.3960504234476838E-2</v>
      </c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</row>
    <row r="86" spans="1:20" s="84" customFormat="1" ht="12" x14ac:dyDescent="0.2">
      <c r="A86" s="34">
        <v>84</v>
      </c>
      <c r="B86" s="413" t="s">
        <v>414</v>
      </c>
      <c r="C86" s="414">
        <v>1492.3</v>
      </c>
      <c r="D86" s="418">
        <f>[6]Лист1!$H$15</f>
        <v>96</v>
      </c>
      <c r="E86" s="436">
        <v>7.04</v>
      </c>
      <c r="F86" s="436">
        <f t="shared" si="2"/>
        <v>675.84</v>
      </c>
      <c r="G86" s="437">
        <f t="shared" si="3"/>
        <v>3.7740400723715074E-2</v>
      </c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</row>
    <row r="87" spans="1:20" s="84" customFormat="1" ht="12" x14ac:dyDescent="0.2">
      <c r="A87" s="34">
        <v>85</v>
      </c>
      <c r="B87" s="413" t="s">
        <v>415</v>
      </c>
      <c r="C87" s="414">
        <v>4130.75</v>
      </c>
      <c r="D87" s="418">
        <f>[6]Лист1!$H$16</f>
        <v>138</v>
      </c>
      <c r="E87" s="436">
        <v>7.04</v>
      </c>
      <c r="F87" s="436">
        <f t="shared" si="2"/>
        <v>971.52</v>
      </c>
      <c r="G87" s="437">
        <f t="shared" si="3"/>
        <v>1.9599346365672093E-2</v>
      </c>
      <c r="H87" s="419"/>
      <c r="I87" s="419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</row>
    <row r="88" spans="1:20" s="84" customFormat="1" ht="12" x14ac:dyDescent="0.2">
      <c r="A88" s="34">
        <v>86</v>
      </c>
      <c r="B88" s="413" t="s">
        <v>416</v>
      </c>
      <c r="C88" s="414">
        <v>3262.1</v>
      </c>
      <c r="D88" s="418">
        <f>[6]Лист1!$H$17</f>
        <v>86</v>
      </c>
      <c r="E88" s="436">
        <v>7.04</v>
      </c>
      <c r="F88" s="436">
        <f t="shared" si="2"/>
        <v>605.44000000000005</v>
      </c>
      <c r="G88" s="437">
        <f t="shared" si="3"/>
        <v>1.5466519522189186E-2</v>
      </c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</row>
    <row r="89" spans="1:20" s="84" customFormat="1" ht="12" x14ac:dyDescent="0.2">
      <c r="A89" s="34">
        <v>87</v>
      </c>
      <c r="B89" s="413" t="s">
        <v>417</v>
      </c>
      <c r="C89" s="414">
        <v>1516.8</v>
      </c>
      <c r="D89" s="418">
        <f>[6]Лист1!$H$27</f>
        <v>108</v>
      </c>
      <c r="E89" s="436">
        <v>7.04</v>
      </c>
      <c r="F89" s="436">
        <f t="shared" si="2"/>
        <v>760.32</v>
      </c>
      <c r="G89" s="437">
        <f t="shared" si="3"/>
        <v>4.1772151898734178E-2</v>
      </c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</row>
    <row r="90" spans="1:20" s="84" customFormat="1" ht="12" x14ac:dyDescent="0.2">
      <c r="A90" s="34">
        <v>88</v>
      </c>
      <c r="B90" s="413" t="s">
        <v>418</v>
      </c>
      <c r="C90" s="414">
        <v>752.42</v>
      </c>
      <c r="D90" s="418">
        <f>[6]Лист1!$H$30</f>
        <v>36</v>
      </c>
      <c r="E90" s="436">
        <v>7.04</v>
      </c>
      <c r="F90" s="436">
        <f t="shared" si="2"/>
        <v>253.44</v>
      </c>
      <c r="G90" s="437">
        <f t="shared" si="3"/>
        <v>2.8069429308099202E-2</v>
      </c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</row>
    <row r="91" spans="1:20" s="84" customFormat="1" ht="12" x14ac:dyDescent="0.2">
      <c r="A91" s="34">
        <v>89</v>
      </c>
      <c r="B91" s="413" t="s">
        <v>419</v>
      </c>
      <c r="C91" s="414">
        <v>771.7</v>
      </c>
      <c r="D91" s="418">
        <f>[6]Лист1!$H$31</f>
        <v>36</v>
      </c>
      <c r="E91" s="436">
        <v>7.04</v>
      </c>
      <c r="F91" s="436">
        <f t="shared" si="2"/>
        <v>253.44</v>
      </c>
      <c r="G91" s="437">
        <f t="shared" si="3"/>
        <v>2.7368148244136321E-2</v>
      </c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</row>
    <row r="92" spans="1:20" s="84" customFormat="1" ht="12" x14ac:dyDescent="0.2">
      <c r="A92" s="34">
        <v>90</v>
      </c>
      <c r="B92" s="413" t="s">
        <v>420</v>
      </c>
      <c r="C92" s="414">
        <v>1545</v>
      </c>
      <c r="D92" s="418">
        <f>[6]Лист1!$H$38</f>
        <v>64</v>
      </c>
      <c r="E92" s="436">
        <v>7.04</v>
      </c>
      <c r="F92" s="436">
        <f t="shared" si="2"/>
        <v>450.56</v>
      </c>
      <c r="G92" s="437">
        <f t="shared" si="3"/>
        <v>2.4302049622437972E-2</v>
      </c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</row>
    <row r="93" spans="1:20" s="84" customFormat="1" ht="12" x14ac:dyDescent="0.2">
      <c r="A93" s="34">
        <v>91</v>
      </c>
      <c r="B93" s="413" t="s">
        <v>421</v>
      </c>
      <c r="C93" s="414">
        <v>769.7</v>
      </c>
      <c r="D93" s="418">
        <f>[6]Лист1!$H$52</f>
        <v>36</v>
      </c>
      <c r="E93" s="436">
        <v>7.04</v>
      </c>
      <c r="F93" s="436">
        <f t="shared" si="2"/>
        <v>253.44</v>
      </c>
      <c r="G93" s="437">
        <f t="shared" si="3"/>
        <v>2.7439262050149408E-2</v>
      </c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</row>
    <row r="94" spans="1:20" s="84" customFormat="1" ht="12" x14ac:dyDescent="0.2">
      <c r="A94" s="34">
        <v>92</v>
      </c>
      <c r="B94" s="413" t="s">
        <v>422</v>
      </c>
      <c r="C94" s="414">
        <v>776.9</v>
      </c>
      <c r="D94" s="418">
        <f>[6]Лист1!$H$53</f>
        <v>48</v>
      </c>
      <c r="E94" s="436">
        <v>7.04</v>
      </c>
      <c r="F94" s="436">
        <f t="shared" si="2"/>
        <v>337.92</v>
      </c>
      <c r="G94" s="437">
        <f t="shared" si="3"/>
        <v>3.6246621186767927E-2</v>
      </c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</row>
    <row r="95" spans="1:20" s="84" customFormat="1" ht="12" x14ac:dyDescent="0.2">
      <c r="A95" s="34">
        <v>93</v>
      </c>
      <c r="B95" s="413" t="s">
        <v>423</v>
      </c>
      <c r="C95" s="414">
        <v>1935.6</v>
      </c>
      <c r="D95" s="418">
        <f>[6]Лист1!$H$58</f>
        <v>132</v>
      </c>
      <c r="E95" s="436">
        <v>7.04</v>
      </c>
      <c r="F95" s="436">
        <f t="shared" si="2"/>
        <v>929.28</v>
      </c>
      <c r="G95" s="437">
        <f t="shared" si="3"/>
        <v>4.0008266170696423E-2</v>
      </c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</row>
    <row r="96" spans="1:20" s="84" customFormat="1" ht="12" x14ac:dyDescent="0.2">
      <c r="A96" s="34">
        <v>94</v>
      </c>
      <c r="B96" s="413" t="s">
        <v>424</v>
      </c>
      <c r="C96" s="414">
        <v>1513.72</v>
      </c>
      <c r="D96" s="418">
        <f>[6]Лист1!$H$92</f>
        <v>96</v>
      </c>
      <c r="E96" s="436">
        <v>7.04</v>
      </c>
      <c r="F96" s="436">
        <f t="shared" si="2"/>
        <v>675.84</v>
      </c>
      <c r="G96" s="437">
        <f t="shared" si="3"/>
        <v>3.7206352561900483E-2</v>
      </c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</row>
    <row r="97" spans="1:20" s="84" customFormat="1" ht="12" x14ac:dyDescent="0.2">
      <c r="A97" s="34">
        <v>95</v>
      </c>
      <c r="B97" s="413" t="s">
        <v>425</v>
      </c>
      <c r="C97" s="414">
        <v>1500.3</v>
      </c>
      <c r="D97" s="418">
        <f>[6]Лист1!$H$104</f>
        <v>96</v>
      </c>
      <c r="E97" s="436">
        <v>7.04</v>
      </c>
      <c r="F97" s="436">
        <f t="shared" si="2"/>
        <v>675.84</v>
      </c>
      <c r="G97" s="437">
        <f t="shared" si="3"/>
        <v>3.7539158834899687E-2</v>
      </c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</row>
    <row r="98" spans="1:20" s="84" customFormat="1" ht="12" x14ac:dyDescent="0.2">
      <c r="A98" s="34">
        <v>96</v>
      </c>
      <c r="B98" s="413" t="s">
        <v>426</v>
      </c>
      <c r="C98" s="414">
        <v>735.9</v>
      </c>
      <c r="D98" s="418">
        <f>[6]Лист1!$H$115</f>
        <v>24</v>
      </c>
      <c r="E98" s="436">
        <v>7.04</v>
      </c>
      <c r="F98" s="436">
        <f t="shared" si="2"/>
        <v>168.96</v>
      </c>
      <c r="G98" s="437">
        <f t="shared" si="3"/>
        <v>1.9133034379671152E-2</v>
      </c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</row>
    <row r="99" spans="1:20" s="84" customFormat="1" ht="12" x14ac:dyDescent="0.2">
      <c r="A99" s="34">
        <v>97</v>
      </c>
      <c r="B99" s="413" t="s">
        <v>427</v>
      </c>
      <c r="C99" s="414">
        <v>757.7</v>
      </c>
      <c r="D99" s="418">
        <f>[6]Лист1!$H$116</f>
        <v>24</v>
      </c>
      <c r="E99" s="436">
        <v>7.04</v>
      </c>
      <c r="F99" s="436">
        <f t="shared" si="2"/>
        <v>168.96</v>
      </c>
      <c r="G99" s="437">
        <f t="shared" si="3"/>
        <v>1.858255246139633E-2</v>
      </c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</row>
    <row r="100" spans="1:20" s="84" customFormat="1" ht="12" x14ac:dyDescent="0.2">
      <c r="A100" s="34">
        <v>98</v>
      </c>
      <c r="B100" s="413" t="s">
        <v>428</v>
      </c>
      <c r="C100" s="414">
        <v>1915.15</v>
      </c>
      <c r="D100" s="418">
        <f>[6]Лист1!$H$154</f>
        <v>144</v>
      </c>
      <c r="E100" s="436">
        <v>7.04</v>
      </c>
      <c r="F100" s="436">
        <f t="shared" si="2"/>
        <v>1013.76</v>
      </c>
      <c r="G100" s="437">
        <f t="shared" si="3"/>
        <v>4.4111427303344386E-2</v>
      </c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</row>
    <row r="101" spans="1:20" s="84" customFormat="1" ht="12" x14ac:dyDescent="0.2">
      <c r="A101" s="34">
        <v>99</v>
      </c>
      <c r="B101" s="413" t="s">
        <v>429</v>
      </c>
      <c r="C101" s="414">
        <v>1544.5</v>
      </c>
      <c r="D101" s="418">
        <f>[6]Лист1!$H$158</f>
        <v>64</v>
      </c>
      <c r="E101" s="436">
        <v>7.04</v>
      </c>
      <c r="F101" s="436">
        <f t="shared" si="2"/>
        <v>450.56</v>
      </c>
      <c r="G101" s="437">
        <f t="shared" si="3"/>
        <v>2.4309916909463689E-2</v>
      </c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</row>
    <row r="102" spans="1:20" s="84" customFormat="1" ht="12" x14ac:dyDescent="0.2">
      <c r="A102" s="34">
        <v>100</v>
      </c>
      <c r="B102" s="413" t="s">
        <v>430</v>
      </c>
      <c r="C102" s="414">
        <v>1552.3</v>
      </c>
      <c r="D102" s="418">
        <f>[6]Лист1!$H$159</f>
        <v>64</v>
      </c>
      <c r="E102" s="436">
        <v>7.04</v>
      </c>
      <c r="F102" s="436">
        <f t="shared" si="2"/>
        <v>450.56</v>
      </c>
      <c r="G102" s="437">
        <f t="shared" si="3"/>
        <v>2.4187764392621703E-2</v>
      </c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</row>
    <row r="103" spans="1:20" s="84" customFormat="1" ht="12" x14ac:dyDescent="0.2">
      <c r="A103" s="34">
        <v>101</v>
      </c>
      <c r="B103" s="413" t="s">
        <v>431</v>
      </c>
      <c r="C103" s="414">
        <v>1287.0999999999999</v>
      </c>
      <c r="D103" s="418">
        <f>[6]Лист1!$H$127</f>
        <v>96</v>
      </c>
      <c r="E103" s="436">
        <v>7.04</v>
      </c>
      <c r="F103" s="436">
        <f t="shared" si="2"/>
        <v>675.84</v>
      </c>
      <c r="G103" s="437">
        <f t="shared" si="3"/>
        <v>4.3757283816331288E-2</v>
      </c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</row>
    <row r="104" spans="1:20" s="84" customFormat="1" ht="12" x14ac:dyDescent="0.2">
      <c r="A104" s="34">
        <v>102</v>
      </c>
      <c r="B104" s="413" t="s">
        <v>432</v>
      </c>
      <c r="C104" s="414">
        <v>3473.9</v>
      </c>
      <c r="D104" s="418">
        <f>[6]Лист1!$H$22</f>
        <v>120</v>
      </c>
      <c r="E104" s="436">
        <v>7.04</v>
      </c>
      <c r="F104" s="436">
        <f t="shared" si="2"/>
        <v>844.8</v>
      </c>
      <c r="G104" s="437">
        <f t="shared" si="3"/>
        <v>2.0265407754972795E-2</v>
      </c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</row>
    <row r="105" spans="1:20" s="84" customFormat="1" ht="12" x14ac:dyDescent="0.2">
      <c r="A105" s="34">
        <v>103</v>
      </c>
      <c r="B105" s="413" t="s">
        <v>433</v>
      </c>
      <c r="C105" s="414">
        <v>1838.18</v>
      </c>
      <c r="D105" s="418">
        <f>[6]Лист1!$H$6</f>
        <v>120</v>
      </c>
      <c r="E105" s="436">
        <v>7.04</v>
      </c>
      <c r="F105" s="436">
        <f t="shared" si="2"/>
        <v>844.8</v>
      </c>
      <c r="G105" s="437">
        <f t="shared" si="3"/>
        <v>3.8298752026460957E-2</v>
      </c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</row>
    <row r="106" spans="1:20" s="84" customFormat="1" ht="12" x14ac:dyDescent="0.2">
      <c r="A106" s="34">
        <v>104</v>
      </c>
      <c r="B106" s="413" t="s">
        <v>434</v>
      </c>
      <c r="C106" s="414">
        <v>4517.6000000000004</v>
      </c>
      <c r="D106" s="418">
        <f>[6]Лист1!$H$8</f>
        <v>200</v>
      </c>
      <c r="E106" s="436">
        <v>7.04</v>
      </c>
      <c r="F106" s="436">
        <f t="shared" si="2"/>
        <v>1408</v>
      </c>
      <c r="G106" s="437">
        <f t="shared" si="3"/>
        <v>2.5972492769021898E-2</v>
      </c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</row>
    <row r="107" spans="1:20" s="84" customFormat="1" ht="12" x14ac:dyDescent="0.2">
      <c r="A107" s="34">
        <v>105</v>
      </c>
      <c r="B107" s="413" t="s">
        <v>435</v>
      </c>
      <c r="C107" s="414">
        <v>4524.9399999999996</v>
      </c>
      <c r="D107" s="418">
        <f>[6]Лист1!$H$9</f>
        <v>200</v>
      </c>
      <c r="E107" s="436">
        <v>7.04</v>
      </c>
      <c r="F107" s="436">
        <f t="shared" si="2"/>
        <v>1408</v>
      </c>
      <c r="G107" s="437">
        <f t="shared" si="3"/>
        <v>2.5930362244213922E-2</v>
      </c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</row>
    <row r="108" spans="1:20" s="84" customFormat="1" ht="12" x14ac:dyDescent="0.2">
      <c r="A108" s="34">
        <v>106</v>
      </c>
      <c r="B108" s="413" t="s">
        <v>436</v>
      </c>
      <c r="C108" s="414">
        <v>4742.2700000000004</v>
      </c>
      <c r="D108" s="418">
        <f>[6]Лист1!$H$10</f>
        <v>270</v>
      </c>
      <c r="E108" s="436">
        <v>7.04</v>
      </c>
      <c r="F108" s="436">
        <f t="shared" si="2"/>
        <v>1900.8</v>
      </c>
      <c r="G108" s="437">
        <f t="shared" si="3"/>
        <v>3.3401725334069966E-2</v>
      </c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</row>
    <row r="109" spans="1:20" s="84" customFormat="1" ht="12" x14ac:dyDescent="0.2">
      <c r="A109" s="34">
        <v>107</v>
      </c>
      <c r="B109" s="413" t="s">
        <v>437</v>
      </c>
      <c r="C109" s="414">
        <v>2538.3000000000002</v>
      </c>
      <c r="D109" s="418">
        <f>[6]Лист1!$H$11</f>
        <v>192</v>
      </c>
      <c r="E109" s="436">
        <v>7.04</v>
      </c>
      <c r="F109" s="436">
        <f t="shared" si="2"/>
        <v>1351.68</v>
      </c>
      <c r="G109" s="437">
        <f t="shared" si="3"/>
        <v>4.437615727061419E-2</v>
      </c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</row>
    <row r="110" spans="1:20" s="84" customFormat="1" ht="12" x14ac:dyDescent="0.2">
      <c r="A110" s="34">
        <v>108</v>
      </c>
      <c r="B110" s="413" t="s">
        <v>438</v>
      </c>
      <c r="C110" s="414">
        <v>4452.8999999999996</v>
      </c>
      <c r="D110" s="418">
        <f>[6]Лист1!$H$14</f>
        <v>300</v>
      </c>
      <c r="E110" s="436">
        <v>7.04</v>
      </c>
      <c r="F110" s="436">
        <f t="shared" si="2"/>
        <v>2112</v>
      </c>
      <c r="G110" s="437">
        <f t="shared" si="3"/>
        <v>3.952480406027533E-2</v>
      </c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</row>
    <row r="111" spans="1:20" s="84" customFormat="1" ht="12" x14ac:dyDescent="0.2">
      <c r="A111" s="34">
        <v>109</v>
      </c>
      <c r="B111" s="413" t="s">
        <v>439</v>
      </c>
      <c r="C111" s="414">
        <v>1573.08</v>
      </c>
      <c r="D111" s="418">
        <f>[6]Лист1!$H$24</f>
        <v>60</v>
      </c>
      <c r="E111" s="436">
        <v>7.04</v>
      </c>
      <c r="F111" s="436">
        <f t="shared" si="2"/>
        <v>422.4</v>
      </c>
      <c r="G111" s="437">
        <f t="shared" si="3"/>
        <v>2.2376484349174868E-2</v>
      </c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</row>
    <row r="112" spans="1:20" s="84" customFormat="1" ht="12" x14ac:dyDescent="0.2">
      <c r="A112" s="34">
        <v>110</v>
      </c>
      <c r="B112" s="413" t="s">
        <v>440</v>
      </c>
      <c r="C112" s="414">
        <v>3168.45</v>
      </c>
      <c r="D112" s="418">
        <f>[6]Лист1!$H$28</f>
        <v>240</v>
      </c>
      <c r="E112" s="436">
        <v>7.04</v>
      </c>
      <c r="F112" s="436">
        <f t="shared" si="2"/>
        <v>1689.6</v>
      </c>
      <c r="G112" s="437">
        <f t="shared" si="3"/>
        <v>4.4438132209755558E-2</v>
      </c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</row>
    <row r="113" spans="1:20" s="84" customFormat="1" ht="12" x14ac:dyDescent="0.2">
      <c r="A113" s="34">
        <v>111</v>
      </c>
      <c r="B113" s="413" t="s">
        <v>441</v>
      </c>
      <c r="C113" s="414">
        <v>3182.6</v>
      </c>
      <c r="D113" s="418">
        <f>[6]Лист1!$H$29</f>
        <v>240</v>
      </c>
      <c r="E113" s="436">
        <v>7.04</v>
      </c>
      <c r="F113" s="436">
        <f t="shared" si="2"/>
        <v>1689.6</v>
      </c>
      <c r="G113" s="437">
        <f t="shared" si="3"/>
        <v>4.4240558034311567E-2</v>
      </c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</row>
    <row r="114" spans="1:20" s="84" customFormat="1" ht="12" x14ac:dyDescent="0.2">
      <c r="A114" s="34">
        <v>112</v>
      </c>
      <c r="B114" s="413" t="s">
        <v>442</v>
      </c>
      <c r="C114" s="414">
        <v>2283.1999999999998</v>
      </c>
      <c r="D114" s="418">
        <f>[6]Лист1!$H$34</f>
        <v>80</v>
      </c>
      <c r="E114" s="436">
        <v>7.04</v>
      </c>
      <c r="F114" s="436">
        <f t="shared" si="2"/>
        <v>563.20000000000005</v>
      </c>
      <c r="G114" s="437">
        <f t="shared" si="3"/>
        <v>2.0555944872693299E-2</v>
      </c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</row>
    <row r="115" spans="1:20" s="84" customFormat="1" ht="12" x14ac:dyDescent="0.2">
      <c r="A115" s="34">
        <v>113</v>
      </c>
      <c r="B115" s="413" t="s">
        <v>443</v>
      </c>
      <c r="C115" s="414">
        <v>1091.7</v>
      </c>
      <c r="D115" s="418">
        <f>[6]Лист1!$H$32</f>
        <v>40</v>
      </c>
      <c r="E115" s="436">
        <v>7.04</v>
      </c>
      <c r="F115" s="436">
        <f t="shared" si="2"/>
        <v>281.60000000000002</v>
      </c>
      <c r="G115" s="437">
        <f t="shared" si="3"/>
        <v>2.1495526854141859E-2</v>
      </c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</row>
    <row r="116" spans="1:20" s="84" customFormat="1" ht="12" x14ac:dyDescent="0.2">
      <c r="A116" s="34">
        <v>114</v>
      </c>
      <c r="B116" s="413" t="s">
        <v>444</v>
      </c>
      <c r="C116" s="414">
        <v>1733.3</v>
      </c>
      <c r="D116" s="418">
        <f>[6]Лист1!$H$35</f>
        <v>60</v>
      </c>
      <c r="E116" s="436">
        <v>7.04</v>
      </c>
      <c r="F116" s="436">
        <f t="shared" si="2"/>
        <v>422.4</v>
      </c>
      <c r="G116" s="437">
        <f t="shared" si="3"/>
        <v>2.0308082847747072E-2</v>
      </c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</row>
    <row r="117" spans="1:20" s="84" customFormat="1" ht="12" x14ac:dyDescent="0.2">
      <c r="A117" s="34">
        <v>115</v>
      </c>
      <c r="B117" s="413" t="s">
        <v>445</v>
      </c>
      <c r="C117" s="414">
        <v>1752.82</v>
      </c>
      <c r="D117" s="418">
        <f>[6]Лист1!$H$36</f>
        <v>60</v>
      </c>
      <c r="E117" s="436">
        <v>7.04</v>
      </c>
      <c r="F117" s="436">
        <f t="shared" si="2"/>
        <v>422.4</v>
      </c>
      <c r="G117" s="437">
        <f t="shared" si="3"/>
        <v>2.0081925126367795E-2</v>
      </c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</row>
    <row r="118" spans="1:20" s="84" customFormat="1" ht="12" x14ac:dyDescent="0.2">
      <c r="A118" s="34">
        <v>116</v>
      </c>
      <c r="B118" s="413" t="s">
        <v>446</v>
      </c>
      <c r="C118" s="414">
        <v>3688.59</v>
      </c>
      <c r="D118" s="418">
        <f>[6]Лист1!$H$44</f>
        <v>240</v>
      </c>
      <c r="E118" s="436">
        <v>7.04</v>
      </c>
      <c r="F118" s="436">
        <f t="shared" si="2"/>
        <v>1689.6</v>
      </c>
      <c r="G118" s="437">
        <f t="shared" si="3"/>
        <v>3.8171767531766876E-2</v>
      </c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419"/>
    </row>
    <row r="119" spans="1:20" s="84" customFormat="1" ht="12" x14ac:dyDescent="0.2">
      <c r="A119" s="34">
        <v>117</v>
      </c>
      <c r="B119" s="413" t="s">
        <v>447</v>
      </c>
      <c r="C119" s="414">
        <v>3868.13</v>
      </c>
      <c r="D119" s="418">
        <f>[6]Лист1!$H$45</f>
        <v>130</v>
      </c>
      <c r="E119" s="436">
        <v>7.04</v>
      </c>
      <c r="F119" s="436">
        <f t="shared" si="2"/>
        <v>915.2</v>
      </c>
      <c r="G119" s="437">
        <f t="shared" si="3"/>
        <v>1.9716676188925055E-2</v>
      </c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</row>
    <row r="120" spans="1:20" s="84" customFormat="1" ht="12" x14ac:dyDescent="0.2">
      <c r="A120" s="34">
        <v>118</v>
      </c>
      <c r="B120" s="413" t="s">
        <v>448</v>
      </c>
      <c r="C120" s="414">
        <v>2821.38</v>
      </c>
      <c r="D120" s="418">
        <f>[6]Лист1!$H$46</f>
        <v>100</v>
      </c>
      <c r="E120" s="436">
        <v>7.04</v>
      </c>
      <c r="F120" s="436">
        <f t="shared" si="2"/>
        <v>704</v>
      </c>
      <c r="G120" s="437">
        <f t="shared" si="3"/>
        <v>2.0793606911038806E-2</v>
      </c>
      <c r="H120" s="419"/>
      <c r="I120" s="419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19"/>
    </row>
    <row r="121" spans="1:20" s="84" customFormat="1" ht="12" x14ac:dyDescent="0.2">
      <c r="A121" s="34">
        <v>119</v>
      </c>
      <c r="B121" s="413" t="s">
        <v>449</v>
      </c>
      <c r="C121" s="414">
        <v>4277.29</v>
      </c>
      <c r="D121" s="418">
        <f>[6]Лист1!$H$48</f>
        <v>140</v>
      </c>
      <c r="E121" s="436">
        <v>7.04</v>
      </c>
      <c r="F121" s="436">
        <f t="shared" si="2"/>
        <v>985.6</v>
      </c>
      <c r="G121" s="437">
        <f t="shared" si="3"/>
        <v>1.9202189548366683E-2</v>
      </c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  <c r="T121" s="419"/>
    </row>
    <row r="122" spans="1:20" s="84" customFormat="1" ht="12" x14ac:dyDescent="0.2">
      <c r="A122" s="34">
        <v>120</v>
      </c>
      <c r="B122" s="413" t="s">
        <v>450</v>
      </c>
      <c r="C122" s="414">
        <v>2171.3000000000002</v>
      </c>
      <c r="D122" s="418">
        <f>[6]Лист1!$H$160</f>
        <v>80</v>
      </c>
      <c r="E122" s="436">
        <v>7.04</v>
      </c>
      <c r="F122" s="436">
        <f t="shared" si="2"/>
        <v>563.20000000000005</v>
      </c>
      <c r="G122" s="437">
        <f t="shared" si="3"/>
        <v>2.161531494189349E-2</v>
      </c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</row>
    <row r="123" spans="1:20" s="84" customFormat="1" ht="12" x14ac:dyDescent="0.2">
      <c r="A123" s="34">
        <v>121</v>
      </c>
      <c r="B123" s="413" t="s">
        <v>451</v>
      </c>
      <c r="C123" s="414">
        <v>5707.1</v>
      </c>
      <c r="D123" s="418">
        <f>[6]Лист1!$H$49</f>
        <v>200</v>
      </c>
      <c r="E123" s="436">
        <v>7.04</v>
      </c>
      <c r="F123" s="436">
        <f t="shared" si="2"/>
        <v>1408</v>
      </c>
      <c r="G123" s="437">
        <f t="shared" si="3"/>
        <v>2.0559186510370125E-2</v>
      </c>
      <c r="H123" s="419"/>
      <c r="I123" s="419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</row>
    <row r="124" spans="1:20" s="84" customFormat="1" ht="12" x14ac:dyDescent="0.2">
      <c r="A124" s="34">
        <v>122</v>
      </c>
      <c r="B124" s="413" t="s">
        <v>452</v>
      </c>
      <c r="C124" s="414">
        <v>1727.35</v>
      </c>
      <c r="D124" s="418">
        <f>[6]Лист1!$H$54</f>
        <v>90</v>
      </c>
      <c r="E124" s="436">
        <v>7.04</v>
      </c>
      <c r="F124" s="436">
        <f t="shared" si="2"/>
        <v>633.6</v>
      </c>
      <c r="G124" s="437">
        <f t="shared" si="3"/>
        <v>3.0567053579181987E-2</v>
      </c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</row>
    <row r="125" spans="1:20" s="84" customFormat="1" ht="12" x14ac:dyDescent="0.2">
      <c r="A125" s="34">
        <v>123</v>
      </c>
      <c r="B125" s="413" t="s">
        <v>453</v>
      </c>
      <c r="C125" s="414">
        <v>2522.5500000000002</v>
      </c>
      <c r="D125" s="418">
        <f>[6]Лист1!$H$55</f>
        <v>80</v>
      </c>
      <c r="E125" s="436">
        <v>7.04</v>
      </c>
      <c r="F125" s="436">
        <f t="shared" si="2"/>
        <v>563.20000000000005</v>
      </c>
      <c r="G125" s="437">
        <f t="shared" si="3"/>
        <v>1.8605511618534156E-2</v>
      </c>
      <c r="H125" s="419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</row>
    <row r="126" spans="1:20" s="84" customFormat="1" ht="12" x14ac:dyDescent="0.2">
      <c r="A126" s="34">
        <v>124</v>
      </c>
      <c r="B126" s="413" t="s">
        <v>454</v>
      </c>
      <c r="C126" s="414">
        <v>2516.6999999999998</v>
      </c>
      <c r="D126" s="418">
        <f>[6]Лист1!$H$56</f>
        <v>174</v>
      </c>
      <c r="E126" s="436">
        <v>7.04</v>
      </c>
      <c r="F126" s="436">
        <f t="shared" si="2"/>
        <v>1224.96</v>
      </c>
      <c r="G126" s="437">
        <f t="shared" si="3"/>
        <v>4.0561052171494423E-2</v>
      </c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</row>
    <row r="127" spans="1:20" s="84" customFormat="1" ht="12" x14ac:dyDescent="0.2">
      <c r="A127" s="34">
        <v>125</v>
      </c>
      <c r="B127" s="413" t="s">
        <v>455</v>
      </c>
      <c r="C127" s="414">
        <v>1774.47</v>
      </c>
      <c r="D127" s="418">
        <f>[6]Лист1!$H$57</f>
        <v>60</v>
      </c>
      <c r="E127" s="436">
        <v>7.04</v>
      </c>
      <c r="F127" s="436">
        <f t="shared" si="2"/>
        <v>422.4</v>
      </c>
      <c r="G127" s="437">
        <f t="shared" si="3"/>
        <v>1.9836909048899107E-2</v>
      </c>
      <c r="H127" s="419"/>
      <c r="I127" s="419"/>
      <c r="J127" s="419"/>
      <c r="K127" s="419"/>
      <c r="L127" s="419"/>
      <c r="M127" s="419"/>
      <c r="N127" s="419"/>
      <c r="O127" s="419"/>
      <c r="P127" s="419"/>
      <c r="Q127" s="419"/>
      <c r="R127" s="419"/>
      <c r="S127" s="419"/>
      <c r="T127" s="419"/>
    </row>
    <row r="128" spans="1:20" s="84" customFormat="1" ht="12" x14ac:dyDescent="0.2">
      <c r="A128" s="34">
        <v>126</v>
      </c>
      <c r="B128" s="413" t="s">
        <v>456</v>
      </c>
      <c r="C128" s="414">
        <v>1727.7</v>
      </c>
      <c r="D128" s="418">
        <f>[6]Лист1!$H$50</f>
        <v>60</v>
      </c>
      <c r="E128" s="436">
        <v>7.04</v>
      </c>
      <c r="F128" s="436">
        <f t="shared" si="2"/>
        <v>422.4</v>
      </c>
      <c r="G128" s="437">
        <f t="shared" si="3"/>
        <v>2.0373907507090349E-2</v>
      </c>
      <c r="H128" s="419"/>
      <c r="I128" s="419"/>
      <c r="J128" s="419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</row>
    <row r="129" spans="1:20" s="84" customFormat="1" ht="12" x14ac:dyDescent="0.2">
      <c r="A129" s="34">
        <v>127</v>
      </c>
      <c r="B129" s="413" t="s">
        <v>457</v>
      </c>
      <c r="C129" s="414">
        <v>3216.3</v>
      </c>
      <c r="D129" s="418">
        <f>[6]Лист1!$H$59</f>
        <v>210</v>
      </c>
      <c r="E129" s="436">
        <v>7.04</v>
      </c>
      <c r="F129" s="436">
        <f t="shared" si="2"/>
        <v>1478.4</v>
      </c>
      <c r="G129" s="437">
        <f t="shared" si="3"/>
        <v>3.8304884494605604E-2</v>
      </c>
      <c r="H129" s="419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</row>
    <row r="130" spans="1:20" s="84" customFormat="1" ht="12" x14ac:dyDescent="0.2">
      <c r="A130" s="34">
        <v>128</v>
      </c>
      <c r="B130" s="413" t="s">
        <v>458</v>
      </c>
      <c r="C130" s="414">
        <v>3895.1</v>
      </c>
      <c r="D130" s="418">
        <f>[6]Лист1!$H$60</f>
        <v>270</v>
      </c>
      <c r="E130" s="436">
        <v>7.04</v>
      </c>
      <c r="F130" s="436">
        <f t="shared" si="2"/>
        <v>1900.8</v>
      </c>
      <c r="G130" s="437">
        <f t="shared" si="3"/>
        <v>4.0666478395933355E-2</v>
      </c>
      <c r="H130" s="419"/>
      <c r="I130" s="419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</row>
    <row r="131" spans="1:20" s="84" customFormat="1" ht="12" x14ac:dyDescent="0.2">
      <c r="A131" s="34">
        <v>129</v>
      </c>
      <c r="B131" s="413" t="s">
        <v>459</v>
      </c>
      <c r="C131" s="414">
        <v>4002.8</v>
      </c>
      <c r="D131" s="418">
        <f>[6]Лист1!$H$61</f>
        <v>210</v>
      </c>
      <c r="E131" s="436">
        <v>7.04</v>
      </c>
      <c r="F131" s="436">
        <f t="shared" si="2"/>
        <v>1478.4</v>
      </c>
      <c r="G131" s="437">
        <f t="shared" si="3"/>
        <v>3.0778455081442991E-2</v>
      </c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</row>
    <row r="132" spans="1:20" s="84" customFormat="1" ht="12" x14ac:dyDescent="0.2">
      <c r="A132" s="34">
        <v>130</v>
      </c>
      <c r="B132" s="413" t="s">
        <v>460</v>
      </c>
      <c r="C132" s="414">
        <v>3852.63</v>
      </c>
      <c r="D132" s="418">
        <f>[6]Лист1!$H$64</f>
        <v>210</v>
      </c>
      <c r="E132" s="436">
        <v>7.04</v>
      </c>
      <c r="F132" s="436">
        <f t="shared" ref="F132:F161" si="4">D132*E132</f>
        <v>1478.4</v>
      </c>
      <c r="G132" s="437">
        <f t="shared" ref="G132:G161" si="5">F132/C132/12</f>
        <v>3.1978155182304034E-2</v>
      </c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</row>
    <row r="133" spans="1:20" s="84" customFormat="1" ht="12" x14ac:dyDescent="0.2">
      <c r="A133" s="34">
        <v>131</v>
      </c>
      <c r="B133" s="413" t="s">
        <v>461</v>
      </c>
      <c r="C133" s="414">
        <v>3560.4</v>
      </c>
      <c r="D133" s="418">
        <f>[6]Лист1!$H$67</f>
        <v>195</v>
      </c>
      <c r="E133" s="436">
        <v>7.04</v>
      </c>
      <c r="F133" s="436">
        <f t="shared" si="4"/>
        <v>1372.8</v>
      </c>
      <c r="G133" s="437">
        <f t="shared" si="5"/>
        <v>3.2131221211099875E-2</v>
      </c>
      <c r="H133" s="419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</row>
    <row r="134" spans="1:20" s="84" customFormat="1" ht="12" x14ac:dyDescent="0.2">
      <c r="A134" s="34">
        <v>132</v>
      </c>
      <c r="B134" s="413" t="s">
        <v>462</v>
      </c>
      <c r="C134" s="414">
        <v>944.7</v>
      </c>
      <c r="D134" s="418">
        <f>[6]Лист1!$H$73</f>
        <v>60</v>
      </c>
      <c r="E134" s="436">
        <v>7.04</v>
      </c>
      <c r="F134" s="436">
        <f t="shared" si="4"/>
        <v>422.4</v>
      </c>
      <c r="G134" s="437">
        <f t="shared" si="5"/>
        <v>3.7260505980734625E-2</v>
      </c>
      <c r="H134" s="419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</row>
    <row r="135" spans="1:20" s="84" customFormat="1" ht="12" x14ac:dyDescent="0.2">
      <c r="A135" s="34">
        <v>133</v>
      </c>
      <c r="B135" s="413" t="s">
        <v>463</v>
      </c>
      <c r="C135" s="414">
        <v>2428.5</v>
      </c>
      <c r="D135" s="418">
        <f>[6]Лист1!$H$74</f>
        <v>80</v>
      </c>
      <c r="E135" s="436">
        <v>7.04</v>
      </c>
      <c r="F135" s="436">
        <f t="shared" si="4"/>
        <v>563.20000000000005</v>
      </c>
      <c r="G135" s="437">
        <f t="shared" si="5"/>
        <v>1.9326058609566949E-2</v>
      </c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</row>
    <row r="136" spans="1:20" s="84" customFormat="1" ht="12" x14ac:dyDescent="0.2">
      <c r="A136" s="34">
        <v>134</v>
      </c>
      <c r="B136" s="413" t="s">
        <v>464</v>
      </c>
      <c r="C136" s="414">
        <v>4861.91</v>
      </c>
      <c r="D136" s="418">
        <f>[6]Лист1!$H$101</f>
        <v>180</v>
      </c>
      <c r="E136" s="436">
        <v>7.04</v>
      </c>
      <c r="F136" s="436">
        <f t="shared" si="4"/>
        <v>1267.2</v>
      </c>
      <c r="G136" s="437">
        <f t="shared" si="5"/>
        <v>2.1719859067732643E-2</v>
      </c>
      <c r="H136" s="419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</row>
    <row r="137" spans="1:20" s="84" customFormat="1" ht="12" x14ac:dyDescent="0.2">
      <c r="A137" s="34">
        <v>135</v>
      </c>
      <c r="B137" s="413" t="s">
        <v>465</v>
      </c>
      <c r="C137" s="414">
        <v>3078.77</v>
      </c>
      <c r="D137" s="418">
        <f>[6]Лист1!$H$103</f>
        <v>110</v>
      </c>
      <c r="E137" s="436">
        <v>7.04</v>
      </c>
      <c r="F137" s="436">
        <f t="shared" si="4"/>
        <v>774.4</v>
      </c>
      <c r="G137" s="437">
        <f t="shared" si="5"/>
        <v>2.0960751642160127E-2</v>
      </c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</row>
    <row r="138" spans="1:20" s="84" customFormat="1" ht="12" x14ac:dyDescent="0.2">
      <c r="A138" s="34">
        <v>136</v>
      </c>
      <c r="B138" s="413" t="s">
        <v>466</v>
      </c>
      <c r="C138" s="414">
        <v>3188.68</v>
      </c>
      <c r="D138" s="418">
        <f>[6]Лист1!$H$109</f>
        <v>210</v>
      </c>
      <c r="E138" s="436">
        <v>7.04</v>
      </c>
      <c r="F138" s="436">
        <f t="shared" si="4"/>
        <v>1478.4</v>
      </c>
      <c r="G138" s="437">
        <f t="shared" si="5"/>
        <v>3.8636677245756867E-2</v>
      </c>
      <c r="H138" s="419"/>
      <c r="I138" s="419"/>
      <c r="J138" s="419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</row>
    <row r="139" spans="1:20" s="84" customFormat="1" ht="12" x14ac:dyDescent="0.2">
      <c r="A139" s="34">
        <v>137</v>
      </c>
      <c r="B139" s="413" t="s">
        <v>467</v>
      </c>
      <c r="C139" s="414">
        <v>2782.65</v>
      </c>
      <c r="D139" s="418">
        <f>[6]Лист1!$H$105</f>
        <v>100</v>
      </c>
      <c r="E139" s="436">
        <v>7.04</v>
      </c>
      <c r="F139" s="436">
        <f t="shared" si="4"/>
        <v>704</v>
      </c>
      <c r="G139" s="437">
        <f t="shared" si="5"/>
        <v>2.1083020382249532E-2</v>
      </c>
      <c r="H139" s="419"/>
      <c r="I139" s="419"/>
      <c r="J139" s="419"/>
      <c r="K139" s="419"/>
      <c r="L139" s="419"/>
      <c r="M139" s="419"/>
      <c r="N139" s="419"/>
      <c r="O139" s="419"/>
      <c r="P139" s="419"/>
      <c r="Q139" s="419"/>
      <c r="R139" s="419"/>
      <c r="S139" s="419"/>
      <c r="T139" s="419"/>
    </row>
    <row r="140" spans="1:20" s="84" customFormat="1" ht="12" x14ac:dyDescent="0.2">
      <c r="A140" s="34">
        <v>138</v>
      </c>
      <c r="B140" s="413" t="s">
        <v>468</v>
      </c>
      <c r="C140" s="414">
        <v>2258.6</v>
      </c>
      <c r="D140" s="418">
        <f>[6]Лист1!$H$108</f>
        <v>80</v>
      </c>
      <c r="E140" s="436">
        <v>7.04</v>
      </c>
      <c r="F140" s="436">
        <f t="shared" si="4"/>
        <v>563.20000000000005</v>
      </c>
      <c r="G140" s="437">
        <f t="shared" si="5"/>
        <v>2.0779834115528795E-2</v>
      </c>
      <c r="H140" s="419"/>
      <c r="I140" s="419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</row>
    <row r="141" spans="1:20" s="84" customFormat="1" ht="12" x14ac:dyDescent="0.2">
      <c r="A141" s="34">
        <v>139</v>
      </c>
      <c r="B141" s="413" t="s">
        <v>469</v>
      </c>
      <c r="C141" s="414">
        <v>1910</v>
      </c>
      <c r="D141" s="418">
        <f>[6]Лист1!$H$111</f>
        <v>70</v>
      </c>
      <c r="E141" s="436">
        <v>7.04</v>
      </c>
      <c r="F141" s="436">
        <f t="shared" si="4"/>
        <v>492.8</v>
      </c>
      <c r="G141" s="437">
        <f t="shared" si="5"/>
        <v>2.1500872600349039E-2</v>
      </c>
      <c r="H141" s="419"/>
      <c r="I141" s="419"/>
      <c r="J141" s="419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</row>
    <row r="142" spans="1:20" s="84" customFormat="1" ht="12" x14ac:dyDescent="0.2">
      <c r="A142" s="34">
        <v>140</v>
      </c>
      <c r="B142" s="413" t="s">
        <v>470</v>
      </c>
      <c r="C142" s="414">
        <v>2522.5</v>
      </c>
      <c r="D142" s="418">
        <f>[6]Лист1!$H$113</f>
        <v>50</v>
      </c>
      <c r="E142" s="436">
        <v>7.04</v>
      </c>
      <c r="F142" s="436">
        <f t="shared" si="4"/>
        <v>352</v>
      </c>
      <c r="G142" s="437">
        <f t="shared" si="5"/>
        <v>1.1628675256029071E-2</v>
      </c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</row>
    <row r="143" spans="1:20" s="84" customFormat="1" ht="12" x14ac:dyDescent="0.2">
      <c r="A143" s="34">
        <v>141</v>
      </c>
      <c r="B143" s="413" t="s">
        <v>471</v>
      </c>
      <c r="C143" s="414">
        <v>3459.82</v>
      </c>
      <c r="D143" s="418">
        <f>[6]Лист1!$H$114</f>
        <v>120</v>
      </c>
      <c r="E143" s="436">
        <v>7.04</v>
      </c>
      <c r="F143" s="436">
        <f t="shared" si="4"/>
        <v>844.8</v>
      </c>
      <c r="G143" s="437">
        <f t="shared" si="5"/>
        <v>2.0347879369446962E-2</v>
      </c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</row>
    <row r="144" spans="1:20" s="84" customFormat="1" ht="12" x14ac:dyDescent="0.2">
      <c r="A144" s="34">
        <v>142</v>
      </c>
      <c r="B144" s="413" t="s">
        <v>472</v>
      </c>
      <c r="C144" s="414">
        <v>1752.03</v>
      </c>
      <c r="D144" s="418">
        <f>[6]Лист1!$H$118</f>
        <v>60</v>
      </c>
      <c r="E144" s="436">
        <v>7.04</v>
      </c>
      <c r="F144" s="436">
        <f t="shared" si="4"/>
        <v>422.4</v>
      </c>
      <c r="G144" s="437">
        <f t="shared" si="5"/>
        <v>2.009098017728007E-2</v>
      </c>
      <c r="H144" s="419"/>
      <c r="I144" s="419"/>
      <c r="J144" s="419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</row>
    <row r="145" spans="1:20" s="84" customFormat="1" ht="12" x14ac:dyDescent="0.2">
      <c r="A145" s="34">
        <v>143</v>
      </c>
      <c r="B145" s="413" t="s">
        <v>473</v>
      </c>
      <c r="C145" s="414">
        <v>4953.7</v>
      </c>
      <c r="D145" s="418">
        <f>[6]Лист1!$H$119</f>
        <v>270</v>
      </c>
      <c r="E145" s="436">
        <v>7.04</v>
      </c>
      <c r="F145" s="436">
        <f t="shared" si="4"/>
        <v>1900.8</v>
      </c>
      <c r="G145" s="437">
        <f t="shared" si="5"/>
        <v>3.1976098673718638E-2</v>
      </c>
      <c r="H145" s="419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</row>
    <row r="146" spans="1:20" s="84" customFormat="1" ht="12" x14ac:dyDescent="0.2">
      <c r="A146" s="34">
        <v>144</v>
      </c>
      <c r="B146" s="413" t="s">
        <v>474</v>
      </c>
      <c r="C146" s="414">
        <v>1706.17</v>
      </c>
      <c r="D146" s="418">
        <f>[6]Лист1!$H$134</f>
        <v>60</v>
      </c>
      <c r="E146" s="436">
        <v>7.04</v>
      </c>
      <c r="F146" s="436">
        <f t="shared" si="4"/>
        <v>422.4</v>
      </c>
      <c r="G146" s="437">
        <f t="shared" si="5"/>
        <v>2.0631003944507287E-2</v>
      </c>
      <c r="H146" s="419"/>
      <c r="I146" s="419"/>
      <c r="J146" s="419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</row>
    <row r="147" spans="1:20" s="84" customFormat="1" ht="12" x14ac:dyDescent="0.2">
      <c r="A147" s="34">
        <v>145</v>
      </c>
      <c r="B147" s="413" t="s">
        <v>475</v>
      </c>
      <c r="C147" s="414">
        <v>1135.3399999999999</v>
      </c>
      <c r="D147" s="418">
        <f>[6]Лист1!$H$135</f>
        <v>40</v>
      </c>
      <c r="E147" s="436">
        <v>7.04</v>
      </c>
      <c r="F147" s="436">
        <f t="shared" si="4"/>
        <v>281.60000000000002</v>
      </c>
      <c r="G147" s="437">
        <f t="shared" si="5"/>
        <v>2.0669285559098305E-2</v>
      </c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</row>
    <row r="148" spans="1:20" s="84" customFormat="1" ht="12" x14ac:dyDescent="0.2">
      <c r="A148" s="34">
        <v>146</v>
      </c>
      <c r="B148" s="413" t="s">
        <v>476</v>
      </c>
      <c r="C148" s="414">
        <v>1716.28</v>
      </c>
      <c r="D148" s="418">
        <f>[6]Лист1!$H$136</f>
        <v>60</v>
      </c>
      <c r="E148" s="436">
        <v>7.04</v>
      </c>
      <c r="F148" s="436">
        <f t="shared" si="4"/>
        <v>422.4</v>
      </c>
      <c r="G148" s="437">
        <f t="shared" si="5"/>
        <v>2.0509473978604888E-2</v>
      </c>
      <c r="H148" s="419"/>
      <c r="I148" s="419"/>
      <c r="J148" s="419"/>
      <c r="K148" s="419"/>
      <c r="L148" s="419"/>
      <c r="M148" s="419"/>
      <c r="N148" s="419"/>
      <c r="O148" s="419"/>
      <c r="P148" s="419"/>
      <c r="Q148" s="419"/>
      <c r="R148" s="419"/>
      <c r="S148" s="419"/>
      <c r="T148" s="419"/>
    </row>
    <row r="149" spans="1:20" s="84" customFormat="1" ht="12" x14ac:dyDescent="0.2">
      <c r="A149" s="34">
        <v>147</v>
      </c>
      <c r="B149" s="413" t="s">
        <v>477</v>
      </c>
      <c r="C149" s="414">
        <v>2696.17</v>
      </c>
      <c r="D149" s="418">
        <f>[6]Лист1!$H$137</f>
        <v>100</v>
      </c>
      <c r="E149" s="436">
        <v>7.04</v>
      </c>
      <c r="F149" s="436">
        <f t="shared" si="4"/>
        <v>704</v>
      </c>
      <c r="G149" s="437">
        <f t="shared" si="5"/>
        <v>2.1759260976372655E-2</v>
      </c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</row>
    <row r="150" spans="1:20" s="84" customFormat="1" ht="12" x14ac:dyDescent="0.2">
      <c r="A150" s="34">
        <v>148</v>
      </c>
      <c r="B150" s="413" t="s">
        <v>478</v>
      </c>
      <c r="C150" s="414">
        <v>1747.74</v>
      </c>
      <c r="D150" s="418">
        <f>[6]Лист1!$H$146</f>
        <v>90</v>
      </c>
      <c r="E150" s="436">
        <v>7.04</v>
      </c>
      <c r="F150" s="436">
        <f t="shared" si="4"/>
        <v>633.6</v>
      </c>
      <c r="G150" s="437">
        <f t="shared" si="5"/>
        <v>3.0210443200933777E-2</v>
      </c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</row>
    <row r="151" spans="1:20" s="84" customFormat="1" ht="12" x14ac:dyDescent="0.2">
      <c r="A151" s="34">
        <v>149</v>
      </c>
      <c r="B151" s="413" t="s">
        <v>479</v>
      </c>
      <c r="C151" s="414">
        <v>1129.0999999999999</v>
      </c>
      <c r="D151" s="418">
        <f>[6]Лист1!$H$150</f>
        <v>40</v>
      </c>
      <c r="E151" s="436">
        <v>7.04</v>
      </c>
      <c r="F151" s="436">
        <f t="shared" si="4"/>
        <v>281.60000000000002</v>
      </c>
      <c r="G151" s="437">
        <f t="shared" si="5"/>
        <v>2.0783514893868277E-2</v>
      </c>
      <c r="H151" s="419"/>
      <c r="I151" s="419"/>
      <c r="J151" s="419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</row>
    <row r="152" spans="1:20" s="84" customFormat="1" ht="11.25" customHeight="1" x14ac:dyDescent="0.2">
      <c r="A152" s="34">
        <v>150</v>
      </c>
      <c r="B152" s="413" t="s">
        <v>480</v>
      </c>
      <c r="C152" s="414">
        <v>1724</v>
      </c>
      <c r="D152" s="418">
        <f>[6]Лист1!$H$156</f>
        <v>60</v>
      </c>
      <c r="E152" s="436">
        <v>7.04</v>
      </c>
      <c r="F152" s="436">
        <f t="shared" si="4"/>
        <v>422.4</v>
      </c>
      <c r="G152" s="437">
        <f t="shared" si="5"/>
        <v>2.0417633410672851E-2</v>
      </c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</row>
    <row r="153" spans="1:20" s="84" customFormat="1" ht="12.75" customHeight="1" x14ac:dyDescent="0.2">
      <c r="A153" s="34">
        <v>151</v>
      </c>
      <c r="B153" s="413" t="s">
        <v>481</v>
      </c>
      <c r="C153" s="414">
        <v>1775.1</v>
      </c>
      <c r="D153" s="418">
        <f>[6]Лист1!$H$157</f>
        <v>60</v>
      </c>
      <c r="E153" s="436">
        <v>7.04</v>
      </c>
      <c r="F153" s="436">
        <f t="shared" si="4"/>
        <v>422.4</v>
      </c>
      <c r="G153" s="437">
        <f t="shared" si="5"/>
        <v>1.9829868739789307E-2</v>
      </c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</row>
    <row r="154" spans="1:20" s="84" customFormat="1" ht="12" x14ac:dyDescent="0.2">
      <c r="A154" s="34">
        <v>152</v>
      </c>
      <c r="B154" s="413" t="s">
        <v>482</v>
      </c>
      <c r="C154" s="414">
        <v>3140.4</v>
      </c>
      <c r="D154" s="418">
        <f>[6]Лист1!$H$124</f>
        <v>210</v>
      </c>
      <c r="E154" s="436">
        <v>7.04</v>
      </c>
      <c r="F154" s="436">
        <f t="shared" si="4"/>
        <v>1478.4</v>
      </c>
      <c r="G154" s="437">
        <f t="shared" si="5"/>
        <v>3.9230671252069797E-2</v>
      </c>
      <c r="H154" s="419"/>
      <c r="I154" s="419"/>
      <c r="J154" s="419"/>
      <c r="K154" s="419"/>
      <c r="L154" s="419"/>
      <c r="M154" s="419"/>
      <c r="N154" s="419"/>
      <c r="O154" s="419"/>
      <c r="P154" s="419"/>
      <c r="Q154" s="419"/>
      <c r="R154" s="419"/>
      <c r="S154" s="419"/>
      <c r="T154" s="419"/>
    </row>
    <row r="155" spans="1:20" s="84" customFormat="1" ht="12" x14ac:dyDescent="0.2">
      <c r="A155" s="34">
        <v>153</v>
      </c>
      <c r="B155" s="413" t="s">
        <v>483</v>
      </c>
      <c r="C155" s="414">
        <v>6074.77</v>
      </c>
      <c r="D155" s="418">
        <f>[6]Лист1!$H$47</f>
        <v>210</v>
      </c>
      <c r="E155" s="436">
        <v>7.04</v>
      </c>
      <c r="F155" s="436">
        <f t="shared" si="4"/>
        <v>1478.4</v>
      </c>
      <c r="G155" s="437">
        <f t="shared" si="5"/>
        <v>2.0280603216253454E-2</v>
      </c>
      <c r="H155" s="419"/>
      <c r="I155" s="419"/>
      <c r="J155" s="419"/>
      <c r="K155" s="419"/>
      <c r="L155" s="419"/>
      <c r="M155" s="419"/>
      <c r="N155" s="419"/>
      <c r="O155" s="419"/>
      <c r="P155" s="419"/>
      <c r="Q155" s="419"/>
      <c r="R155" s="419"/>
      <c r="S155" s="419"/>
      <c r="T155" s="419"/>
    </row>
    <row r="156" spans="1:20" s="84" customFormat="1" ht="12" x14ac:dyDescent="0.2">
      <c r="A156" s="34">
        <v>154</v>
      </c>
      <c r="B156" s="413" t="s">
        <v>484</v>
      </c>
      <c r="C156" s="414">
        <v>1960.16</v>
      </c>
      <c r="D156" s="418">
        <f>[6]Лист1!$H$85</f>
        <v>72</v>
      </c>
      <c r="E156" s="436">
        <v>7.04</v>
      </c>
      <c r="F156" s="436">
        <f t="shared" si="4"/>
        <v>506.88</v>
      </c>
      <c r="G156" s="437">
        <f t="shared" si="5"/>
        <v>2.1549261284793078E-2</v>
      </c>
      <c r="H156" s="419"/>
      <c r="I156" s="419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</row>
    <row r="157" spans="1:20" s="84" customFormat="1" ht="12" x14ac:dyDescent="0.2">
      <c r="A157" s="34">
        <v>155</v>
      </c>
      <c r="B157" s="413" t="s">
        <v>485</v>
      </c>
      <c r="C157" s="414">
        <v>5972.33</v>
      </c>
      <c r="D157" s="418">
        <f>[6]Лист1!$H$86</f>
        <v>214</v>
      </c>
      <c r="E157" s="436">
        <v>7.04</v>
      </c>
      <c r="F157" s="436">
        <f t="shared" si="4"/>
        <v>1506.56</v>
      </c>
      <c r="G157" s="437">
        <f t="shared" si="5"/>
        <v>2.1021388079136061E-2</v>
      </c>
      <c r="H157" s="419"/>
      <c r="I157" s="419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</row>
    <row r="158" spans="1:20" s="84" customFormat="1" ht="12" x14ac:dyDescent="0.2">
      <c r="A158" s="34">
        <v>156</v>
      </c>
      <c r="B158" s="413" t="s">
        <v>486</v>
      </c>
      <c r="C158" s="414">
        <v>2589.9</v>
      </c>
      <c r="D158" s="418">
        <f>[6]Лист1!$H$87</f>
        <v>72</v>
      </c>
      <c r="E158" s="436">
        <v>7.04</v>
      </c>
      <c r="F158" s="436">
        <f t="shared" si="4"/>
        <v>506.88</v>
      </c>
      <c r="G158" s="437">
        <f t="shared" si="5"/>
        <v>1.6309510019691879E-2</v>
      </c>
      <c r="H158" s="419"/>
      <c r="I158" s="419"/>
      <c r="J158" s="419"/>
      <c r="K158" s="419"/>
      <c r="L158" s="419"/>
      <c r="M158" s="419"/>
      <c r="N158" s="419"/>
      <c r="O158" s="419"/>
      <c r="P158" s="419"/>
      <c r="Q158" s="419"/>
      <c r="R158" s="419"/>
      <c r="S158" s="419"/>
      <c r="T158" s="419"/>
    </row>
    <row r="159" spans="1:20" s="84" customFormat="1" ht="12" x14ac:dyDescent="0.2">
      <c r="A159" s="34">
        <v>157</v>
      </c>
      <c r="B159" s="413" t="s">
        <v>487</v>
      </c>
      <c r="C159" s="414">
        <v>3904.03</v>
      </c>
      <c r="D159" s="418">
        <f>[6]Лист1!$H$112</f>
        <v>144</v>
      </c>
      <c r="E159" s="436">
        <v>7.04</v>
      </c>
      <c r="F159" s="436">
        <f t="shared" si="4"/>
        <v>1013.76</v>
      </c>
      <c r="G159" s="437">
        <f t="shared" si="5"/>
        <v>2.1639177977628241E-2</v>
      </c>
      <c r="H159" s="419"/>
      <c r="I159" s="419"/>
      <c r="J159" s="419"/>
      <c r="K159" s="419"/>
      <c r="L159" s="419"/>
      <c r="M159" s="419"/>
      <c r="N159" s="419"/>
      <c r="O159" s="419"/>
      <c r="P159" s="419"/>
      <c r="Q159" s="419"/>
      <c r="R159" s="419"/>
      <c r="S159" s="419"/>
      <c r="T159" s="419"/>
    </row>
    <row r="160" spans="1:20" s="84" customFormat="1" ht="12" x14ac:dyDescent="0.2">
      <c r="A160" s="34">
        <v>158</v>
      </c>
      <c r="B160" s="413" t="s">
        <v>488</v>
      </c>
      <c r="C160" s="414">
        <v>3894.85</v>
      </c>
      <c r="D160" s="418">
        <f>[6]Лист1!$H$133</f>
        <v>144</v>
      </c>
      <c r="E160" s="436">
        <v>7.04</v>
      </c>
      <c r="F160" s="436">
        <f t="shared" si="4"/>
        <v>1013.76</v>
      </c>
      <c r="G160" s="437">
        <f t="shared" si="5"/>
        <v>2.1690180623130547E-2</v>
      </c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</row>
    <row r="161" spans="1:20" s="85" customFormat="1" ht="12" x14ac:dyDescent="0.2">
      <c r="A161" s="58">
        <v>159</v>
      </c>
      <c r="B161" s="438" t="s">
        <v>41</v>
      </c>
      <c r="C161" s="439">
        <f>SUM(C3:C160)</f>
        <v>264830.12</v>
      </c>
      <c r="D161" s="58">
        <f>SUM(D3:D160)</f>
        <v>12262</v>
      </c>
      <c r="E161" s="440">
        <v>7.04</v>
      </c>
      <c r="F161" s="440">
        <f t="shared" si="4"/>
        <v>86324.479999999996</v>
      </c>
      <c r="G161" s="439">
        <f t="shared" si="5"/>
        <v>2.7163476218893329E-2</v>
      </c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</row>
    <row r="162" spans="1:20" s="84" customFormat="1" ht="12" x14ac:dyDescent="0.2">
      <c r="A162" s="195"/>
      <c r="B162" s="196"/>
      <c r="C162" s="195"/>
      <c r="D162" s="195"/>
      <c r="E162" s="230"/>
      <c r="F162" s="230"/>
      <c r="G162" s="197"/>
      <c r="H162" s="419"/>
      <c r="I162" s="419"/>
      <c r="J162" s="419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</row>
    <row r="163" spans="1:20" s="84" customFormat="1" ht="12" x14ac:dyDescent="0.2">
      <c r="A163" s="195"/>
      <c r="B163" s="196"/>
      <c r="C163" s="195"/>
      <c r="D163" s="195"/>
      <c r="E163" s="230">
        <f>D161/E161</f>
        <v>1741.7613636363637</v>
      </c>
      <c r="F163" s="230">
        <f>F161/E161</f>
        <v>12262</v>
      </c>
      <c r="G163" s="197"/>
      <c r="H163" s="419"/>
      <c r="I163" s="419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</row>
    <row r="164" spans="1:20" s="84" customFormat="1" ht="12" x14ac:dyDescent="0.2">
      <c r="A164" s="195"/>
      <c r="B164" s="196"/>
      <c r="C164" s="195"/>
      <c r="D164" s="195"/>
      <c r="E164" s="230"/>
      <c r="F164" s="230"/>
      <c r="G164" s="197"/>
      <c r="H164" s="419"/>
      <c r="I164" s="419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</row>
    <row r="165" spans="1:20" s="370" customFormat="1" ht="15.75" customHeight="1" x14ac:dyDescent="0.2">
      <c r="A165" s="404"/>
      <c r="B165" s="364" t="s">
        <v>234</v>
      </c>
      <c r="C165" s="367"/>
      <c r="D165" s="367"/>
      <c r="E165" s="509" t="s">
        <v>648</v>
      </c>
      <c r="F165" s="509"/>
      <c r="G165" s="503"/>
      <c r="H165" s="503"/>
      <c r="I165" s="503"/>
      <c r="J165" s="367"/>
      <c r="K165" s="368"/>
      <c r="L165" s="368"/>
      <c r="M165" s="369"/>
      <c r="N165" s="369"/>
      <c r="O165" s="369"/>
      <c r="P165" s="369"/>
      <c r="Q165" s="369"/>
      <c r="R165" s="368"/>
      <c r="S165" s="368"/>
      <c r="T165" s="369"/>
    </row>
  </sheetData>
  <mergeCells count="3">
    <mergeCell ref="A1:G1"/>
    <mergeCell ref="E165:F165"/>
    <mergeCell ref="G165:I165"/>
  </mergeCells>
  <phoneticPr fontId="2" type="noConversion"/>
  <pageMargins left="0.98425196850393704" right="0.19685039370078741" top="0.15748031496062992" bottom="0.23622047244094491" header="0.51181102362204722" footer="0.4724409448818898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E37" sqref="E37:F37"/>
    </sheetView>
  </sheetViews>
  <sheetFormatPr defaultRowHeight="12.75" x14ac:dyDescent="0.2"/>
  <cols>
    <col min="1" max="1" width="5.85546875" style="62" customWidth="1"/>
    <col min="2" max="2" width="35.42578125" style="32" customWidth="1"/>
    <col min="3" max="3" width="9.140625" style="31"/>
    <col min="4" max="4" width="9.42578125" style="35" bestFit="1" customWidth="1"/>
    <col min="5" max="5" width="9.140625" style="29"/>
    <col min="6" max="6" width="9.42578125" style="35" bestFit="1" customWidth="1"/>
  </cols>
  <sheetData>
    <row r="1" spans="1:6" ht="48.75" customHeight="1" x14ac:dyDescent="0.2">
      <c r="A1" s="513" t="s">
        <v>617</v>
      </c>
      <c r="B1" s="513"/>
      <c r="C1" s="513"/>
      <c r="D1" s="513"/>
      <c r="E1" s="513"/>
      <c r="F1" s="513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59" t="s">
        <v>96</v>
      </c>
      <c r="F2" s="36" t="s">
        <v>97</v>
      </c>
    </row>
    <row r="3" spans="1:6" x14ac:dyDescent="0.2">
      <c r="A3" s="67" t="s">
        <v>99</v>
      </c>
      <c r="B3" s="60" t="s">
        <v>141</v>
      </c>
      <c r="C3" s="37" t="s">
        <v>98</v>
      </c>
      <c r="D3" s="36">
        <v>5</v>
      </c>
      <c r="E3" s="59"/>
      <c r="F3" s="36"/>
    </row>
    <row r="4" spans="1:6" x14ac:dyDescent="0.2">
      <c r="A4" s="67" t="s">
        <v>100</v>
      </c>
      <c r="B4" s="61" t="s">
        <v>139</v>
      </c>
      <c r="C4" s="37" t="s">
        <v>140</v>
      </c>
      <c r="D4" s="36">
        <f>'ПР вода'!D161</f>
        <v>30745</v>
      </c>
      <c r="E4" s="59"/>
      <c r="F4" s="36"/>
    </row>
    <row r="5" spans="1:6" x14ac:dyDescent="0.2">
      <c r="A5" s="67" t="s">
        <v>219</v>
      </c>
      <c r="B5" s="61" t="s">
        <v>220</v>
      </c>
      <c r="C5" s="37" t="s">
        <v>17</v>
      </c>
      <c r="D5" s="36">
        <v>10</v>
      </c>
      <c r="E5" s="59"/>
      <c r="F5" s="36"/>
    </row>
    <row r="6" spans="1:6" x14ac:dyDescent="0.2">
      <c r="A6" s="68"/>
      <c r="B6" s="63" t="s">
        <v>134</v>
      </c>
      <c r="C6" s="37"/>
      <c r="D6" s="36"/>
      <c r="E6" s="59"/>
      <c r="F6" s="64">
        <f>SUM(F7:F14)</f>
        <v>12097.7</v>
      </c>
    </row>
    <row r="7" spans="1:6" x14ac:dyDescent="0.2">
      <c r="A7" s="67" t="s">
        <v>171</v>
      </c>
      <c r="B7" s="482" t="s">
        <v>630</v>
      </c>
      <c r="C7" s="66" t="s">
        <v>120</v>
      </c>
      <c r="D7" s="93">
        <f>$D$3</f>
        <v>5</v>
      </c>
      <c r="E7" s="483">
        <v>468</v>
      </c>
      <c r="F7" s="36">
        <f>D7*E7</f>
        <v>2340</v>
      </c>
    </row>
    <row r="8" spans="1:6" x14ac:dyDescent="0.2">
      <c r="A8" s="67" t="s">
        <v>172</v>
      </c>
      <c r="B8" s="486" t="s">
        <v>135</v>
      </c>
      <c r="C8" s="66" t="s">
        <v>120</v>
      </c>
      <c r="D8" s="93">
        <f t="shared" ref="D8:D12" si="0">$D$3</f>
        <v>5</v>
      </c>
      <c r="E8" s="37">
        <v>17</v>
      </c>
      <c r="F8" s="36">
        <f>D8*E8</f>
        <v>85</v>
      </c>
    </row>
    <row r="9" spans="1:6" x14ac:dyDescent="0.2">
      <c r="A9" s="67" t="s">
        <v>173</v>
      </c>
      <c r="B9" s="487" t="s">
        <v>169</v>
      </c>
      <c r="C9" s="66" t="s">
        <v>120</v>
      </c>
      <c r="D9" s="93">
        <f t="shared" si="0"/>
        <v>5</v>
      </c>
      <c r="E9" s="484">
        <v>723</v>
      </c>
      <c r="F9" s="36">
        <f>D9*E9</f>
        <v>3615</v>
      </c>
    </row>
    <row r="10" spans="1:6" x14ac:dyDescent="0.2">
      <c r="A10" s="67" t="s">
        <v>174</v>
      </c>
      <c r="B10" s="486" t="s">
        <v>136</v>
      </c>
      <c r="C10" s="66" t="s">
        <v>120</v>
      </c>
      <c r="D10" s="93">
        <f t="shared" si="0"/>
        <v>5</v>
      </c>
      <c r="E10" s="37">
        <v>175</v>
      </c>
      <c r="F10" s="36">
        <f>D10*E10</f>
        <v>875</v>
      </c>
    </row>
    <row r="11" spans="1:6" x14ac:dyDescent="0.2">
      <c r="A11" s="67" t="s">
        <v>175</v>
      </c>
      <c r="B11" s="482" t="s">
        <v>633</v>
      </c>
      <c r="C11" s="66" t="s">
        <v>120</v>
      </c>
      <c r="D11" s="93">
        <f t="shared" si="0"/>
        <v>5</v>
      </c>
      <c r="E11" s="484">
        <v>562.94000000000005</v>
      </c>
      <c r="F11" s="36">
        <f t="shared" ref="F11:F12" si="1">D11*E11</f>
        <v>2814.7000000000003</v>
      </c>
    </row>
    <row r="12" spans="1:6" x14ac:dyDescent="0.2">
      <c r="A12" s="67" t="s">
        <v>176</v>
      </c>
      <c r="B12" s="482" t="s">
        <v>636</v>
      </c>
      <c r="C12" s="66" t="s">
        <v>120</v>
      </c>
      <c r="D12" s="93">
        <f t="shared" si="0"/>
        <v>5</v>
      </c>
      <c r="E12" s="483">
        <v>428</v>
      </c>
      <c r="F12" s="36">
        <f t="shared" si="1"/>
        <v>2140</v>
      </c>
    </row>
    <row r="13" spans="1:6" x14ac:dyDescent="0.2">
      <c r="A13" s="67" t="s">
        <v>177</v>
      </c>
      <c r="B13" s="65" t="s">
        <v>170</v>
      </c>
      <c r="C13" s="66" t="s">
        <v>120</v>
      </c>
      <c r="D13" s="93">
        <v>3</v>
      </c>
      <c r="E13" s="37">
        <v>54</v>
      </c>
      <c r="F13" s="36">
        <f t="shared" ref="F13:F14" si="2">D13*E13</f>
        <v>162</v>
      </c>
    </row>
    <row r="14" spans="1:6" x14ac:dyDescent="0.2">
      <c r="A14" s="67" t="s">
        <v>178</v>
      </c>
      <c r="B14" s="65" t="s">
        <v>637</v>
      </c>
      <c r="C14" s="66" t="s">
        <v>120</v>
      </c>
      <c r="D14" s="93">
        <v>3</v>
      </c>
      <c r="E14" s="37">
        <v>22</v>
      </c>
      <c r="F14" s="36">
        <f t="shared" si="2"/>
        <v>66</v>
      </c>
    </row>
    <row r="15" spans="1:6" x14ac:dyDescent="0.2">
      <c r="A15" s="68" t="s">
        <v>4</v>
      </c>
      <c r="B15" s="63" t="s">
        <v>118</v>
      </c>
      <c r="C15" s="37"/>
      <c r="D15" s="36"/>
      <c r="E15" s="59"/>
      <c r="F15" s="64">
        <f>SUM(F16:F31)</f>
        <v>5516.56</v>
      </c>
    </row>
    <row r="16" spans="1:6" x14ac:dyDescent="0.2">
      <c r="A16" s="67" t="s">
        <v>104</v>
      </c>
      <c r="B16" s="50" t="s">
        <v>149</v>
      </c>
      <c r="C16" s="37" t="s">
        <v>120</v>
      </c>
      <c r="D16" s="36">
        <v>2.97</v>
      </c>
      <c r="E16" s="37">
        <v>193</v>
      </c>
      <c r="F16" s="36">
        <f>D16*E16</f>
        <v>573.21</v>
      </c>
    </row>
    <row r="17" spans="1:6" x14ac:dyDescent="0.2">
      <c r="A17" s="67" t="s">
        <v>106</v>
      </c>
      <c r="B17" s="50" t="s">
        <v>150</v>
      </c>
      <c r="C17" s="37" t="s">
        <v>120</v>
      </c>
      <c r="D17" s="36">
        <f>D3</f>
        <v>5</v>
      </c>
      <c r="E17" s="37">
        <v>23</v>
      </c>
      <c r="F17" s="36">
        <f>D17*E17</f>
        <v>115</v>
      </c>
    </row>
    <row r="18" spans="1:6" x14ac:dyDescent="0.2">
      <c r="A18" s="67" t="s">
        <v>108</v>
      </c>
      <c r="B18" s="50" t="s">
        <v>151</v>
      </c>
      <c r="C18" s="37" t="s">
        <v>120</v>
      </c>
      <c r="D18" s="36">
        <f>D3</f>
        <v>5</v>
      </c>
      <c r="E18" s="37">
        <v>25</v>
      </c>
      <c r="F18" s="36">
        <f t="shared" ref="F18:F31" si="3">D18*E18</f>
        <v>125</v>
      </c>
    </row>
    <row r="19" spans="1:6" x14ac:dyDescent="0.2">
      <c r="A19" s="67" t="s">
        <v>180</v>
      </c>
      <c r="B19" s="50" t="s">
        <v>152</v>
      </c>
      <c r="C19" s="37" t="s">
        <v>120</v>
      </c>
      <c r="D19" s="36">
        <f>D3</f>
        <v>5</v>
      </c>
      <c r="E19" s="37">
        <v>18.5</v>
      </c>
      <c r="F19" s="36">
        <f t="shared" si="3"/>
        <v>92.5</v>
      </c>
    </row>
    <row r="20" spans="1:6" x14ac:dyDescent="0.2">
      <c r="A20" s="67" t="s">
        <v>181</v>
      </c>
      <c r="B20" s="50" t="s">
        <v>153</v>
      </c>
      <c r="C20" s="37" t="s">
        <v>120</v>
      </c>
      <c r="D20" s="36">
        <f>D3</f>
        <v>5</v>
      </c>
      <c r="E20" s="37">
        <v>30.5</v>
      </c>
      <c r="F20" s="36">
        <f t="shared" si="3"/>
        <v>152.5</v>
      </c>
    </row>
    <row r="21" spans="1:6" x14ac:dyDescent="0.2">
      <c r="A21" s="67" t="s">
        <v>182</v>
      </c>
      <c r="B21" s="50" t="s">
        <v>154</v>
      </c>
      <c r="C21" s="37" t="s">
        <v>120</v>
      </c>
      <c r="D21" s="36">
        <f>D3</f>
        <v>5</v>
      </c>
      <c r="E21" s="37">
        <v>35</v>
      </c>
      <c r="F21" s="36">
        <f t="shared" si="3"/>
        <v>175</v>
      </c>
    </row>
    <row r="22" spans="1:6" x14ac:dyDescent="0.2">
      <c r="A22" s="67" t="s">
        <v>183</v>
      </c>
      <c r="B22" s="50" t="s">
        <v>155</v>
      </c>
      <c r="C22" s="37" t="s">
        <v>120</v>
      </c>
      <c r="D22" s="36">
        <f>D3</f>
        <v>5</v>
      </c>
      <c r="E22" s="37">
        <v>40</v>
      </c>
      <c r="F22" s="36">
        <f t="shared" si="3"/>
        <v>200</v>
      </c>
    </row>
    <row r="23" spans="1:6" x14ac:dyDescent="0.2">
      <c r="A23" s="67" t="s">
        <v>184</v>
      </c>
      <c r="B23" s="50" t="s">
        <v>156</v>
      </c>
      <c r="C23" s="37" t="s">
        <v>120</v>
      </c>
      <c r="D23" s="36">
        <v>5</v>
      </c>
      <c r="E23" s="37">
        <v>140</v>
      </c>
      <c r="F23" s="36">
        <f t="shared" si="3"/>
        <v>700</v>
      </c>
    </row>
    <row r="24" spans="1:6" x14ac:dyDescent="0.2">
      <c r="A24" s="67" t="s">
        <v>185</v>
      </c>
      <c r="B24" s="50" t="s">
        <v>157</v>
      </c>
      <c r="C24" s="37" t="s">
        <v>120</v>
      </c>
      <c r="D24" s="36">
        <v>3</v>
      </c>
      <c r="E24" s="37">
        <v>50</v>
      </c>
      <c r="F24" s="36">
        <f t="shared" si="3"/>
        <v>150</v>
      </c>
    </row>
    <row r="25" spans="1:6" x14ac:dyDescent="0.2">
      <c r="A25" s="67" t="s">
        <v>186</v>
      </c>
      <c r="B25" s="50" t="s">
        <v>647</v>
      </c>
      <c r="C25" s="37" t="s">
        <v>120</v>
      </c>
      <c r="D25" s="36">
        <v>5</v>
      </c>
      <c r="E25" s="37">
        <v>75</v>
      </c>
      <c r="F25" s="36">
        <f t="shared" si="3"/>
        <v>375</v>
      </c>
    </row>
    <row r="26" spans="1:6" x14ac:dyDescent="0.2">
      <c r="A26" s="67" t="s">
        <v>187</v>
      </c>
      <c r="B26" s="50" t="s">
        <v>159</v>
      </c>
      <c r="C26" s="37" t="s">
        <v>120</v>
      </c>
      <c r="D26" s="36">
        <v>3</v>
      </c>
      <c r="E26" s="37">
        <v>70.849999999999994</v>
      </c>
      <c r="F26" s="36">
        <f t="shared" si="3"/>
        <v>212.54999999999998</v>
      </c>
    </row>
    <row r="27" spans="1:6" x14ac:dyDescent="0.2">
      <c r="A27" s="67" t="s">
        <v>188</v>
      </c>
      <c r="B27" s="50" t="s">
        <v>160</v>
      </c>
      <c r="C27" s="37" t="s">
        <v>120</v>
      </c>
      <c r="D27" s="36">
        <v>3</v>
      </c>
      <c r="E27" s="37">
        <v>40</v>
      </c>
      <c r="F27" s="36">
        <f t="shared" si="3"/>
        <v>120</v>
      </c>
    </row>
    <row r="28" spans="1:6" x14ac:dyDescent="0.2">
      <c r="A28" s="67" t="s">
        <v>189</v>
      </c>
      <c r="B28" s="50" t="s">
        <v>161</v>
      </c>
      <c r="C28" s="37" t="s">
        <v>120</v>
      </c>
      <c r="D28" s="36">
        <v>3</v>
      </c>
      <c r="E28" s="37">
        <v>40</v>
      </c>
      <c r="F28" s="36">
        <f t="shared" si="3"/>
        <v>120</v>
      </c>
    </row>
    <row r="29" spans="1:6" x14ac:dyDescent="0.2">
      <c r="A29" s="67" t="s">
        <v>190</v>
      </c>
      <c r="B29" s="50" t="s">
        <v>162</v>
      </c>
      <c r="C29" s="37" t="s">
        <v>120</v>
      </c>
      <c r="D29" s="36">
        <v>1</v>
      </c>
      <c r="E29" s="37">
        <v>650</v>
      </c>
      <c r="F29" s="36">
        <f t="shared" si="3"/>
        <v>650</v>
      </c>
    </row>
    <row r="30" spans="1:6" x14ac:dyDescent="0.2">
      <c r="A30" s="67" t="s">
        <v>191</v>
      </c>
      <c r="B30" s="50" t="s">
        <v>163</v>
      </c>
      <c r="C30" s="37" t="s">
        <v>120</v>
      </c>
      <c r="D30" s="36">
        <v>5</v>
      </c>
      <c r="E30" s="37">
        <v>128.5</v>
      </c>
      <c r="F30" s="36">
        <f t="shared" si="3"/>
        <v>642.5</v>
      </c>
    </row>
    <row r="31" spans="1:6" x14ac:dyDescent="0.2">
      <c r="A31" s="67" t="s">
        <v>192</v>
      </c>
      <c r="B31" s="50" t="s">
        <v>164</v>
      </c>
      <c r="C31" s="37" t="s">
        <v>120</v>
      </c>
      <c r="D31" s="36">
        <v>5</v>
      </c>
      <c r="E31" s="37">
        <v>222.66</v>
      </c>
      <c r="F31" s="36">
        <f t="shared" si="3"/>
        <v>1113.3</v>
      </c>
    </row>
    <row r="32" spans="1:6" x14ac:dyDescent="0.2">
      <c r="A32" s="68" t="s">
        <v>5</v>
      </c>
      <c r="B32" s="63" t="s">
        <v>646</v>
      </c>
      <c r="C32" s="37" t="s">
        <v>103</v>
      </c>
      <c r="D32" s="36"/>
      <c r="E32" s="59"/>
      <c r="F32" s="36">
        <v>87150</v>
      </c>
    </row>
    <row r="33" spans="1:23" x14ac:dyDescent="0.2">
      <c r="A33" s="72"/>
      <c r="B33" s="73" t="s">
        <v>137</v>
      </c>
      <c r="C33" s="69"/>
      <c r="D33" s="74"/>
      <c r="E33" s="30"/>
      <c r="F33" s="74">
        <f>(F6+F15+F32)</f>
        <v>104764.26000000001</v>
      </c>
    </row>
    <row r="34" spans="1:23" x14ac:dyDescent="0.2">
      <c r="A34" s="72"/>
      <c r="B34" s="73" t="s">
        <v>138</v>
      </c>
      <c r="C34" s="69"/>
      <c r="D34" s="74"/>
      <c r="E34" s="30"/>
      <c r="F34" s="74">
        <f>F33/D3/12</f>
        <v>1746.0710000000001</v>
      </c>
    </row>
    <row r="37" spans="1:23" s="370" customFormat="1" ht="15.75" customHeight="1" x14ac:dyDescent="0.2">
      <c r="A37" s="404"/>
      <c r="B37" s="364" t="s">
        <v>234</v>
      </c>
      <c r="C37" s="367"/>
      <c r="D37" s="367"/>
      <c r="E37" s="511" t="s">
        <v>648</v>
      </c>
      <c r="F37" s="511"/>
      <c r="G37" s="366"/>
      <c r="H37" s="503"/>
      <c r="I37" s="503"/>
      <c r="J37" s="503"/>
      <c r="K37" s="503"/>
      <c r="L37" s="503"/>
      <c r="M37" s="367"/>
      <c r="N37" s="368"/>
      <c r="O37" s="368"/>
      <c r="P37" s="369"/>
      <c r="Q37" s="369"/>
      <c r="R37" s="369"/>
      <c r="S37" s="369"/>
      <c r="T37" s="369"/>
      <c r="U37" s="368"/>
      <c r="V37" s="368"/>
      <c r="W37" s="369"/>
    </row>
  </sheetData>
  <mergeCells count="3">
    <mergeCell ref="A1:F1"/>
    <mergeCell ref="E37:F37"/>
    <mergeCell ref="H37:L37"/>
  </mergeCells>
  <phoneticPr fontId="2" type="noConversion"/>
  <pageMargins left="0.9448818897637796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opLeftCell="A136" zoomScale="130" zoomScaleNormal="130" workbookViewId="0">
      <selection activeCell="E166" sqref="E166:F166"/>
    </sheetView>
  </sheetViews>
  <sheetFormatPr defaultRowHeight="12.75" x14ac:dyDescent="0.2"/>
  <cols>
    <col min="1" max="1" width="4.42578125" style="51" customWidth="1"/>
    <col min="2" max="2" width="15.5703125" style="42" bestFit="1" customWidth="1"/>
    <col min="3" max="3" width="6.85546875" style="42" customWidth="1"/>
    <col min="4" max="4" width="12" style="469" customWidth="1"/>
    <col min="5" max="5" width="8" style="47" bestFit="1" customWidth="1"/>
    <col min="6" max="6" width="7" style="262" bestFit="1" customWidth="1"/>
    <col min="7" max="7" width="7.42578125" style="262" bestFit="1" customWidth="1"/>
    <col min="8" max="8" width="7" style="39" bestFit="1" customWidth="1"/>
    <col min="9" max="9" width="8" style="39" bestFit="1" customWidth="1"/>
    <col min="10" max="10" width="12.85546875" style="349" customWidth="1"/>
  </cols>
  <sheetData>
    <row r="1" spans="1:10" ht="41.25" customHeight="1" x14ac:dyDescent="0.2">
      <c r="A1" s="508" t="s">
        <v>629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380" customFormat="1" ht="63.75" customHeight="1" x14ac:dyDescent="0.2">
      <c r="A2" s="375" t="s">
        <v>1</v>
      </c>
      <c r="B2" s="375" t="s">
        <v>0</v>
      </c>
      <c r="C2" s="375" t="s">
        <v>72</v>
      </c>
      <c r="D2" s="424" t="s">
        <v>218</v>
      </c>
      <c r="E2" s="379" t="s">
        <v>85</v>
      </c>
      <c r="F2" s="377" t="s">
        <v>86</v>
      </c>
      <c r="G2" s="377" t="s">
        <v>238</v>
      </c>
      <c r="H2" s="375" t="s">
        <v>75</v>
      </c>
      <c r="I2" s="375" t="s">
        <v>81</v>
      </c>
      <c r="J2" s="402" t="s">
        <v>239</v>
      </c>
    </row>
    <row r="3" spans="1:10" s="380" customFormat="1" ht="10.5" x14ac:dyDescent="0.2">
      <c r="A3" s="381">
        <v>1</v>
      </c>
      <c r="B3" s="382" t="s">
        <v>331</v>
      </c>
      <c r="C3" s="383">
        <v>394.86</v>
      </c>
      <c r="D3" s="383">
        <v>40</v>
      </c>
      <c r="E3" s="379">
        <f t="shared" ref="E3:E66" si="0">D3/$E$163</f>
        <v>6.5051227841925515E-3</v>
      </c>
      <c r="F3" s="377">
        <f t="shared" ref="F3:F66" si="1">E3*$F$163</f>
        <v>62.825272402016587</v>
      </c>
      <c r="G3" s="377">
        <f>F3*22/100</f>
        <v>13.821559928443648</v>
      </c>
      <c r="H3" s="377">
        <f>F3*'92'!$C$20/100</f>
        <v>12.495121209858377</v>
      </c>
      <c r="I3" s="377">
        <f>E3*'мат вода'!$F$34</f>
        <v>11.358406244917873</v>
      </c>
      <c r="J3" s="402">
        <f>((F3+G3+H3+I3)/C3)</f>
        <v>0.25452150074769914</v>
      </c>
    </row>
    <row r="4" spans="1:10" s="380" customFormat="1" ht="10.5" x14ac:dyDescent="0.2">
      <c r="A4" s="381">
        <v>2</v>
      </c>
      <c r="B4" s="382" t="s">
        <v>332</v>
      </c>
      <c r="C4" s="384">
        <v>326.89999999999998</v>
      </c>
      <c r="D4" s="383">
        <v>35</v>
      </c>
      <c r="E4" s="379">
        <f t="shared" si="0"/>
        <v>5.6919824361684824E-3</v>
      </c>
      <c r="F4" s="377">
        <f t="shared" si="1"/>
        <v>54.972113351764513</v>
      </c>
      <c r="G4" s="377">
        <f t="shared" ref="G4:G67" si="2">F4*22/100</f>
        <v>12.093864937388194</v>
      </c>
      <c r="H4" s="377">
        <f>F4*'92'!$C$20/100</f>
        <v>10.933231058626079</v>
      </c>
      <c r="I4" s="377">
        <f>E4*'мат вода'!$F$34</f>
        <v>9.938605464303139</v>
      </c>
      <c r="J4" s="402">
        <f>((F4+G4+H4+I4)/C4)*10/100</f>
        <v>2.6900524567782785E-2</v>
      </c>
    </row>
    <row r="5" spans="1:10" s="380" customFormat="1" ht="10.5" x14ac:dyDescent="0.2">
      <c r="A5" s="381">
        <v>3</v>
      </c>
      <c r="B5" s="382" t="s">
        <v>333</v>
      </c>
      <c r="C5" s="384">
        <v>490.6</v>
      </c>
      <c r="D5" s="383">
        <v>40</v>
      </c>
      <c r="E5" s="379">
        <f t="shared" si="0"/>
        <v>6.5051227841925515E-3</v>
      </c>
      <c r="F5" s="377">
        <f t="shared" si="1"/>
        <v>62.825272402016587</v>
      </c>
      <c r="G5" s="377">
        <f t="shared" si="2"/>
        <v>13.821559928443648</v>
      </c>
      <c r="H5" s="377">
        <f>F5*'92'!$C$20/100</f>
        <v>12.495121209858377</v>
      </c>
      <c r="I5" s="377">
        <f>E5*'мат вода'!$F$34</f>
        <v>11.358406244917873</v>
      </c>
      <c r="J5" s="402">
        <f t="shared" ref="J5:J67" si="3">((F5+G5+H5+I5)/C5)</f>
        <v>0.20485193596664589</v>
      </c>
    </row>
    <row r="6" spans="1:10" s="380" customFormat="1" ht="10.5" x14ac:dyDescent="0.2">
      <c r="A6" s="381">
        <v>4</v>
      </c>
      <c r="B6" s="382" t="s">
        <v>334</v>
      </c>
      <c r="C6" s="384">
        <v>341.5</v>
      </c>
      <c r="D6" s="383">
        <v>65</v>
      </c>
      <c r="E6" s="379">
        <f t="shared" si="0"/>
        <v>1.0570824524312896E-2</v>
      </c>
      <c r="F6" s="377">
        <f t="shared" si="1"/>
        <v>102.09106765327697</v>
      </c>
      <c r="G6" s="377">
        <f t="shared" si="2"/>
        <v>22.460034883720933</v>
      </c>
      <c r="H6" s="377">
        <f>F6*'92'!$C$20/100</f>
        <v>20.304571966019868</v>
      </c>
      <c r="I6" s="377">
        <f>E6*'мат вода'!$F$34</f>
        <v>18.457410147991546</v>
      </c>
      <c r="J6" s="402">
        <f t="shared" si="3"/>
        <v>0.47822279546415614</v>
      </c>
    </row>
    <row r="7" spans="1:10" s="380" customFormat="1" ht="10.5" x14ac:dyDescent="0.2">
      <c r="A7" s="381">
        <v>5</v>
      </c>
      <c r="B7" s="382" t="s">
        <v>335</v>
      </c>
      <c r="C7" s="384">
        <v>375.1</v>
      </c>
      <c r="D7" s="383">
        <v>65</v>
      </c>
      <c r="E7" s="379">
        <f t="shared" si="0"/>
        <v>1.0570824524312896E-2</v>
      </c>
      <c r="F7" s="377">
        <f t="shared" si="1"/>
        <v>102.09106765327697</v>
      </c>
      <c r="G7" s="377">
        <f t="shared" si="2"/>
        <v>22.460034883720933</v>
      </c>
      <c r="H7" s="377">
        <f>F7*'92'!$C$20/100</f>
        <v>20.304571966019868</v>
      </c>
      <c r="I7" s="377">
        <f>E7*'мат вода'!$F$34</f>
        <v>18.457410147991546</v>
      </c>
      <c r="J7" s="402">
        <f t="shared" si="3"/>
        <v>0.43538545628101655</v>
      </c>
    </row>
    <row r="8" spans="1:10" s="380" customFormat="1" ht="10.5" x14ac:dyDescent="0.2">
      <c r="A8" s="381">
        <v>6</v>
      </c>
      <c r="B8" s="382" t="s">
        <v>336</v>
      </c>
      <c r="C8" s="384">
        <v>386.23</v>
      </c>
      <c r="D8" s="383">
        <v>65</v>
      </c>
      <c r="E8" s="379">
        <f t="shared" si="0"/>
        <v>1.0570824524312896E-2</v>
      </c>
      <c r="F8" s="377">
        <f t="shared" si="1"/>
        <v>102.09106765327697</v>
      </c>
      <c r="G8" s="377">
        <f t="shared" si="2"/>
        <v>22.460034883720933</v>
      </c>
      <c r="H8" s="377">
        <f>F8*'92'!$C$20/100</f>
        <v>20.304571966019868</v>
      </c>
      <c r="I8" s="377">
        <f>E8*'мат вода'!$F$34</f>
        <v>18.457410147991546</v>
      </c>
      <c r="J8" s="402">
        <f t="shared" si="3"/>
        <v>0.42283894221321316</v>
      </c>
    </row>
    <row r="9" spans="1:10" s="380" customFormat="1" ht="10.5" x14ac:dyDescent="0.2">
      <c r="A9" s="381">
        <v>7</v>
      </c>
      <c r="B9" s="382" t="s">
        <v>337</v>
      </c>
      <c r="C9" s="384">
        <v>917</v>
      </c>
      <c r="D9" s="383">
        <v>181</v>
      </c>
      <c r="E9" s="379">
        <f t="shared" si="0"/>
        <v>2.9435680598471296E-2</v>
      </c>
      <c r="F9" s="377">
        <f t="shared" si="1"/>
        <v>284.28435761912505</v>
      </c>
      <c r="G9" s="377">
        <f t="shared" si="2"/>
        <v>62.542558676207506</v>
      </c>
      <c r="H9" s="377">
        <f>F9*'92'!$C$20/100</f>
        <v>56.540423474609149</v>
      </c>
      <c r="I9" s="377">
        <f>E9*'мат вода'!$F$34</f>
        <v>51.39678825825338</v>
      </c>
      <c r="J9" s="402">
        <f t="shared" si="3"/>
        <v>0.49592598476357153</v>
      </c>
    </row>
    <row r="10" spans="1:10" s="380" customFormat="1" ht="10.5" x14ac:dyDescent="0.2">
      <c r="A10" s="381">
        <v>8</v>
      </c>
      <c r="B10" s="382" t="s">
        <v>338</v>
      </c>
      <c r="C10" s="384">
        <v>354.4</v>
      </c>
      <c r="D10" s="383">
        <v>81</v>
      </c>
      <c r="E10" s="379">
        <f t="shared" si="0"/>
        <v>1.3172873637989918E-2</v>
      </c>
      <c r="F10" s="377">
        <f t="shared" si="1"/>
        <v>127.2211766140836</v>
      </c>
      <c r="G10" s="377">
        <f t="shared" si="2"/>
        <v>27.988658855098393</v>
      </c>
      <c r="H10" s="377">
        <f>F10*'92'!$C$20/100</f>
        <v>25.302620449963214</v>
      </c>
      <c r="I10" s="377">
        <f>E10*'мат вода'!$F$34</f>
        <v>23.000772645958694</v>
      </c>
      <c r="J10" s="402">
        <f t="shared" si="3"/>
        <v>0.57424725893088024</v>
      </c>
    </row>
    <row r="11" spans="1:10" s="380" customFormat="1" ht="10.5" x14ac:dyDescent="0.2">
      <c r="A11" s="381">
        <v>9</v>
      </c>
      <c r="B11" s="382" t="s">
        <v>339</v>
      </c>
      <c r="C11" s="384">
        <v>634.4</v>
      </c>
      <c r="D11" s="383">
        <v>75</v>
      </c>
      <c r="E11" s="379">
        <f t="shared" si="0"/>
        <v>1.2197105220361035E-2</v>
      </c>
      <c r="F11" s="377">
        <f t="shared" si="1"/>
        <v>117.79738575378111</v>
      </c>
      <c r="G11" s="377">
        <f t="shared" si="2"/>
        <v>25.915424865831845</v>
      </c>
      <c r="H11" s="377">
        <f>F11*'92'!$C$20/100</f>
        <v>23.42835226848446</v>
      </c>
      <c r="I11" s="377">
        <f>E11*'мат вода'!$F$34</f>
        <v>21.297011709221014</v>
      </c>
      <c r="J11" s="402">
        <f t="shared" si="3"/>
        <v>0.29703369261872392</v>
      </c>
    </row>
    <row r="12" spans="1:10" s="380" customFormat="1" ht="10.5" x14ac:dyDescent="0.2">
      <c r="A12" s="381">
        <v>10</v>
      </c>
      <c r="B12" s="382" t="s">
        <v>340</v>
      </c>
      <c r="C12" s="384">
        <v>637.20000000000005</v>
      </c>
      <c r="D12" s="383">
        <v>75</v>
      </c>
      <c r="E12" s="379">
        <f t="shared" si="0"/>
        <v>1.2197105220361035E-2</v>
      </c>
      <c r="F12" s="377">
        <f t="shared" si="1"/>
        <v>117.79738575378111</v>
      </c>
      <c r="G12" s="377">
        <f t="shared" si="2"/>
        <v>25.915424865831845</v>
      </c>
      <c r="H12" s="377">
        <f>F12*'92'!$C$20/100</f>
        <v>23.42835226848446</v>
      </c>
      <c r="I12" s="377">
        <f>E12*'мат вода'!$F$34</f>
        <v>21.297011709221014</v>
      </c>
      <c r="J12" s="402">
        <f t="shared" si="3"/>
        <v>0.29572845982002266</v>
      </c>
    </row>
    <row r="13" spans="1:10" s="380" customFormat="1" ht="10.5" x14ac:dyDescent="0.2">
      <c r="A13" s="381">
        <v>11</v>
      </c>
      <c r="B13" s="382" t="s">
        <v>341</v>
      </c>
      <c r="C13" s="384">
        <v>463.8</v>
      </c>
      <c r="D13" s="383">
        <v>75</v>
      </c>
      <c r="E13" s="379">
        <f t="shared" si="0"/>
        <v>1.2197105220361035E-2</v>
      </c>
      <c r="F13" s="377">
        <f t="shared" si="1"/>
        <v>117.79738575378111</v>
      </c>
      <c r="G13" s="377">
        <f t="shared" si="2"/>
        <v>25.915424865831845</v>
      </c>
      <c r="H13" s="377">
        <f>F13*'92'!$C$20/100</f>
        <v>23.42835226848446</v>
      </c>
      <c r="I13" s="377">
        <f>E13*'мат вода'!$F$34</f>
        <v>21.297011709221014</v>
      </c>
      <c r="J13" s="402">
        <f t="shared" si="3"/>
        <v>0.40629188140862105</v>
      </c>
    </row>
    <row r="14" spans="1:10" s="380" customFormat="1" ht="10.5" x14ac:dyDescent="0.2">
      <c r="A14" s="381">
        <v>12</v>
      </c>
      <c r="B14" s="382" t="s">
        <v>342</v>
      </c>
      <c r="C14" s="384">
        <v>633.29999999999995</v>
      </c>
      <c r="D14" s="383">
        <v>75</v>
      </c>
      <c r="E14" s="379">
        <f t="shared" si="0"/>
        <v>1.2197105220361035E-2</v>
      </c>
      <c r="F14" s="377">
        <f t="shared" si="1"/>
        <v>117.79738575378111</v>
      </c>
      <c r="G14" s="377">
        <f t="shared" si="2"/>
        <v>25.915424865831845</v>
      </c>
      <c r="H14" s="377">
        <f>F14*'92'!$C$20/100</f>
        <v>23.42835226848446</v>
      </c>
      <c r="I14" s="377">
        <f>E14*'мат вода'!$F$34</f>
        <v>21.297011709221014</v>
      </c>
      <c r="J14" s="402">
        <f t="shared" si="3"/>
        <v>0.29754962039683946</v>
      </c>
    </row>
    <row r="15" spans="1:10" s="380" customFormat="1" ht="10.5" x14ac:dyDescent="0.2">
      <c r="A15" s="381">
        <v>13</v>
      </c>
      <c r="B15" s="382" t="s">
        <v>343</v>
      </c>
      <c r="C15" s="384">
        <v>379.5</v>
      </c>
      <c r="D15" s="383">
        <v>25</v>
      </c>
      <c r="E15" s="379">
        <f t="shared" si="0"/>
        <v>4.0657017401203449E-3</v>
      </c>
      <c r="F15" s="377">
        <f t="shared" si="1"/>
        <v>39.265795251260371</v>
      </c>
      <c r="G15" s="377">
        <f t="shared" si="2"/>
        <v>8.6384749552772817</v>
      </c>
      <c r="H15" s="377">
        <f>F15*'92'!$C$20/100</f>
        <v>7.8094507561614863</v>
      </c>
      <c r="I15" s="377">
        <f>E15*'мат вода'!$F$34</f>
        <v>7.0990039030736716</v>
      </c>
      <c r="J15" s="402">
        <f t="shared" si="3"/>
        <v>0.16551442652377554</v>
      </c>
    </row>
    <row r="16" spans="1:10" s="380" customFormat="1" ht="10.5" x14ac:dyDescent="0.2">
      <c r="A16" s="381">
        <v>14</v>
      </c>
      <c r="B16" s="382" t="s">
        <v>344</v>
      </c>
      <c r="C16" s="384">
        <v>916.4</v>
      </c>
      <c r="D16" s="383">
        <v>200</v>
      </c>
      <c r="E16" s="379">
        <f t="shared" si="0"/>
        <v>3.2525613920962759E-2</v>
      </c>
      <c r="F16" s="377">
        <f t="shared" si="1"/>
        <v>314.12636201008297</v>
      </c>
      <c r="G16" s="377">
        <f t="shared" si="2"/>
        <v>69.107799642218254</v>
      </c>
      <c r="H16" s="377">
        <f>F16*'92'!$C$20/100</f>
        <v>62.475606049291891</v>
      </c>
      <c r="I16" s="377">
        <f>E16*'мат вода'!$F$34</f>
        <v>56.792031224589373</v>
      </c>
      <c r="J16" s="402">
        <f t="shared" si="3"/>
        <v>0.54834329869727472</v>
      </c>
    </row>
    <row r="17" spans="1:10" s="380" customFormat="1" ht="10.5" x14ac:dyDescent="0.2">
      <c r="A17" s="381">
        <v>15</v>
      </c>
      <c r="B17" s="382" t="s">
        <v>345</v>
      </c>
      <c r="C17" s="384">
        <v>922.1</v>
      </c>
      <c r="D17" s="383">
        <v>200</v>
      </c>
      <c r="E17" s="379">
        <f t="shared" si="0"/>
        <v>3.2525613920962759E-2</v>
      </c>
      <c r="F17" s="377">
        <f t="shared" si="1"/>
        <v>314.12636201008297</v>
      </c>
      <c r="G17" s="377">
        <f t="shared" si="2"/>
        <v>69.107799642218254</v>
      </c>
      <c r="H17" s="377">
        <f>F17*'92'!$C$20/100</f>
        <v>62.475606049291891</v>
      </c>
      <c r="I17" s="377">
        <f>E17*'мат вода'!$F$34</f>
        <v>56.792031224589373</v>
      </c>
      <c r="J17" s="402">
        <f t="shared" si="3"/>
        <v>0.54495369149352835</v>
      </c>
    </row>
    <row r="18" spans="1:10" s="380" customFormat="1" ht="10.5" x14ac:dyDescent="0.2">
      <c r="A18" s="381">
        <v>16</v>
      </c>
      <c r="B18" s="382" t="s">
        <v>346</v>
      </c>
      <c r="C18" s="384">
        <v>490.3</v>
      </c>
      <c r="D18" s="383">
        <v>75</v>
      </c>
      <c r="E18" s="379">
        <f t="shared" si="0"/>
        <v>1.2197105220361035E-2</v>
      </c>
      <c r="F18" s="377">
        <f t="shared" si="1"/>
        <v>117.79738575378111</v>
      </c>
      <c r="G18" s="377">
        <f t="shared" si="2"/>
        <v>25.915424865831845</v>
      </c>
      <c r="H18" s="377">
        <f>F18*'92'!$C$20/100</f>
        <v>23.42835226848446</v>
      </c>
      <c r="I18" s="377">
        <f>E18*'мат вода'!$F$34</f>
        <v>21.297011709221014</v>
      </c>
      <c r="J18" s="402">
        <f t="shared" si="3"/>
        <v>0.38433239771021505</v>
      </c>
    </row>
    <row r="19" spans="1:10" s="380" customFormat="1" ht="10.5" x14ac:dyDescent="0.2">
      <c r="A19" s="381">
        <v>17</v>
      </c>
      <c r="B19" s="382" t="s">
        <v>347</v>
      </c>
      <c r="C19" s="384">
        <v>502.4</v>
      </c>
      <c r="D19" s="383">
        <v>75</v>
      </c>
      <c r="E19" s="379">
        <f t="shared" si="0"/>
        <v>1.2197105220361035E-2</v>
      </c>
      <c r="F19" s="377">
        <f t="shared" si="1"/>
        <v>117.79738575378111</v>
      </c>
      <c r="G19" s="377">
        <f t="shared" si="2"/>
        <v>25.915424865831845</v>
      </c>
      <c r="H19" s="377">
        <f>F19*'92'!$C$20/100</f>
        <v>23.42835226848446</v>
      </c>
      <c r="I19" s="377">
        <f>E19*'мат вода'!$F$34</f>
        <v>21.297011709221014</v>
      </c>
      <c r="J19" s="402">
        <f t="shared" si="3"/>
        <v>0.37507598446918478</v>
      </c>
    </row>
    <row r="20" spans="1:10" s="380" customFormat="1" ht="10.5" x14ac:dyDescent="0.2">
      <c r="A20" s="381">
        <v>18</v>
      </c>
      <c r="B20" s="382" t="s">
        <v>348</v>
      </c>
      <c r="C20" s="384">
        <v>655.29999999999995</v>
      </c>
      <c r="D20" s="383">
        <v>120</v>
      </c>
      <c r="E20" s="379">
        <f t="shared" si="0"/>
        <v>1.9515368352577656E-2</v>
      </c>
      <c r="F20" s="377">
        <f t="shared" si="1"/>
        <v>188.47581720604978</v>
      </c>
      <c r="G20" s="377">
        <f t="shared" si="2"/>
        <v>41.464679785330958</v>
      </c>
      <c r="H20" s="377">
        <f>F20*'92'!$C$20/100</f>
        <v>37.485363629575133</v>
      </c>
      <c r="I20" s="377">
        <f>E20*'мат вода'!$F$34</f>
        <v>34.075218734753626</v>
      </c>
      <c r="J20" s="402">
        <f t="shared" si="3"/>
        <v>0.460096260271188</v>
      </c>
    </row>
    <row r="21" spans="1:10" s="380" customFormat="1" ht="10.5" x14ac:dyDescent="0.2">
      <c r="A21" s="381">
        <v>19</v>
      </c>
      <c r="B21" s="382" t="s">
        <v>349</v>
      </c>
      <c r="C21" s="384">
        <v>663.8</v>
      </c>
      <c r="D21" s="383">
        <v>120</v>
      </c>
      <c r="E21" s="379">
        <f t="shared" si="0"/>
        <v>1.9515368352577656E-2</v>
      </c>
      <c r="F21" s="377">
        <f t="shared" si="1"/>
        <v>188.47581720604978</v>
      </c>
      <c r="G21" s="377">
        <f t="shared" si="2"/>
        <v>41.464679785330958</v>
      </c>
      <c r="H21" s="377">
        <f>F21*'92'!$C$20/100</f>
        <v>37.485363629575133</v>
      </c>
      <c r="I21" s="377">
        <f>E21*'мат вода'!$F$34</f>
        <v>34.075218734753626</v>
      </c>
      <c r="J21" s="402">
        <f t="shared" si="3"/>
        <v>0.45420469924029749</v>
      </c>
    </row>
    <row r="22" spans="1:10" s="380" customFormat="1" ht="10.5" x14ac:dyDescent="0.2">
      <c r="A22" s="381">
        <v>20</v>
      </c>
      <c r="B22" s="382" t="s">
        <v>350</v>
      </c>
      <c r="C22" s="384">
        <v>679.3</v>
      </c>
      <c r="D22" s="383">
        <v>130</v>
      </c>
      <c r="E22" s="379">
        <f t="shared" si="0"/>
        <v>2.1141649048625793E-2</v>
      </c>
      <c r="F22" s="377">
        <f t="shared" si="1"/>
        <v>204.18213530655393</v>
      </c>
      <c r="G22" s="377">
        <f t="shared" si="2"/>
        <v>44.920069767441866</v>
      </c>
      <c r="H22" s="377">
        <f>F22*'92'!$C$20/100</f>
        <v>40.609143932039736</v>
      </c>
      <c r="I22" s="377">
        <f>E22*'мат вода'!$F$34</f>
        <v>36.914820295983091</v>
      </c>
      <c r="J22" s="402">
        <f t="shared" si="3"/>
        <v>0.48082757147360322</v>
      </c>
    </row>
    <row r="23" spans="1:10" s="380" customFormat="1" ht="10.5" x14ac:dyDescent="0.2">
      <c r="A23" s="381">
        <v>21</v>
      </c>
      <c r="B23" s="382" t="s">
        <v>351</v>
      </c>
      <c r="C23" s="384">
        <v>828.8</v>
      </c>
      <c r="D23" s="383">
        <v>110</v>
      </c>
      <c r="E23" s="379">
        <f t="shared" si="0"/>
        <v>1.7889087656529516E-2</v>
      </c>
      <c r="F23" s="377">
        <f t="shared" si="1"/>
        <v>172.76949910554561</v>
      </c>
      <c r="G23" s="377">
        <f t="shared" si="2"/>
        <v>38.009289803220035</v>
      </c>
      <c r="H23" s="377">
        <f>F23*'92'!$C$20/100</f>
        <v>34.361583327110537</v>
      </c>
      <c r="I23" s="377">
        <f>E23*'мат вода'!$F$34</f>
        <v>31.235617173524151</v>
      </c>
      <c r="J23" s="402">
        <f t="shared" si="3"/>
        <v>0.33346523818701779</v>
      </c>
    </row>
    <row r="24" spans="1:10" s="380" customFormat="1" ht="10.5" x14ac:dyDescent="0.2">
      <c r="A24" s="381">
        <v>22</v>
      </c>
      <c r="B24" s="382" t="s">
        <v>352</v>
      </c>
      <c r="C24" s="384">
        <v>1413.6</v>
      </c>
      <c r="D24" s="383">
        <v>210</v>
      </c>
      <c r="E24" s="379">
        <f t="shared" si="0"/>
        <v>3.4151894617010896E-2</v>
      </c>
      <c r="F24" s="377">
        <f t="shared" si="1"/>
        <v>329.83268011058709</v>
      </c>
      <c r="G24" s="377">
        <f t="shared" si="2"/>
        <v>72.563189624329155</v>
      </c>
      <c r="H24" s="377">
        <f>F24*'92'!$C$20/100</f>
        <v>65.599386351756479</v>
      </c>
      <c r="I24" s="377">
        <f>E24*'мат вода'!$F$34</f>
        <v>59.631632785818837</v>
      </c>
      <c r="J24" s="402">
        <f t="shared" si="3"/>
        <v>0.37325048731783506</v>
      </c>
    </row>
    <row r="25" spans="1:10" s="380" customFormat="1" ht="10.5" x14ac:dyDescent="0.2">
      <c r="A25" s="381">
        <v>23</v>
      </c>
      <c r="B25" s="382" t="s">
        <v>353</v>
      </c>
      <c r="C25" s="384">
        <v>1478</v>
      </c>
      <c r="D25" s="383">
        <v>150</v>
      </c>
      <c r="E25" s="379">
        <f t="shared" si="0"/>
        <v>2.4394210440722069E-2</v>
      </c>
      <c r="F25" s="377">
        <f t="shared" si="1"/>
        <v>235.59477150756223</v>
      </c>
      <c r="G25" s="377">
        <f t="shared" si="2"/>
        <v>51.83084973166369</v>
      </c>
      <c r="H25" s="377">
        <f>F25*'92'!$C$20/100</f>
        <v>46.85670453696892</v>
      </c>
      <c r="I25" s="377">
        <f>E25*'мат вода'!$F$34</f>
        <v>42.594023418442028</v>
      </c>
      <c r="J25" s="402">
        <f t="shared" si="3"/>
        <v>0.25499076400178411</v>
      </c>
    </row>
    <row r="26" spans="1:10" s="380" customFormat="1" ht="10.5" x14ac:dyDescent="0.2">
      <c r="A26" s="381">
        <v>24</v>
      </c>
      <c r="B26" s="382" t="s">
        <v>354</v>
      </c>
      <c r="C26" s="384">
        <v>848.6</v>
      </c>
      <c r="D26" s="383">
        <v>100</v>
      </c>
      <c r="E26" s="379">
        <f t="shared" si="0"/>
        <v>1.626280696048138E-2</v>
      </c>
      <c r="F26" s="377">
        <f t="shared" si="1"/>
        <v>157.06318100504149</v>
      </c>
      <c r="G26" s="377">
        <f t="shared" si="2"/>
        <v>34.553899821109127</v>
      </c>
      <c r="H26" s="377">
        <f>F26*'92'!$C$20/100</f>
        <v>31.237803024645945</v>
      </c>
      <c r="I26" s="377">
        <f>E26*'мат вода'!$F$34</f>
        <v>28.396015612294686</v>
      </c>
      <c r="J26" s="402">
        <f t="shared" si="3"/>
        <v>0.2960769496383352</v>
      </c>
    </row>
    <row r="27" spans="1:10" s="380" customFormat="1" ht="10.5" x14ac:dyDescent="0.2">
      <c r="A27" s="381">
        <v>25</v>
      </c>
      <c r="B27" s="382" t="s">
        <v>355</v>
      </c>
      <c r="C27" s="384">
        <v>834.8</v>
      </c>
      <c r="D27" s="383">
        <v>100</v>
      </c>
      <c r="E27" s="379">
        <f t="shared" si="0"/>
        <v>1.626280696048138E-2</v>
      </c>
      <c r="F27" s="377">
        <f t="shared" si="1"/>
        <v>157.06318100504149</v>
      </c>
      <c r="G27" s="377">
        <f t="shared" si="2"/>
        <v>34.553899821109127</v>
      </c>
      <c r="H27" s="377">
        <f>F27*'92'!$C$20/100</f>
        <v>31.237803024645945</v>
      </c>
      <c r="I27" s="377">
        <f>E27*'мат вода'!$F$34</f>
        <v>28.396015612294686</v>
      </c>
      <c r="J27" s="402">
        <f t="shared" si="3"/>
        <v>0.30097136974495842</v>
      </c>
    </row>
    <row r="28" spans="1:10" s="380" customFormat="1" ht="10.5" x14ac:dyDescent="0.2">
      <c r="A28" s="381">
        <v>26</v>
      </c>
      <c r="B28" s="382" t="s">
        <v>356</v>
      </c>
      <c r="C28" s="384">
        <v>848.8</v>
      </c>
      <c r="D28" s="383">
        <v>100</v>
      </c>
      <c r="E28" s="379">
        <f t="shared" si="0"/>
        <v>1.626280696048138E-2</v>
      </c>
      <c r="F28" s="377">
        <f t="shared" si="1"/>
        <v>157.06318100504149</v>
      </c>
      <c r="G28" s="377">
        <f t="shared" si="2"/>
        <v>34.553899821109127</v>
      </c>
      <c r="H28" s="377">
        <f>F28*'92'!$C$20/100</f>
        <v>31.237803024645945</v>
      </c>
      <c r="I28" s="377">
        <f>E28*'мат вода'!$F$34</f>
        <v>28.396015612294686</v>
      </c>
      <c r="J28" s="402">
        <f t="shared" si="3"/>
        <v>0.29600718598384929</v>
      </c>
    </row>
    <row r="29" spans="1:10" s="380" customFormat="1" ht="10.5" x14ac:dyDescent="0.2">
      <c r="A29" s="381">
        <v>27</v>
      </c>
      <c r="B29" s="382" t="s">
        <v>357</v>
      </c>
      <c r="C29" s="384">
        <v>646.76</v>
      </c>
      <c r="D29" s="383">
        <v>90</v>
      </c>
      <c r="E29" s="379">
        <f t="shared" si="0"/>
        <v>1.4636526264433241E-2</v>
      </c>
      <c r="F29" s="377">
        <f t="shared" si="1"/>
        <v>141.35686290453734</v>
      </c>
      <c r="G29" s="377">
        <f t="shared" si="2"/>
        <v>31.098509838998215</v>
      </c>
      <c r="H29" s="377">
        <f>F29*'92'!$C$20/100</f>
        <v>28.114022722181353</v>
      </c>
      <c r="I29" s="377">
        <f>E29*'мат вода'!$F$34</f>
        <v>25.556414051065214</v>
      </c>
      <c r="J29" s="402">
        <f t="shared" si="3"/>
        <v>0.34962862501821712</v>
      </c>
    </row>
    <row r="30" spans="1:10" s="380" customFormat="1" ht="10.5" x14ac:dyDescent="0.2">
      <c r="A30" s="381">
        <v>28</v>
      </c>
      <c r="B30" s="382" t="s">
        <v>358</v>
      </c>
      <c r="C30" s="384">
        <v>638.20000000000005</v>
      </c>
      <c r="D30" s="383">
        <v>90</v>
      </c>
      <c r="E30" s="379">
        <f t="shared" si="0"/>
        <v>1.4636526264433241E-2</v>
      </c>
      <c r="F30" s="377">
        <f t="shared" si="1"/>
        <v>141.35686290453734</v>
      </c>
      <c r="G30" s="377">
        <f t="shared" si="2"/>
        <v>31.098509838998215</v>
      </c>
      <c r="H30" s="377">
        <f>F30*'92'!$C$20/100</f>
        <v>28.114022722181353</v>
      </c>
      <c r="I30" s="377">
        <f>E30*'мат вода'!$F$34</f>
        <v>25.556414051065214</v>
      </c>
      <c r="J30" s="402">
        <f t="shared" si="3"/>
        <v>0.35431809701783468</v>
      </c>
    </row>
    <row r="31" spans="1:10" s="380" customFormat="1" ht="10.5" x14ac:dyDescent="0.2">
      <c r="A31" s="381">
        <v>29</v>
      </c>
      <c r="B31" s="382" t="s">
        <v>359</v>
      </c>
      <c r="C31" s="384">
        <v>385.2</v>
      </c>
      <c r="D31" s="383">
        <v>20</v>
      </c>
      <c r="E31" s="379">
        <f t="shared" si="0"/>
        <v>3.2525613920962758E-3</v>
      </c>
      <c r="F31" s="377">
        <f t="shared" si="1"/>
        <v>31.412636201008294</v>
      </c>
      <c r="G31" s="377">
        <f t="shared" si="2"/>
        <v>6.9107799642218239</v>
      </c>
      <c r="H31" s="377">
        <f>F31*'92'!$C$20/100</f>
        <v>6.2475606049291885</v>
      </c>
      <c r="I31" s="377">
        <f>E31*'мат вода'!$F$34</f>
        <v>5.6792031224589365</v>
      </c>
      <c r="J31" s="402">
        <f t="shared" si="3"/>
        <v>0.13045218040658943</v>
      </c>
    </row>
    <row r="32" spans="1:10" s="380" customFormat="1" ht="10.5" x14ac:dyDescent="0.2">
      <c r="A32" s="381">
        <v>30</v>
      </c>
      <c r="B32" s="382" t="s">
        <v>360</v>
      </c>
      <c r="C32" s="384">
        <v>398.4</v>
      </c>
      <c r="D32" s="383">
        <v>20</v>
      </c>
      <c r="E32" s="379">
        <f t="shared" si="0"/>
        <v>3.2525613920962758E-3</v>
      </c>
      <c r="F32" s="377">
        <f t="shared" si="1"/>
        <v>31.412636201008294</v>
      </c>
      <c r="G32" s="377">
        <f t="shared" si="2"/>
        <v>6.9107799642218239</v>
      </c>
      <c r="H32" s="377">
        <f>F32*'92'!$C$20/100</f>
        <v>6.2475606049291885</v>
      </c>
      <c r="I32" s="377">
        <f>E32*'мат вода'!$F$34</f>
        <v>5.6792031224589365</v>
      </c>
      <c r="J32" s="402">
        <f t="shared" si="3"/>
        <v>0.12612996960998554</v>
      </c>
    </row>
    <row r="33" spans="1:10" s="380" customFormat="1" ht="10.5" x14ac:dyDescent="0.2">
      <c r="A33" s="381">
        <v>31</v>
      </c>
      <c r="B33" s="382" t="s">
        <v>361</v>
      </c>
      <c r="C33" s="384">
        <v>977.25</v>
      </c>
      <c r="D33" s="383">
        <v>81</v>
      </c>
      <c r="E33" s="379">
        <f t="shared" si="0"/>
        <v>1.3172873637989918E-2</v>
      </c>
      <c r="F33" s="377">
        <f t="shared" si="1"/>
        <v>127.2211766140836</v>
      </c>
      <c r="G33" s="377">
        <f t="shared" si="2"/>
        <v>27.988658855098393</v>
      </c>
      <c r="H33" s="377">
        <f>F33*'92'!$C$20/100</f>
        <v>25.302620449963214</v>
      </c>
      <c r="I33" s="377">
        <f>E33*'мат вода'!$F$34</f>
        <v>23.000772645958694</v>
      </c>
      <c r="J33" s="402">
        <f t="shared" si="3"/>
        <v>0.20825093739074335</v>
      </c>
    </row>
    <row r="34" spans="1:10" s="380" customFormat="1" ht="10.5" x14ac:dyDescent="0.2">
      <c r="A34" s="381">
        <v>32</v>
      </c>
      <c r="B34" s="382" t="s">
        <v>362</v>
      </c>
      <c r="C34" s="384">
        <v>796.2</v>
      </c>
      <c r="D34" s="383">
        <v>240</v>
      </c>
      <c r="E34" s="379">
        <f t="shared" si="0"/>
        <v>3.9030736705155313E-2</v>
      </c>
      <c r="F34" s="377">
        <f t="shared" si="1"/>
        <v>376.95163441209957</v>
      </c>
      <c r="G34" s="377">
        <f t="shared" si="2"/>
        <v>82.929359570661916</v>
      </c>
      <c r="H34" s="377">
        <f>F34*'92'!$C$20/100</f>
        <v>74.970727259150266</v>
      </c>
      <c r="I34" s="377">
        <f>E34*'мат вода'!$F$34</f>
        <v>68.150437469507253</v>
      </c>
      <c r="J34" s="402">
        <f t="shared" si="3"/>
        <v>0.7573501114185115</v>
      </c>
    </row>
    <row r="35" spans="1:10" s="380" customFormat="1" ht="10.5" x14ac:dyDescent="0.2">
      <c r="A35" s="381">
        <v>33</v>
      </c>
      <c r="B35" s="382" t="s">
        <v>363</v>
      </c>
      <c r="C35" s="384">
        <v>394.3</v>
      </c>
      <c r="D35" s="383">
        <v>70</v>
      </c>
      <c r="E35" s="379">
        <f t="shared" si="0"/>
        <v>1.1383964872336965E-2</v>
      </c>
      <c r="F35" s="377">
        <f t="shared" si="1"/>
        <v>109.94422670352903</v>
      </c>
      <c r="G35" s="377">
        <f t="shared" si="2"/>
        <v>24.187729874776387</v>
      </c>
      <c r="H35" s="377">
        <f>F35*'92'!$C$20/100</f>
        <v>21.866462117252158</v>
      </c>
      <c r="I35" s="377">
        <f>E35*'мат вода'!$F$34</f>
        <v>19.877210928606278</v>
      </c>
      <c r="J35" s="402">
        <f t="shared" si="3"/>
        <v>0.44604521842293643</v>
      </c>
    </row>
    <row r="36" spans="1:10" s="380" customFormat="1" ht="10.5" x14ac:dyDescent="0.2">
      <c r="A36" s="381">
        <v>34</v>
      </c>
      <c r="B36" s="382" t="s">
        <v>364</v>
      </c>
      <c r="C36" s="384">
        <v>462.9</v>
      </c>
      <c r="D36" s="383">
        <v>40</v>
      </c>
      <c r="E36" s="379">
        <f t="shared" si="0"/>
        <v>6.5051227841925515E-3</v>
      </c>
      <c r="F36" s="377">
        <f t="shared" si="1"/>
        <v>62.825272402016587</v>
      </c>
      <c r="G36" s="377">
        <f t="shared" si="2"/>
        <v>13.821559928443648</v>
      </c>
      <c r="H36" s="377">
        <f>F36*'92'!$C$20/100</f>
        <v>12.495121209858377</v>
      </c>
      <c r="I36" s="377">
        <f>E36*'мат вода'!$F$34</f>
        <v>11.358406244917873</v>
      </c>
      <c r="J36" s="402">
        <f t="shared" si="3"/>
        <v>0.21711030413747351</v>
      </c>
    </row>
    <row r="37" spans="1:10" s="380" customFormat="1" ht="10.5" x14ac:dyDescent="0.2">
      <c r="A37" s="381">
        <v>35</v>
      </c>
      <c r="B37" s="382" t="s">
        <v>365</v>
      </c>
      <c r="C37" s="384">
        <v>411.79</v>
      </c>
      <c r="D37" s="383">
        <v>50</v>
      </c>
      <c r="E37" s="379">
        <f t="shared" si="0"/>
        <v>8.1314034802406898E-3</v>
      </c>
      <c r="F37" s="377">
        <f t="shared" si="1"/>
        <v>78.531590502520743</v>
      </c>
      <c r="G37" s="377">
        <f t="shared" si="2"/>
        <v>17.276949910554563</v>
      </c>
      <c r="H37" s="377">
        <f>F37*'92'!$C$20/100</f>
        <v>15.618901512322973</v>
      </c>
      <c r="I37" s="377">
        <f>E37*'мат вода'!$F$34</f>
        <v>14.198007806147343</v>
      </c>
      <c r="J37" s="402">
        <f t="shared" si="3"/>
        <v>0.30507163780457425</v>
      </c>
    </row>
    <row r="38" spans="1:10" s="380" customFormat="1" ht="10.5" x14ac:dyDescent="0.2">
      <c r="A38" s="381">
        <v>36</v>
      </c>
      <c r="B38" s="382" t="s">
        <v>366</v>
      </c>
      <c r="C38" s="384">
        <v>674.2</v>
      </c>
      <c r="D38" s="383">
        <v>80</v>
      </c>
      <c r="E38" s="379">
        <f t="shared" si="0"/>
        <v>1.3010245568385103E-2</v>
      </c>
      <c r="F38" s="377">
        <f t="shared" si="1"/>
        <v>125.65054480403317</v>
      </c>
      <c r="G38" s="377">
        <f t="shared" si="2"/>
        <v>27.643119856887296</v>
      </c>
      <c r="H38" s="377">
        <f>F38*'92'!$C$20/100</f>
        <v>24.990242419716754</v>
      </c>
      <c r="I38" s="377">
        <f>E38*'мат вода'!$F$34</f>
        <v>22.716812489835746</v>
      </c>
      <c r="J38" s="402">
        <f t="shared" si="3"/>
        <v>0.29813218565777655</v>
      </c>
    </row>
    <row r="39" spans="1:10" s="380" customFormat="1" ht="10.5" x14ac:dyDescent="0.2">
      <c r="A39" s="381">
        <v>37</v>
      </c>
      <c r="B39" s="382" t="s">
        <v>367</v>
      </c>
      <c r="C39" s="384">
        <v>169</v>
      </c>
      <c r="D39" s="383">
        <v>20</v>
      </c>
      <c r="E39" s="379">
        <f t="shared" si="0"/>
        <v>3.2525613920962758E-3</v>
      </c>
      <c r="F39" s="377">
        <f t="shared" si="1"/>
        <v>31.412636201008294</v>
      </c>
      <c r="G39" s="377">
        <f t="shared" si="2"/>
        <v>6.9107799642218239</v>
      </c>
      <c r="H39" s="377">
        <f>F39*'92'!$C$20/100</f>
        <v>6.2475606049291885</v>
      </c>
      <c r="I39" s="377">
        <f>E39*'мат вода'!$F$34</f>
        <v>5.6792031224589365</v>
      </c>
      <c r="J39" s="402">
        <f t="shared" si="3"/>
        <v>0.29733834255987124</v>
      </c>
    </row>
    <row r="40" spans="1:10" s="380" customFormat="1" ht="10.5" x14ac:dyDescent="0.2">
      <c r="A40" s="381">
        <v>38</v>
      </c>
      <c r="B40" s="382" t="s">
        <v>368</v>
      </c>
      <c r="C40" s="384">
        <v>175.4</v>
      </c>
      <c r="D40" s="383">
        <v>20</v>
      </c>
      <c r="E40" s="379">
        <f t="shared" si="0"/>
        <v>3.2525613920962758E-3</v>
      </c>
      <c r="F40" s="377">
        <f t="shared" si="1"/>
        <v>31.412636201008294</v>
      </c>
      <c r="G40" s="377">
        <f t="shared" si="2"/>
        <v>6.9107799642218239</v>
      </c>
      <c r="H40" s="377">
        <f>F40*'92'!$C$20/100</f>
        <v>6.2475606049291885</v>
      </c>
      <c r="I40" s="377">
        <f>E40*'мат вода'!$F$34</f>
        <v>5.6792031224589365</v>
      </c>
      <c r="J40" s="402">
        <f t="shared" si="3"/>
        <v>0.28648905297957949</v>
      </c>
    </row>
    <row r="41" spans="1:10" s="380" customFormat="1" ht="10.5" x14ac:dyDescent="0.2">
      <c r="A41" s="381">
        <v>39</v>
      </c>
      <c r="B41" s="382" t="s">
        <v>369</v>
      </c>
      <c r="C41" s="384">
        <v>173.5</v>
      </c>
      <c r="D41" s="383">
        <v>20</v>
      </c>
      <c r="E41" s="379">
        <f t="shared" si="0"/>
        <v>3.2525613920962758E-3</v>
      </c>
      <c r="F41" s="377">
        <f t="shared" si="1"/>
        <v>31.412636201008294</v>
      </c>
      <c r="G41" s="377">
        <f t="shared" si="2"/>
        <v>6.9107799642218239</v>
      </c>
      <c r="H41" s="377">
        <f>F41*'92'!$C$20/100</f>
        <v>6.2475606049291885</v>
      </c>
      <c r="I41" s="377">
        <f>E41*'мат вода'!$F$34</f>
        <v>5.6792031224589365</v>
      </c>
      <c r="J41" s="402">
        <f t="shared" si="3"/>
        <v>0.28962639707560944</v>
      </c>
    </row>
    <row r="42" spans="1:10" s="380" customFormat="1" ht="10.5" x14ac:dyDescent="0.2">
      <c r="A42" s="381">
        <v>40</v>
      </c>
      <c r="B42" s="382" t="s">
        <v>370</v>
      </c>
      <c r="C42" s="384">
        <v>182</v>
      </c>
      <c r="D42" s="383">
        <v>20</v>
      </c>
      <c r="E42" s="379">
        <f t="shared" si="0"/>
        <v>3.2525613920962758E-3</v>
      </c>
      <c r="F42" s="377">
        <f t="shared" si="1"/>
        <v>31.412636201008294</v>
      </c>
      <c r="G42" s="377">
        <f t="shared" si="2"/>
        <v>6.9107799642218239</v>
      </c>
      <c r="H42" s="377">
        <f>F42*'92'!$C$20/100</f>
        <v>6.2475606049291885</v>
      </c>
      <c r="I42" s="377">
        <f>E42*'мат вода'!$F$34</f>
        <v>5.6792031224589365</v>
      </c>
      <c r="J42" s="402">
        <f t="shared" si="3"/>
        <v>0.27609988951988046</v>
      </c>
    </row>
    <row r="43" spans="1:10" s="380" customFormat="1" ht="10.5" x14ac:dyDescent="0.2">
      <c r="A43" s="381">
        <v>41</v>
      </c>
      <c r="B43" s="382" t="s">
        <v>371</v>
      </c>
      <c r="C43" s="384">
        <v>629.6</v>
      </c>
      <c r="D43" s="383">
        <v>105</v>
      </c>
      <c r="E43" s="379">
        <f t="shared" si="0"/>
        <v>1.7075947308505448E-2</v>
      </c>
      <c r="F43" s="377">
        <f t="shared" si="1"/>
        <v>164.91634005529355</v>
      </c>
      <c r="G43" s="377">
        <f t="shared" si="2"/>
        <v>36.281594812164577</v>
      </c>
      <c r="H43" s="377">
        <f>F43*'92'!$C$20/100</f>
        <v>32.79969317587824</v>
      </c>
      <c r="I43" s="377">
        <f>E43*'мат вода'!$F$34</f>
        <v>29.815816392909419</v>
      </c>
      <c r="J43" s="402">
        <f t="shared" si="3"/>
        <v>0.41901754198895452</v>
      </c>
    </row>
    <row r="44" spans="1:10" s="380" customFormat="1" ht="10.5" x14ac:dyDescent="0.2">
      <c r="A44" s="381">
        <v>42</v>
      </c>
      <c r="B44" s="382" t="s">
        <v>372</v>
      </c>
      <c r="C44" s="384">
        <v>628.9</v>
      </c>
      <c r="D44" s="383">
        <v>105</v>
      </c>
      <c r="E44" s="379">
        <f t="shared" si="0"/>
        <v>1.7075947308505448E-2</v>
      </c>
      <c r="F44" s="377">
        <f t="shared" si="1"/>
        <v>164.91634005529355</v>
      </c>
      <c r="G44" s="377">
        <f t="shared" si="2"/>
        <v>36.281594812164577</v>
      </c>
      <c r="H44" s="377">
        <f>F44*'92'!$C$20/100</f>
        <v>32.79969317587824</v>
      </c>
      <c r="I44" s="377">
        <f>E44*'мат вода'!$F$34</f>
        <v>29.815816392909419</v>
      </c>
      <c r="J44" s="402">
        <f t="shared" si="3"/>
        <v>0.41948393136626777</v>
      </c>
    </row>
    <row r="45" spans="1:10" s="380" customFormat="1" ht="10.5" x14ac:dyDescent="0.2">
      <c r="A45" s="381">
        <v>43</v>
      </c>
      <c r="B45" s="382" t="s">
        <v>373</v>
      </c>
      <c r="C45" s="384">
        <v>509.3</v>
      </c>
      <c r="D45" s="383">
        <v>105</v>
      </c>
      <c r="E45" s="379">
        <f t="shared" si="0"/>
        <v>1.7075947308505448E-2</v>
      </c>
      <c r="F45" s="377">
        <f t="shared" si="1"/>
        <v>164.91634005529355</v>
      </c>
      <c r="G45" s="377">
        <f t="shared" si="2"/>
        <v>36.281594812164577</v>
      </c>
      <c r="H45" s="377">
        <f>F45*'92'!$C$20/100</f>
        <v>32.79969317587824</v>
      </c>
      <c r="I45" s="377">
        <f>E45*'мат вода'!$F$34</f>
        <v>29.815816392909419</v>
      </c>
      <c r="J45" s="402">
        <f t="shared" si="3"/>
        <v>0.51799223333250699</v>
      </c>
    </row>
    <row r="46" spans="1:10" s="380" customFormat="1" ht="10.5" x14ac:dyDescent="0.2">
      <c r="A46" s="381">
        <v>44</v>
      </c>
      <c r="B46" s="382" t="s">
        <v>374</v>
      </c>
      <c r="C46" s="384">
        <v>404.4</v>
      </c>
      <c r="D46" s="383">
        <v>34</v>
      </c>
      <c r="E46" s="379">
        <f t="shared" si="0"/>
        <v>5.5293543665636685E-3</v>
      </c>
      <c r="F46" s="377">
        <f t="shared" si="1"/>
        <v>53.401481541714098</v>
      </c>
      <c r="G46" s="377">
        <f t="shared" si="2"/>
        <v>11.748325939177102</v>
      </c>
      <c r="H46" s="377">
        <f>F46*'92'!$C$20/100</f>
        <v>10.620853028379621</v>
      </c>
      <c r="I46" s="377">
        <f>E46*'мат вода'!$F$34</f>
        <v>9.6546453081801928</v>
      </c>
      <c r="J46" s="402">
        <f t="shared" si="3"/>
        <v>0.21123962862871171</v>
      </c>
    </row>
    <row r="47" spans="1:10" s="380" customFormat="1" ht="10.5" x14ac:dyDescent="0.2">
      <c r="A47" s="381">
        <v>45</v>
      </c>
      <c r="B47" s="382" t="s">
        <v>375</v>
      </c>
      <c r="C47" s="384">
        <v>409.8</v>
      </c>
      <c r="D47" s="383">
        <v>48</v>
      </c>
      <c r="E47" s="379">
        <f t="shared" si="0"/>
        <v>7.8061473410310622E-3</v>
      </c>
      <c r="F47" s="377">
        <f t="shared" si="1"/>
        <v>75.390326882419913</v>
      </c>
      <c r="G47" s="377">
        <f t="shared" si="2"/>
        <v>16.58587191413238</v>
      </c>
      <c r="H47" s="377">
        <f>F47*'92'!$C$20/100</f>
        <v>14.994145451830054</v>
      </c>
      <c r="I47" s="377">
        <f>E47*'мат вода'!$F$34</f>
        <v>13.630087493901449</v>
      </c>
      <c r="J47" s="402">
        <f t="shared" si="3"/>
        <v>0.2942909510548653</v>
      </c>
    </row>
    <row r="48" spans="1:10" s="380" customFormat="1" ht="10.5" x14ac:dyDescent="0.2">
      <c r="A48" s="381">
        <v>46</v>
      </c>
      <c r="B48" s="382" t="s">
        <v>376</v>
      </c>
      <c r="C48" s="384">
        <v>374.7</v>
      </c>
      <c r="D48" s="383">
        <v>30</v>
      </c>
      <c r="E48" s="379">
        <f t="shared" si="0"/>
        <v>4.8788420881444141E-3</v>
      </c>
      <c r="F48" s="377">
        <f t="shared" si="1"/>
        <v>47.118954301512446</v>
      </c>
      <c r="G48" s="377">
        <f t="shared" si="2"/>
        <v>10.366169946332739</v>
      </c>
      <c r="H48" s="377">
        <f>F48*'92'!$C$20/100</f>
        <v>9.3713409073937832</v>
      </c>
      <c r="I48" s="377">
        <f>E48*'мат вода'!$F$34</f>
        <v>8.5188046836884066</v>
      </c>
      <c r="J48" s="402">
        <f t="shared" si="3"/>
        <v>0.20116164888958465</v>
      </c>
    </row>
    <row r="49" spans="1:10" s="380" customFormat="1" ht="10.5" x14ac:dyDescent="0.2">
      <c r="A49" s="381">
        <v>47</v>
      </c>
      <c r="B49" s="382" t="s">
        <v>377</v>
      </c>
      <c r="C49" s="384">
        <v>618.4</v>
      </c>
      <c r="D49" s="383">
        <v>73</v>
      </c>
      <c r="E49" s="379">
        <f t="shared" si="0"/>
        <v>1.1871849081151407E-2</v>
      </c>
      <c r="F49" s="377">
        <f t="shared" si="1"/>
        <v>114.65612213368028</v>
      </c>
      <c r="G49" s="377">
        <f t="shared" si="2"/>
        <v>25.224346869409665</v>
      </c>
      <c r="H49" s="377">
        <f>F49*'92'!$C$20/100</f>
        <v>22.803596207991539</v>
      </c>
      <c r="I49" s="377">
        <f>E49*'мат вода'!$F$34</f>
        <v>20.729091396975122</v>
      </c>
      <c r="J49" s="402">
        <f t="shared" si="3"/>
        <v>0.29659307342829339</v>
      </c>
    </row>
    <row r="50" spans="1:10" s="380" customFormat="1" ht="10.5" x14ac:dyDescent="0.2">
      <c r="A50" s="381">
        <v>48</v>
      </c>
      <c r="B50" s="382" t="s">
        <v>378</v>
      </c>
      <c r="C50" s="384">
        <v>1126.3</v>
      </c>
      <c r="D50" s="383">
        <v>111</v>
      </c>
      <c r="E50" s="379">
        <f t="shared" si="0"/>
        <v>1.8051715726134329E-2</v>
      </c>
      <c r="F50" s="377">
        <f t="shared" si="1"/>
        <v>174.34013091559603</v>
      </c>
      <c r="G50" s="377">
        <f t="shared" si="2"/>
        <v>38.354828801431125</v>
      </c>
      <c r="H50" s="377">
        <f>F50*'92'!$C$20/100</f>
        <v>34.673961357357001</v>
      </c>
      <c r="I50" s="377">
        <f>E50*'мат вода'!$F$34</f>
        <v>31.519577329647095</v>
      </c>
      <c r="J50" s="402">
        <f t="shared" si="3"/>
        <v>0.24761475486462869</v>
      </c>
    </row>
    <row r="51" spans="1:10" s="380" customFormat="1" ht="10.5" x14ac:dyDescent="0.2">
      <c r="A51" s="381">
        <v>49</v>
      </c>
      <c r="B51" s="382" t="s">
        <v>379</v>
      </c>
      <c r="C51" s="384">
        <v>617</v>
      </c>
      <c r="D51" s="383">
        <v>132</v>
      </c>
      <c r="E51" s="379">
        <f t="shared" si="0"/>
        <v>2.1466905187835419E-2</v>
      </c>
      <c r="F51" s="377">
        <f t="shared" si="1"/>
        <v>207.32339892665473</v>
      </c>
      <c r="G51" s="377">
        <f t="shared" si="2"/>
        <v>45.611147763864039</v>
      </c>
      <c r="H51" s="377">
        <f>F51*'92'!$C$20/100</f>
        <v>41.233899992532642</v>
      </c>
      <c r="I51" s="377">
        <f>E51*'мат вода'!$F$34</f>
        <v>37.48274060822898</v>
      </c>
      <c r="J51" s="402">
        <f t="shared" si="3"/>
        <v>0.53752218361633775</v>
      </c>
    </row>
    <row r="52" spans="1:10" s="380" customFormat="1" ht="10.5" x14ac:dyDescent="0.2">
      <c r="A52" s="381">
        <v>50</v>
      </c>
      <c r="B52" s="382" t="s">
        <v>380</v>
      </c>
      <c r="C52" s="384">
        <v>452</v>
      </c>
      <c r="D52" s="383">
        <v>50</v>
      </c>
      <c r="E52" s="379">
        <f t="shared" si="0"/>
        <v>8.1314034802406898E-3</v>
      </c>
      <c r="F52" s="377">
        <f t="shared" si="1"/>
        <v>78.531590502520743</v>
      </c>
      <c r="G52" s="377">
        <f t="shared" si="2"/>
        <v>17.276949910554563</v>
      </c>
      <c r="H52" s="377">
        <f>F52*'92'!$C$20/100</f>
        <v>15.618901512322973</v>
      </c>
      <c r="I52" s="377">
        <f>E52*'мат вода'!$F$34</f>
        <v>14.198007806147343</v>
      </c>
      <c r="J52" s="402">
        <f t="shared" si="3"/>
        <v>0.27793241091049919</v>
      </c>
    </row>
    <row r="53" spans="1:10" s="380" customFormat="1" ht="10.5" x14ac:dyDescent="0.2">
      <c r="A53" s="381">
        <v>51</v>
      </c>
      <c r="B53" s="382" t="s">
        <v>381</v>
      </c>
      <c r="C53" s="384">
        <v>1245.5999999999999</v>
      </c>
      <c r="D53" s="383">
        <v>94</v>
      </c>
      <c r="E53" s="379">
        <f t="shared" si="0"/>
        <v>1.5287038542852497E-2</v>
      </c>
      <c r="F53" s="377">
        <f t="shared" si="1"/>
        <v>147.639390144739</v>
      </c>
      <c r="G53" s="377">
        <f t="shared" si="2"/>
        <v>32.480665831842579</v>
      </c>
      <c r="H53" s="377">
        <f>F53*'92'!$C$20/100</f>
        <v>29.363534843167191</v>
      </c>
      <c r="I53" s="377">
        <f>E53*'мат вода'!$F$34</f>
        <v>26.692254675557002</v>
      </c>
      <c r="J53" s="402">
        <f t="shared" si="3"/>
        <v>0.18960809689732319</v>
      </c>
    </row>
    <row r="54" spans="1:10" s="380" customFormat="1" ht="10.5" x14ac:dyDescent="0.2">
      <c r="A54" s="381">
        <v>52</v>
      </c>
      <c r="B54" s="382" t="s">
        <v>382</v>
      </c>
      <c r="C54" s="384">
        <v>1275.5999999999999</v>
      </c>
      <c r="D54" s="383">
        <v>95</v>
      </c>
      <c r="E54" s="379">
        <f t="shared" si="0"/>
        <v>1.544966661245731E-2</v>
      </c>
      <c r="F54" s="377">
        <f t="shared" si="1"/>
        <v>149.2100219547894</v>
      </c>
      <c r="G54" s="377">
        <f t="shared" si="2"/>
        <v>32.826204830053669</v>
      </c>
      <c r="H54" s="377">
        <f>F54*'92'!$C$20/100</f>
        <v>29.675912873413644</v>
      </c>
      <c r="I54" s="377">
        <f>E54*'мат вода'!$F$34</f>
        <v>26.97621483167995</v>
      </c>
      <c r="J54" s="402">
        <f t="shared" si="3"/>
        <v>0.18711849677793718</v>
      </c>
    </row>
    <row r="55" spans="1:10" s="380" customFormat="1" ht="10.5" x14ac:dyDescent="0.2">
      <c r="A55" s="381">
        <v>53</v>
      </c>
      <c r="B55" s="382" t="s">
        <v>383</v>
      </c>
      <c r="C55" s="384">
        <v>942.4</v>
      </c>
      <c r="D55" s="383">
        <v>150</v>
      </c>
      <c r="E55" s="379">
        <f t="shared" si="0"/>
        <v>2.4394210440722069E-2</v>
      </c>
      <c r="F55" s="377">
        <f t="shared" si="1"/>
        <v>235.59477150756223</v>
      </c>
      <c r="G55" s="377">
        <f t="shared" si="2"/>
        <v>51.83084973166369</v>
      </c>
      <c r="H55" s="377">
        <f>F55*'92'!$C$20/100</f>
        <v>46.85670453696892</v>
      </c>
      <c r="I55" s="377">
        <f>E55*'мат вода'!$F$34</f>
        <v>42.594023418442028</v>
      </c>
      <c r="J55" s="402">
        <f t="shared" si="3"/>
        <v>0.39991123641196613</v>
      </c>
    </row>
    <row r="56" spans="1:10" s="380" customFormat="1" ht="10.5" x14ac:dyDescent="0.2">
      <c r="A56" s="381">
        <v>54</v>
      </c>
      <c r="B56" s="382" t="s">
        <v>384</v>
      </c>
      <c r="C56" s="384">
        <v>567.95000000000005</v>
      </c>
      <c r="D56" s="383">
        <v>40</v>
      </c>
      <c r="E56" s="379">
        <f t="shared" si="0"/>
        <v>6.5051227841925515E-3</v>
      </c>
      <c r="F56" s="377">
        <f t="shared" si="1"/>
        <v>62.825272402016587</v>
      </c>
      <c r="G56" s="377">
        <f t="shared" si="2"/>
        <v>13.821559928443648</v>
      </c>
      <c r="H56" s="377">
        <f>F56*'92'!$C$20/100</f>
        <v>12.495121209858377</v>
      </c>
      <c r="I56" s="377">
        <f>E56*'мат вода'!$F$34</f>
        <v>11.358406244917873</v>
      </c>
      <c r="J56" s="402">
        <f t="shared" si="3"/>
        <v>0.17695282997664666</v>
      </c>
    </row>
    <row r="57" spans="1:10" s="380" customFormat="1" ht="10.5" x14ac:dyDescent="0.2">
      <c r="A57" s="381">
        <v>55</v>
      </c>
      <c r="B57" s="382" t="s">
        <v>385</v>
      </c>
      <c r="C57" s="384">
        <v>1119.5999999999999</v>
      </c>
      <c r="D57" s="383">
        <v>190</v>
      </c>
      <c r="E57" s="379">
        <f t="shared" si="0"/>
        <v>3.0899333224914619E-2</v>
      </c>
      <c r="F57" s="377">
        <f t="shared" si="1"/>
        <v>298.42004390957879</v>
      </c>
      <c r="G57" s="377">
        <f t="shared" si="2"/>
        <v>65.652409660107338</v>
      </c>
      <c r="H57" s="377">
        <f>F57*'92'!$C$20/100</f>
        <v>59.351825746827288</v>
      </c>
      <c r="I57" s="377">
        <f>E57*'мат вода'!$F$34</f>
        <v>53.952429663359901</v>
      </c>
      <c r="J57" s="402">
        <f t="shared" si="3"/>
        <v>0.42638148354758248</v>
      </c>
    </row>
    <row r="58" spans="1:10" s="380" customFormat="1" ht="10.5" x14ac:dyDescent="0.2">
      <c r="A58" s="381">
        <v>56</v>
      </c>
      <c r="B58" s="382" t="s">
        <v>386</v>
      </c>
      <c r="C58" s="384">
        <v>946.6</v>
      </c>
      <c r="D58" s="383">
        <v>190</v>
      </c>
      <c r="E58" s="379">
        <f t="shared" si="0"/>
        <v>3.0899333224914619E-2</v>
      </c>
      <c r="F58" s="377">
        <f t="shared" si="1"/>
        <v>298.42004390957879</v>
      </c>
      <c r="G58" s="377">
        <f t="shared" si="2"/>
        <v>65.652409660107338</v>
      </c>
      <c r="H58" s="377">
        <f>F58*'92'!$C$20/100</f>
        <v>59.351825746827288</v>
      </c>
      <c r="I58" s="377">
        <f>E58*'мат вода'!$F$34</f>
        <v>53.952429663359901</v>
      </c>
      <c r="J58" s="402">
        <f t="shared" si="3"/>
        <v>0.50430668601296569</v>
      </c>
    </row>
    <row r="59" spans="1:10" s="380" customFormat="1" ht="10.5" x14ac:dyDescent="0.2">
      <c r="A59" s="381">
        <v>57</v>
      </c>
      <c r="B59" s="382" t="s">
        <v>387</v>
      </c>
      <c r="C59" s="384">
        <v>1375.7</v>
      </c>
      <c r="D59" s="383">
        <v>150</v>
      </c>
      <c r="E59" s="379">
        <f t="shared" si="0"/>
        <v>2.4394210440722069E-2</v>
      </c>
      <c r="F59" s="377">
        <f t="shared" si="1"/>
        <v>235.59477150756223</v>
      </c>
      <c r="G59" s="377">
        <f t="shared" si="2"/>
        <v>51.83084973166369</v>
      </c>
      <c r="H59" s="377">
        <f>F59*'92'!$C$20/100</f>
        <v>46.85670453696892</v>
      </c>
      <c r="I59" s="377">
        <f>E59*'мат вода'!$F$34</f>
        <v>42.594023418442028</v>
      </c>
      <c r="J59" s="402">
        <f t="shared" si="3"/>
        <v>0.27395242363497629</v>
      </c>
    </row>
    <row r="60" spans="1:10" s="380" customFormat="1" ht="10.5" x14ac:dyDescent="0.2">
      <c r="A60" s="381">
        <v>58</v>
      </c>
      <c r="B60" s="382" t="s">
        <v>388</v>
      </c>
      <c r="C60" s="384">
        <v>1540.17</v>
      </c>
      <c r="D60" s="383">
        <v>172</v>
      </c>
      <c r="E60" s="379">
        <f t="shared" si="0"/>
        <v>2.7972027972027972E-2</v>
      </c>
      <c r="F60" s="377">
        <f t="shared" si="1"/>
        <v>270.14867132867136</v>
      </c>
      <c r="G60" s="377">
        <f t="shared" si="2"/>
        <v>59.432707692307694</v>
      </c>
      <c r="H60" s="377">
        <f>F60*'92'!$C$20/100</f>
        <v>53.729021202391031</v>
      </c>
      <c r="I60" s="377">
        <f>E60*'мат вода'!$F$34</f>
        <v>48.84114685314686</v>
      </c>
      <c r="J60" s="402">
        <f t="shared" si="3"/>
        <v>0.28058691383192569</v>
      </c>
    </row>
    <row r="61" spans="1:10" s="380" customFormat="1" ht="10.5" x14ac:dyDescent="0.2">
      <c r="A61" s="381">
        <v>59</v>
      </c>
      <c r="B61" s="382" t="s">
        <v>389</v>
      </c>
      <c r="C61" s="384">
        <v>1571.33</v>
      </c>
      <c r="D61" s="383">
        <v>176</v>
      </c>
      <c r="E61" s="379">
        <f t="shared" si="0"/>
        <v>2.8622540250447227E-2</v>
      </c>
      <c r="F61" s="377">
        <f t="shared" si="1"/>
        <v>276.43119856887301</v>
      </c>
      <c r="G61" s="377">
        <f t="shared" si="2"/>
        <v>60.814863685152069</v>
      </c>
      <c r="H61" s="377">
        <f>F61*'92'!$C$20/100</f>
        <v>54.978533323376865</v>
      </c>
      <c r="I61" s="377">
        <f>E61*'мат вода'!$F$34</f>
        <v>49.976987477638644</v>
      </c>
      <c r="J61" s="402">
        <f t="shared" si="3"/>
        <v>0.28141866002370008</v>
      </c>
    </row>
    <row r="62" spans="1:10" s="380" customFormat="1" ht="10.5" x14ac:dyDescent="0.2">
      <c r="A62" s="381">
        <v>60</v>
      </c>
      <c r="B62" s="382" t="s">
        <v>390</v>
      </c>
      <c r="C62" s="384">
        <v>1686.29</v>
      </c>
      <c r="D62" s="383">
        <v>80</v>
      </c>
      <c r="E62" s="379">
        <f t="shared" si="0"/>
        <v>1.3010245568385103E-2</v>
      </c>
      <c r="F62" s="377">
        <f t="shared" si="1"/>
        <v>125.65054480403317</v>
      </c>
      <c r="G62" s="377">
        <f t="shared" si="2"/>
        <v>27.643119856887296</v>
      </c>
      <c r="H62" s="377">
        <f>F62*'92'!$C$20/100</f>
        <v>24.990242419716754</v>
      </c>
      <c r="I62" s="377">
        <f>E62*'мат вода'!$F$34</f>
        <v>22.716812489835746</v>
      </c>
      <c r="J62" s="402">
        <f t="shared" si="3"/>
        <v>0.1191970061913864</v>
      </c>
    </row>
    <row r="63" spans="1:10" s="380" customFormat="1" ht="10.5" x14ac:dyDescent="0.2">
      <c r="A63" s="381">
        <v>61</v>
      </c>
      <c r="B63" s="382" t="s">
        <v>391</v>
      </c>
      <c r="C63" s="384">
        <v>454.2</v>
      </c>
      <c r="D63" s="383">
        <v>50</v>
      </c>
      <c r="E63" s="379">
        <f t="shared" si="0"/>
        <v>8.1314034802406898E-3</v>
      </c>
      <c r="F63" s="377">
        <f t="shared" si="1"/>
        <v>78.531590502520743</v>
      </c>
      <c r="G63" s="377">
        <f t="shared" si="2"/>
        <v>17.276949910554563</v>
      </c>
      <c r="H63" s="377">
        <f>F63*'92'!$C$20/100</f>
        <v>15.618901512322973</v>
      </c>
      <c r="I63" s="377">
        <f>E63*'мат вода'!$F$34</f>
        <v>14.198007806147343</v>
      </c>
      <c r="J63" s="402">
        <f t="shared" si="3"/>
        <v>0.27658619491753772</v>
      </c>
    </row>
    <row r="64" spans="1:10" s="380" customFormat="1" ht="10.5" x14ac:dyDescent="0.2">
      <c r="A64" s="381">
        <v>62</v>
      </c>
      <c r="B64" s="382" t="s">
        <v>392</v>
      </c>
      <c r="C64" s="384">
        <v>752.4</v>
      </c>
      <c r="D64" s="383">
        <v>75</v>
      </c>
      <c r="E64" s="379">
        <f t="shared" si="0"/>
        <v>1.2197105220361035E-2</v>
      </c>
      <c r="F64" s="377">
        <f t="shared" si="1"/>
        <v>117.79738575378111</v>
      </c>
      <c r="G64" s="377">
        <f t="shared" si="2"/>
        <v>25.915424865831845</v>
      </c>
      <c r="H64" s="377">
        <f>F64*'92'!$C$20/100</f>
        <v>23.42835226848446</v>
      </c>
      <c r="I64" s="377">
        <f>E64*'мат вода'!$F$34</f>
        <v>21.297011709221014</v>
      </c>
      <c r="J64" s="402">
        <f t="shared" si="3"/>
        <v>0.25044946118729194</v>
      </c>
    </row>
    <row r="65" spans="1:10" s="380" customFormat="1" ht="10.5" x14ac:dyDescent="0.2">
      <c r="A65" s="381">
        <v>63</v>
      </c>
      <c r="B65" s="382" t="s">
        <v>393</v>
      </c>
      <c r="C65" s="384">
        <v>956.4</v>
      </c>
      <c r="D65" s="383">
        <v>90</v>
      </c>
      <c r="E65" s="379">
        <f t="shared" si="0"/>
        <v>1.4636526264433241E-2</v>
      </c>
      <c r="F65" s="377">
        <f t="shared" si="1"/>
        <v>141.35686290453734</v>
      </c>
      <c r="G65" s="377">
        <f t="shared" si="2"/>
        <v>31.098509838998215</v>
      </c>
      <c r="H65" s="377">
        <f>F65*'92'!$C$20/100</f>
        <v>28.114022722181353</v>
      </c>
      <c r="I65" s="377">
        <f>E65*'мат вода'!$F$34</f>
        <v>25.556414051065214</v>
      </c>
      <c r="J65" s="402">
        <f t="shared" si="3"/>
        <v>0.23643434704807834</v>
      </c>
    </row>
    <row r="66" spans="1:10" s="380" customFormat="1" ht="10.5" x14ac:dyDescent="0.2">
      <c r="A66" s="381">
        <v>64</v>
      </c>
      <c r="B66" s="382" t="s">
        <v>394</v>
      </c>
      <c r="C66" s="384">
        <v>955.5</v>
      </c>
      <c r="D66" s="383">
        <v>150</v>
      </c>
      <c r="E66" s="379">
        <f t="shared" si="0"/>
        <v>2.4394210440722069E-2</v>
      </c>
      <c r="F66" s="377">
        <f t="shared" si="1"/>
        <v>235.59477150756223</v>
      </c>
      <c r="G66" s="377">
        <f t="shared" si="2"/>
        <v>51.83084973166369</v>
      </c>
      <c r="H66" s="377">
        <f>F66*'92'!$C$20/100</f>
        <v>46.85670453696892</v>
      </c>
      <c r="I66" s="377">
        <f>E66*'мат вода'!$F$34</f>
        <v>42.594023418442028</v>
      </c>
      <c r="J66" s="402">
        <f t="shared" si="3"/>
        <v>0.39442841359982928</v>
      </c>
    </row>
    <row r="67" spans="1:10" s="380" customFormat="1" ht="10.5" x14ac:dyDescent="0.2">
      <c r="A67" s="381">
        <v>65</v>
      </c>
      <c r="B67" s="382" t="s">
        <v>395</v>
      </c>
      <c r="C67" s="384">
        <v>1548.5</v>
      </c>
      <c r="D67" s="383">
        <v>168</v>
      </c>
      <c r="E67" s="379">
        <f t="shared" ref="E67:E130" si="4">D67/$E$163</f>
        <v>2.7321515693608717E-2</v>
      </c>
      <c r="F67" s="377">
        <f t="shared" ref="F67:F130" si="5">E67*$F$163</f>
        <v>263.8661440884697</v>
      </c>
      <c r="G67" s="377">
        <f t="shared" si="2"/>
        <v>58.050551699463334</v>
      </c>
      <c r="H67" s="377">
        <f>F67*'92'!$C$20/100</f>
        <v>52.479509081405197</v>
      </c>
      <c r="I67" s="377">
        <f>E67*'мат вода'!$F$34</f>
        <v>47.705306228655068</v>
      </c>
      <c r="J67" s="402">
        <f t="shared" si="3"/>
        <v>0.2725873497565342</v>
      </c>
    </row>
    <row r="68" spans="1:10" s="380" customFormat="1" ht="10.5" x14ac:dyDescent="0.2">
      <c r="A68" s="381">
        <v>66</v>
      </c>
      <c r="B68" s="382" t="s">
        <v>396</v>
      </c>
      <c r="C68" s="384">
        <v>1567.3</v>
      </c>
      <c r="D68" s="383">
        <v>168</v>
      </c>
      <c r="E68" s="379">
        <f t="shared" si="4"/>
        <v>2.7321515693608717E-2</v>
      </c>
      <c r="F68" s="377">
        <f t="shared" si="5"/>
        <v>263.8661440884697</v>
      </c>
      <c r="G68" s="377">
        <f t="shared" ref="G68:G131" si="6">F68*22/100</f>
        <v>58.050551699463334</v>
      </c>
      <c r="H68" s="377">
        <f>F68*'92'!$C$20/100</f>
        <v>52.479509081405197</v>
      </c>
      <c r="I68" s="377">
        <f>E68*'мат вода'!$F$34</f>
        <v>47.705306228655068</v>
      </c>
      <c r="J68" s="402">
        <f t="shared" ref="J68:J131" si="7">((F68+G68+H68+I68)/C68)</f>
        <v>0.26931762336374226</v>
      </c>
    </row>
    <row r="69" spans="1:10" s="380" customFormat="1" ht="10.5" x14ac:dyDescent="0.2">
      <c r="A69" s="381">
        <v>67</v>
      </c>
      <c r="B69" s="382" t="s">
        <v>397</v>
      </c>
      <c r="C69" s="384">
        <v>1558.46</v>
      </c>
      <c r="D69" s="383">
        <v>160</v>
      </c>
      <c r="E69" s="379">
        <f t="shared" si="4"/>
        <v>2.6020491136770206E-2</v>
      </c>
      <c r="F69" s="377">
        <f t="shared" si="5"/>
        <v>251.30108960806635</v>
      </c>
      <c r="G69" s="377">
        <f t="shared" si="6"/>
        <v>55.286239713774592</v>
      </c>
      <c r="H69" s="377">
        <f>F69*'92'!$C$20/100</f>
        <v>49.980484839433508</v>
      </c>
      <c r="I69" s="377">
        <f>E69*'мат вода'!$F$34</f>
        <v>45.433624979671492</v>
      </c>
      <c r="J69" s="402">
        <f t="shared" si="7"/>
        <v>0.25794787106563272</v>
      </c>
    </row>
    <row r="70" spans="1:10" s="380" customFormat="1" ht="10.5" x14ac:dyDescent="0.2">
      <c r="A70" s="381">
        <v>68</v>
      </c>
      <c r="B70" s="382" t="s">
        <v>398</v>
      </c>
      <c r="C70" s="384">
        <v>1575.7</v>
      </c>
      <c r="D70" s="383">
        <v>175</v>
      </c>
      <c r="E70" s="379">
        <f t="shared" si="4"/>
        <v>2.8459912180842414E-2</v>
      </c>
      <c r="F70" s="377">
        <f t="shared" si="5"/>
        <v>274.86056675882259</v>
      </c>
      <c r="G70" s="377">
        <f t="shared" si="6"/>
        <v>60.469324686940972</v>
      </c>
      <c r="H70" s="377">
        <f>F70*'92'!$C$20/100</f>
        <v>54.666155293130402</v>
      </c>
      <c r="I70" s="377">
        <f>E70*'мат вода'!$F$34</f>
        <v>49.6930273215157</v>
      </c>
      <c r="J70" s="402">
        <f t="shared" si="7"/>
        <v>0.27904364667158066</v>
      </c>
    </row>
    <row r="71" spans="1:10" s="380" customFormat="1" ht="10.5" x14ac:dyDescent="0.2">
      <c r="A71" s="381">
        <v>69</v>
      </c>
      <c r="B71" s="382" t="s">
        <v>399</v>
      </c>
      <c r="C71" s="384">
        <v>1546.3</v>
      </c>
      <c r="D71" s="383">
        <v>174</v>
      </c>
      <c r="E71" s="379">
        <f t="shared" si="4"/>
        <v>2.8297284111237598E-2</v>
      </c>
      <c r="F71" s="377">
        <f t="shared" si="5"/>
        <v>273.28993494877216</v>
      </c>
      <c r="G71" s="377">
        <f t="shared" si="6"/>
        <v>60.123785688729875</v>
      </c>
      <c r="H71" s="377">
        <f>F71*'92'!$C$20/100</f>
        <v>54.353777262883938</v>
      </c>
      <c r="I71" s="377">
        <f>E71*'мат вода'!$F$34</f>
        <v>49.409067165392749</v>
      </c>
      <c r="J71" s="402">
        <f t="shared" si="7"/>
        <v>0.28272428705023522</v>
      </c>
    </row>
    <row r="72" spans="1:10" s="380" customFormat="1" ht="10.5" x14ac:dyDescent="0.2">
      <c r="A72" s="381">
        <v>70</v>
      </c>
      <c r="B72" s="382" t="s">
        <v>400</v>
      </c>
      <c r="C72" s="384">
        <v>563.1</v>
      </c>
      <c r="D72" s="383">
        <v>105</v>
      </c>
      <c r="E72" s="379">
        <f t="shared" si="4"/>
        <v>1.7075947308505448E-2</v>
      </c>
      <c r="F72" s="377">
        <f t="shared" si="5"/>
        <v>164.91634005529355</v>
      </c>
      <c r="G72" s="377">
        <f t="shared" si="6"/>
        <v>36.281594812164577</v>
      </c>
      <c r="H72" s="377">
        <f>F72*'92'!$C$20/100</f>
        <v>32.79969317587824</v>
      </c>
      <c r="I72" s="377">
        <f>E72*'мат вода'!$F$34</f>
        <v>29.815816392909419</v>
      </c>
      <c r="J72" s="402">
        <f t="shared" si="7"/>
        <v>0.4685019435912729</v>
      </c>
    </row>
    <row r="73" spans="1:10" s="380" customFormat="1" ht="10.5" x14ac:dyDescent="0.2">
      <c r="A73" s="381">
        <v>71</v>
      </c>
      <c r="B73" s="382" t="s">
        <v>401</v>
      </c>
      <c r="C73" s="384">
        <v>549.6</v>
      </c>
      <c r="D73" s="383">
        <v>82</v>
      </c>
      <c r="E73" s="379">
        <f t="shared" si="4"/>
        <v>1.3335501707594731E-2</v>
      </c>
      <c r="F73" s="377">
        <f t="shared" si="5"/>
        <v>128.79180842413402</v>
      </c>
      <c r="G73" s="377">
        <f t="shared" si="6"/>
        <v>28.334197853309483</v>
      </c>
      <c r="H73" s="377">
        <f>F73*'92'!$C$20/100</f>
        <v>25.614998480209678</v>
      </c>
      <c r="I73" s="377">
        <f>E73*'мат вода'!$F$34</f>
        <v>23.284732802081642</v>
      </c>
      <c r="J73" s="402">
        <f t="shared" si="7"/>
        <v>0.37486487911159899</v>
      </c>
    </row>
    <row r="74" spans="1:10" s="380" customFormat="1" ht="10.5" x14ac:dyDescent="0.2">
      <c r="A74" s="381">
        <v>72</v>
      </c>
      <c r="B74" s="382" t="s">
        <v>402</v>
      </c>
      <c r="C74" s="384">
        <v>983</v>
      </c>
      <c r="D74" s="383">
        <v>58</v>
      </c>
      <c r="E74" s="379">
        <f t="shared" si="4"/>
        <v>9.4324280370792005E-3</v>
      </c>
      <c r="F74" s="377">
        <f t="shared" si="5"/>
        <v>91.096644982924062</v>
      </c>
      <c r="G74" s="377">
        <f t="shared" si="6"/>
        <v>20.041261896243292</v>
      </c>
      <c r="H74" s="377">
        <f>F74*'92'!$C$20/100</f>
        <v>18.117925754294649</v>
      </c>
      <c r="I74" s="377">
        <f>E74*'мат вода'!$F$34</f>
        <v>16.469689055130917</v>
      </c>
      <c r="J74" s="402">
        <f t="shared" si="7"/>
        <v>0.14824569856418404</v>
      </c>
    </row>
    <row r="75" spans="1:10" s="380" customFormat="1" ht="10.5" x14ac:dyDescent="0.2">
      <c r="A75" s="381">
        <v>73</v>
      </c>
      <c r="B75" s="382" t="s">
        <v>403</v>
      </c>
      <c r="C75" s="384">
        <v>1093.5999999999999</v>
      </c>
      <c r="D75" s="383">
        <v>111</v>
      </c>
      <c r="E75" s="379">
        <f t="shared" si="4"/>
        <v>1.8051715726134329E-2</v>
      </c>
      <c r="F75" s="377">
        <f t="shared" si="5"/>
        <v>174.34013091559603</v>
      </c>
      <c r="G75" s="377">
        <f t="shared" si="6"/>
        <v>38.354828801431125</v>
      </c>
      <c r="H75" s="377">
        <f>F75*'92'!$C$20/100</f>
        <v>34.673961357357001</v>
      </c>
      <c r="I75" s="377">
        <f>E75*'мат вода'!$F$34</f>
        <v>31.519577329647095</v>
      </c>
      <c r="J75" s="402">
        <f t="shared" si="7"/>
        <v>0.25501874396857288</v>
      </c>
    </row>
    <row r="76" spans="1:10" s="380" customFormat="1" ht="10.5" x14ac:dyDescent="0.2">
      <c r="A76" s="381">
        <v>74</v>
      </c>
      <c r="B76" s="382" t="s">
        <v>404</v>
      </c>
      <c r="C76" s="384">
        <v>773.53</v>
      </c>
      <c r="D76" s="383">
        <v>94</v>
      </c>
      <c r="E76" s="379">
        <f t="shared" si="4"/>
        <v>1.5287038542852497E-2</v>
      </c>
      <c r="F76" s="377">
        <f t="shared" si="5"/>
        <v>147.639390144739</v>
      </c>
      <c r="G76" s="377">
        <f t="shared" si="6"/>
        <v>32.480665831842579</v>
      </c>
      <c r="H76" s="377">
        <f>F76*'92'!$C$20/100</f>
        <v>29.363534843167191</v>
      </c>
      <c r="I76" s="377">
        <f>E76*'мат вода'!$F$34</f>
        <v>26.692254675557002</v>
      </c>
      <c r="J76" s="402">
        <f t="shared" si="7"/>
        <v>0.30532215362727466</v>
      </c>
    </row>
    <row r="77" spans="1:10" s="380" customFormat="1" ht="10.5" x14ac:dyDescent="0.2">
      <c r="A77" s="381">
        <v>75</v>
      </c>
      <c r="B77" s="382" t="s">
        <v>405</v>
      </c>
      <c r="C77" s="384">
        <v>1603.4</v>
      </c>
      <c r="D77" s="383">
        <v>172</v>
      </c>
      <c r="E77" s="379">
        <f t="shared" si="4"/>
        <v>2.7972027972027972E-2</v>
      </c>
      <c r="F77" s="377">
        <f t="shared" si="5"/>
        <v>270.14867132867136</v>
      </c>
      <c r="G77" s="377">
        <f t="shared" si="6"/>
        <v>59.432707692307694</v>
      </c>
      <c r="H77" s="377">
        <f>F77*'92'!$C$20/100</f>
        <v>53.729021202391031</v>
      </c>
      <c r="I77" s="377">
        <f>E77*'мат вода'!$F$34</f>
        <v>48.84114685314686</v>
      </c>
      <c r="J77" s="402">
        <f t="shared" si="7"/>
        <v>0.26952198270956529</v>
      </c>
    </row>
    <row r="78" spans="1:10" s="380" customFormat="1" ht="10.5" x14ac:dyDescent="0.2">
      <c r="A78" s="381">
        <v>76</v>
      </c>
      <c r="B78" s="382" t="s">
        <v>406</v>
      </c>
      <c r="C78" s="384">
        <v>561.1</v>
      </c>
      <c r="D78" s="383">
        <v>35</v>
      </c>
      <c r="E78" s="379">
        <f t="shared" si="4"/>
        <v>5.6919824361684824E-3</v>
      </c>
      <c r="F78" s="377">
        <f t="shared" si="5"/>
        <v>54.972113351764513</v>
      </c>
      <c r="G78" s="377">
        <f t="shared" si="6"/>
        <v>12.093864937388194</v>
      </c>
      <c r="H78" s="377">
        <f>F78*'92'!$C$20/100</f>
        <v>10.933231058626079</v>
      </c>
      <c r="I78" s="377">
        <f>E78*'мат вода'!$F$34</f>
        <v>9.938605464303139</v>
      </c>
      <c r="J78" s="402">
        <f t="shared" si="7"/>
        <v>0.15672396152572077</v>
      </c>
    </row>
    <row r="79" spans="1:10" s="380" customFormat="1" ht="10.5" x14ac:dyDescent="0.2">
      <c r="A79" s="381">
        <v>77</v>
      </c>
      <c r="B79" s="382" t="s">
        <v>407</v>
      </c>
      <c r="C79" s="384">
        <v>780.4</v>
      </c>
      <c r="D79" s="383">
        <v>76</v>
      </c>
      <c r="E79" s="379">
        <f t="shared" si="4"/>
        <v>1.2359733289965848E-2</v>
      </c>
      <c r="F79" s="377">
        <f t="shared" si="5"/>
        <v>119.36801756383151</v>
      </c>
      <c r="G79" s="377">
        <f t="shared" si="6"/>
        <v>26.260963864042932</v>
      </c>
      <c r="H79" s="377">
        <f>F79*'92'!$C$20/100</f>
        <v>23.74073029873092</v>
      </c>
      <c r="I79" s="377">
        <f>E79*'мат вода'!$F$34</f>
        <v>21.580971865343958</v>
      </c>
      <c r="J79" s="402">
        <f t="shared" si="7"/>
        <v>0.24468309019983256</v>
      </c>
    </row>
    <row r="80" spans="1:10" s="380" customFormat="1" ht="10.5" x14ac:dyDescent="0.2">
      <c r="A80" s="381">
        <v>78</v>
      </c>
      <c r="B80" s="382" t="s">
        <v>408</v>
      </c>
      <c r="C80" s="384">
        <v>1890.1</v>
      </c>
      <c r="D80" s="424">
        <f>[5]Лист1!$E$35+[5]Лист1!$E$36</f>
        <v>132</v>
      </c>
      <c r="E80" s="379">
        <f t="shared" si="4"/>
        <v>2.1466905187835419E-2</v>
      </c>
      <c r="F80" s="377">
        <f t="shared" si="5"/>
        <v>207.32339892665473</v>
      </c>
      <c r="G80" s="377">
        <f t="shared" si="6"/>
        <v>45.611147763864039</v>
      </c>
      <c r="H80" s="377">
        <f>F80*'92'!$C$20/100</f>
        <v>41.233899992532642</v>
      </c>
      <c r="I80" s="377">
        <f>E80*'мат вода'!$F$34</f>
        <v>37.48274060822898</v>
      </c>
      <c r="J80" s="402">
        <f t="shared" si="7"/>
        <v>0.17546753467609144</v>
      </c>
    </row>
    <row r="81" spans="1:10" s="380" customFormat="1" ht="10.5" x14ac:dyDescent="0.2">
      <c r="A81" s="381">
        <v>79</v>
      </c>
      <c r="B81" s="382" t="s">
        <v>409</v>
      </c>
      <c r="C81" s="384">
        <v>1734.5</v>
      </c>
      <c r="D81" s="383">
        <v>135</v>
      </c>
      <c r="E81" s="379">
        <f t="shared" si="4"/>
        <v>2.1954789396649861E-2</v>
      </c>
      <c r="F81" s="377">
        <f t="shared" si="5"/>
        <v>212.03529435680599</v>
      </c>
      <c r="G81" s="377">
        <f t="shared" si="6"/>
        <v>46.647764758497317</v>
      </c>
      <c r="H81" s="377">
        <f>F81*'92'!$C$20/100</f>
        <v>42.171034083272026</v>
      </c>
      <c r="I81" s="377">
        <f>E81*'мат вода'!$F$34</f>
        <v>38.33462107659782</v>
      </c>
      <c r="J81" s="402">
        <f t="shared" si="7"/>
        <v>0.19555417369568937</v>
      </c>
    </row>
    <row r="82" spans="1:10" s="380" customFormat="1" ht="10.5" x14ac:dyDescent="0.2">
      <c r="A82" s="381">
        <v>80</v>
      </c>
      <c r="B82" s="382" t="s">
        <v>410</v>
      </c>
      <c r="C82" s="384">
        <v>1565.58</v>
      </c>
      <c r="D82" s="383">
        <v>140</v>
      </c>
      <c r="E82" s="379">
        <f t="shared" si="4"/>
        <v>2.2767929744673929E-2</v>
      </c>
      <c r="F82" s="377">
        <f t="shared" si="5"/>
        <v>219.88845340705805</v>
      </c>
      <c r="G82" s="377">
        <f t="shared" si="6"/>
        <v>48.375459749552775</v>
      </c>
      <c r="H82" s="377">
        <f>F82*'92'!$C$20/100</f>
        <v>43.732924234504317</v>
      </c>
      <c r="I82" s="377">
        <f>E82*'мат вода'!$F$34</f>
        <v>39.754421857212556</v>
      </c>
      <c r="J82" s="402">
        <f t="shared" si="7"/>
        <v>0.22467792080144594</v>
      </c>
    </row>
    <row r="83" spans="1:10" s="380" customFormat="1" ht="10.5" x14ac:dyDescent="0.2">
      <c r="A83" s="381">
        <v>81</v>
      </c>
      <c r="B83" s="382" t="s">
        <v>411</v>
      </c>
      <c r="C83" s="384">
        <v>2043.8</v>
      </c>
      <c r="D83" s="383">
        <v>280</v>
      </c>
      <c r="E83" s="379">
        <f t="shared" si="4"/>
        <v>4.5535859489347859E-2</v>
      </c>
      <c r="F83" s="377">
        <f t="shared" si="5"/>
        <v>439.7769068141161</v>
      </c>
      <c r="G83" s="377">
        <f t="shared" si="6"/>
        <v>96.750919499105549</v>
      </c>
      <c r="H83" s="377">
        <f>F83*'92'!$C$20/100</f>
        <v>87.465848469008634</v>
      </c>
      <c r="I83" s="377">
        <f>E83*'мат вода'!$F$34</f>
        <v>79.508843714425112</v>
      </c>
      <c r="J83" s="402">
        <f t="shared" si="7"/>
        <v>0.3442129946651607</v>
      </c>
    </row>
    <row r="84" spans="1:10" s="380" customFormat="1" ht="10.5" x14ac:dyDescent="0.2">
      <c r="A84" s="381">
        <v>82</v>
      </c>
      <c r="B84" s="382" t="s">
        <v>412</v>
      </c>
      <c r="C84" s="384">
        <v>1277.5999999999999</v>
      </c>
      <c r="D84" s="383">
        <v>148</v>
      </c>
      <c r="E84" s="379">
        <f t="shared" si="4"/>
        <v>2.406895430151244E-2</v>
      </c>
      <c r="F84" s="377">
        <f t="shared" si="5"/>
        <v>232.45350788746137</v>
      </c>
      <c r="G84" s="377">
        <f t="shared" si="6"/>
        <v>51.139771735241503</v>
      </c>
      <c r="H84" s="377">
        <f>F84*'92'!$C$20/100</f>
        <v>46.231948476475999</v>
      </c>
      <c r="I84" s="377">
        <f>E84*'мат вода'!$F$34</f>
        <v>42.026103106196132</v>
      </c>
      <c r="J84" s="402">
        <f t="shared" si="7"/>
        <v>0.29105457984140187</v>
      </c>
    </row>
    <row r="85" spans="1:10" s="380" customFormat="1" ht="10.5" x14ac:dyDescent="0.2">
      <c r="A85" s="381">
        <v>83</v>
      </c>
      <c r="B85" s="382" t="s">
        <v>413</v>
      </c>
      <c r="C85" s="384">
        <v>1281.1500000000001</v>
      </c>
      <c r="D85" s="383">
        <v>155</v>
      </c>
      <c r="E85" s="379">
        <f t="shared" si="4"/>
        <v>2.5207350788746138E-2</v>
      </c>
      <c r="F85" s="377">
        <f t="shared" si="5"/>
        <v>243.44793055781429</v>
      </c>
      <c r="G85" s="377">
        <f t="shared" si="6"/>
        <v>53.558544722719141</v>
      </c>
      <c r="H85" s="377">
        <f>F85*'92'!$C$20/100</f>
        <v>48.418594688201217</v>
      </c>
      <c r="I85" s="377">
        <f>E85*'мат вода'!$F$34</f>
        <v>44.013824199056764</v>
      </c>
      <c r="J85" s="402">
        <f t="shared" si="7"/>
        <v>0.30397603260179634</v>
      </c>
    </row>
    <row r="86" spans="1:10" s="380" customFormat="1" ht="10.5" x14ac:dyDescent="0.2">
      <c r="A86" s="381">
        <v>84</v>
      </c>
      <c r="B86" s="382" t="s">
        <v>414</v>
      </c>
      <c r="C86" s="384">
        <v>1492.3</v>
      </c>
      <c r="D86" s="383">
        <v>130</v>
      </c>
      <c r="E86" s="379">
        <f t="shared" si="4"/>
        <v>2.1141649048625793E-2</v>
      </c>
      <c r="F86" s="377">
        <f t="shared" si="5"/>
        <v>204.18213530655393</v>
      </c>
      <c r="G86" s="377">
        <f t="shared" si="6"/>
        <v>44.920069767441866</v>
      </c>
      <c r="H86" s="377">
        <f>F86*'92'!$C$20/100</f>
        <v>40.609143932039736</v>
      </c>
      <c r="I86" s="377">
        <f>E86*'мат вода'!$F$34</f>
        <v>36.914820295983091</v>
      </c>
      <c r="J86" s="402">
        <f t="shared" si="7"/>
        <v>0.21887433445153029</v>
      </c>
    </row>
    <row r="87" spans="1:10" s="380" customFormat="1" ht="10.5" x14ac:dyDescent="0.2">
      <c r="A87" s="381">
        <v>85</v>
      </c>
      <c r="B87" s="382" t="s">
        <v>415</v>
      </c>
      <c r="C87" s="384">
        <v>4130.75</v>
      </c>
      <c r="D87" s="383">
        <v>653</v>
      </c>
      <c r="E87" s="379">
        <f t="shared" si="4"/>
        <v>0.1061961294519434</v>
      </c>
      <c r="F87" s="377">
        <f t="shared" si="5"/>
        <v>1025.6225719629208</v>
      </c>
      <c r="G87" s="377">
        <f t="shared" si="6"/>
        <v>225.63696583184256</v>
      </c>
      <c r="H87" s="377">
        <f>F87*'92'!$C$20/100</f>
        <v>203.98285375093801</v>
      </c>
      <c r="I87" s="377">
        <f>E87*'мат вода'!$F$34</f>
        <v>185.42598194828429</v>
      </c>
      <c r="J87" s="402">
        <f t="shared" si="7"/>
        <v>0.3971841368986227</v>
      </c>
    </row>
    <row r="88" spans="1:10" s="380" customFormat="1" ht="10.5" x14ac:dyDescent="0.2">
      <c r="A88" s="381">
        <v>86</v>
      </c>
      <c r="B88" s="382" t="s">
        <v>416</v>
      </c>
      <c r="C88" s="384">
        <v>3262.1</v>
      </c>
      <c r="D88" s="383">
        <v>590</v>
      </c>
      <c r="E88" s="379">
        <f t="shared" si="4"/>
        <v>9.5950561066840134E-2</v>
      </c>
      <c r="F88" s="377">
        <f t="shared" si="5"/>
        <v>926.67276792974474</v>
      </c>
      <c r="G88" s="377">
        <f t="shared" si="6"/>
        <v>203.86800894454385</v>
      </c>
      <c r="H88" s="377">
        <f>F88*'92'!$C$20/100</f>
        <v>184.3030378454111</v>
      </c>
      <c r="I88" s="377">
        <f>E88*'мат вода'!$F$34</f>
        <v>167.53649211253864</v>
      </c>
      <c r="J88" s="402">
        <f t="shared" si="7"/>
        <v>0.45442515766905933</v>
      </c>
    </row>
    <row r="89" spans="1:10" s="380" customFormat="1" ht="10.5" x14ac:dyDescent="0.2">
      <c r="A89" s="381">
        <v>87</v>
      </c>
      <c r="B89" s="382" t="s">
        <v>417</v>
      </c>
      <c r="C89" s="384">
        <v>1516.8</v>
      </c>
      <c r="D89" s="383">
        <v>270</v>
      </c>
      <c r="E89" s="379">
        <f t="shared" si="4"/>
        <v>4.3909578793299722E-2</v>
      </c>
      <c r="F89" s="377">
        <f t="shared" si="5"/>
        <v>424.07058871361198</v>
      </c>
      <c r="G89" s="377">
        <f t="shared" si="6"/>
        <v>93.295529516994634</v>
      </c>
      <c r="H89" s="377">
        <f>F89*'92'!$C$20/100</f>
        <v>84.342068166544053</v>
      </c>
      <c r="I89" s="377">
        <f>E89*'мат вода'!$F$34</f>
        <v>76.66924215319564</v>
      </c>
      <c r="J89" s="402">
        <f t="shared" si="7"/>
        <v>0.44724250299996465</v>
      </c>
    </row>
    <row r="90" spans="1:10" s="380" customFormat="1" ht="10.5" x14ac:dyDescent="0.2">
      <c r="A90" s="381">
        <v>88</v>
      </c>
      <c r="B90" s="382" t="s">
        <v>418</v>
      </c>
      <c r="C90" s="384">
        <v>752.42</v>
      </c>
      <c r="D90" s="383">
        <v>75</v>
      </c>
      <c r="E90" s="379">
        <f t="shared" si="4"/>
        <v>1.2197105220361035E-2</v>
      </c>
      <c r="F90" s="377">
        <f t="shared" si="5"/>
        <v>117.79738575378111</v>
      </c>
      <c r="G90" s="377">
        <f t="shared" si="6"/>
        <v>25.915424865831845</v>
      </c>
      <c r="H90" s="377">
        <f>F90*'92'!$C$20/100</f>
        <v>23.42835226848446</v>
      </c>
      <c r="I90" s="377">
        <f>E90*'мат вода'!$F$34</f>
        <v>21.297011709221014</v>
      </c>
      <c r="J90" s="402">
        <f t="shared" si="7"/>
        <v>0.25044280401546803</v>
      </c>
    </row>
    <row r="91" spans="1:10" s="380" customFormat="1" ht="10.5" x14ac:dyDescent="0.2">
      <c r="A91" s="381">
        <v>89</v>
      </c>
      <c r="B91" s="382" t="s">
        <v>419</v>
      </c>
      <c r="C91" s="384">
        <v>771.7</v>
      </c>
      <c r="D91" s="383">
        <v>75</v>
      </c>
      <c r="E91" s="379">
        <f t="shared" si="4"/>
        <v>1.2197105220361035E-2</v>
      </c>
      <c r="F91" s="377">
        <f t="shared" si="5"/>
        <v>117.79738575378111</v>
      </c>
      <c r="G91" s="377">
        <f t="shared" si="6"/>
        <v>25.915424865831845</v>
      </c>
      <c r="H91" s="377">
        <f>F91*'92'!$C$20/100</f>
        <v>23.42835226848446</v>
      </c>
      <c r="I91" s="377">
        <f>E91*'мат вода'!$F$34</f>
        <v>21.297011709221014</v>
      </c>
      <c r="J91" s="402">
        <f t="shared" si="7"/>
        <v>0.24418579058872414</v>
      </c>
    </row>
    <row r="92" spans="1:10" s="380" customFormat="1" ht="10.5" x14ac:dyDescent="0.2">
      <c r="A92" s="381">
        <v>90</v>
      </c>
      <c r="B92" s="382" t="s">
        <v>420</v>
      </c>
      <c r="C92" s="384">
        <v>1545</v>
      </c>
      <c r="D92" s="383">
        <v>198</v>
      </c>
      <c r="E92" s="379">
        <f t="shared" si="4"/>
        <v>3.2200357781753133E-2</v>
      </c>
      <c r="F92" s="377">
        <f t="shared" si="5"/>
        <v>310.98509838998217</v>
      </c>
      <c r="G92" s="377">
        <f t="shared" si="6"/>
        <v>68.416721645796073</v>
      </c>
      <c r="H92" s="377">
        <f>F92*'92'!$C$20/100</f>
        <v>61.850849988798984</v>
      </c>
      <c r="I92" s="377">
        <f>E92*'мат вода'!$F$34</f>
        <v>56.224110912343477</v>
      </c>
      <c r="J92" s="402">
        <f t="shared" si="7"/>
        <v>0.32199144397211699</v>
      </c>
    </row>
    <row r="93" spans="1:10" s="380" customFormat="1" ht="10.5" x14ac:dyDescent="0.2">
      <c r="A93" s="381">
        <v>91</v>
      </c>
      <c r="B93" s="382" t="s">
        <v>421</v>
      </c>
      <c r="C93" s="384">
        <v>769.7</v>
      </c>
      <c r="D93" s="383">
        <v>74</v>
      </c>
      <c r="E93" s="379">
        <f t="shared" si="4"/>
        <v>1.203447715075622E-2</v>
      </c>
      <c r="F93" s="377">
        <f t="shared" si="5"/>
        <v>116.22675394373069</v>
      </c>
      <c r="G93" s="377">
        <f t="shared" si="6"/>
        <v>25.569885867620751</v>
      </c>
      <c r="H93" s="377">
        <f>F93*'92'!$C$20/100</f>
        <v>23.115974238238</v>
      </c>
      <c r="I93" s="377">
        <f>E93*'мат вода'!$F$34</f>
        <v>21.013051553098066</v>
      </c>
      <c r="J93" s="402">
        <f t="shared" si="7"/>
        <v>0.2415560161136644</v>
      </c>
    </row>
    <row r="94" spans="1:10" s="380" customFormat="1" ht="10.5" x14ac:dyDescent="0.2">
      <c r="A94" s="381">
        <v>92</v>
      </c>
      <c r="B94" s="382" t="s">
        <v>422</v>
      </c>
      <c r="C94" s="384">
        <v>776.9</v>
      </c>
      <c r="D94" s="383">
        <v>75</v>
      </c>
      <c r="E94" s="379">
        <f t="shared" si="4"/>
        <v>1.2197105220361035E-2</v>
      </c>
      <c r="F94" s="377">
        <f t="shared" si="5"/>
        <v>117.79738575378111</v>
      </c>
      <c r="G94" s="377">
        <f t="shared" si="6"/>
        <v>25.915424865831845</v>
      </c>
      <c r="H94" s="377">
        <f>F94*'92'!$C$20/100</f>
        <v>23.42835226848446</v>
      </c>
      <c r="I94" s="377">
        <f>E94*'мат вода'!$F$34</f>
        <v>21.297011709221014</v>
      </c>
      <c r="J94" s="402">
        <f t="shared" si="7"/>
        <v>0.2425513896219828</v>
      </c>
    </row>
    <row r="95" spans="1:10" s="380" customFormat="1" ht="10.5" x14ac:dyDescent="0.2">
      <c r="A95" s="381">
        <v>93</v>
      </c>
      <c r="B95" s="382" t="s">
        <v>423</v>
      </c>
      <c r="C95" s="384">
        <v>1935.6</v>
      </c>
      <c r="D95" s="383">
        <v>188</v>
      </c>
      <c r="E95" s="379">
        <f t="shared" si="4"/>
        <v>3.0574077085704993E-2</v>
      </c>
      <c r="F95" s="377">
        <f t="shared" si="5"/>
        <v>295.27878028947799</v>
      </c>
      <c r="G95" s="377">
        <f t="shared" si="6"/>
        <v>64.961331663685158</v>
      </c>
      <c r="H95" s="377">
        <f>F95*'92'!$C$20/100</f>
        <v>58.727069686334382</v>
      </c>
      <c r="I95" s="377">
        <f>E95*'мат вода'!$F$34</f>
        <v>53.384509351114005</v>
      </c>
      <c r="J95" s="402">
        <f t="shared" si="7"/>
        <v>0.24403373165458336</v>
      </c>
    </row>
    <row r="96" spans="1:10" s="380" customFormat="1" ht="10.5" x14ac:dyDescent="0.2">
      <c r="A96" s="381">
        <v>94</v>
      </c>
      <c r="B96" s="382" t="s">
        <v>424</v>
      </c>
      <c r="C96" s="384">
        <v>1513.72</v>
      </c>
      <c r="D96" s="383">
        <v>150</v>
      </c>
      <c r="E96" s="379">
        <f t="shared" si="4"/>
        <v>2.4394210440722069E-2</v>
      </c>
      <c r="F96" s="377">
        <f t="shared" si="5"/>
        <v>235.59477150756223</v>
      </c>
      <c r="G96" s="377">
        <f t="shared" si="6"/>
        <v>51.83084973166369</v>
      </c>
      <c r="H96" s="377">
        <f>F96*'92'!$C$20/100</f>
        <v>46.85670453696892</v>
      </c>
      <c r="I96" s="377">
        <f>E96*'мат вода'!$F$34</f>
        <v>42.594023418442028</v>
      </c>
      <c r="J96" s="402">
        <f t="shared" si="7"/>
        <v>0.24897362074534052</v>
      </c>
    </row>
    <row r="97" spans="1:10" s="380" customFormat="1" ht="10.5" x14ac:dyDescent="0.2">
      <c r="A97" s="381">
        <v>95</v>
      </c>
      <c r="B97" s="382" t="s">
        <v>425</v>
      </c>
      <c r="C97" s="384">
        <v>1500.3</v>
      </c>
      <c r="D97" s="383">
        <v>270</v>
      </c>
      <c r="E97" s="379">
        <f t="shared" si="4"/>
        <v>4.3909578793299722E-2</v>
      </c>
      <c r="F97" s="377">
        <f t="shared" si="5"/>
        <v>424.07058871361198</v>
      </c>
      <c r="G97" s="377">
        <f t="shared" si="6"/>
        <v>93.295529516994634</v>
      </c>
      <c r="H97" s="377">
        <f>F97*'92'!$C$20/100</f>
        <v>84.342068166544053</v>
      </c>
      <c r="I97" s="377">
        <f>E97*'мат вода'!$F$34</f>
        <v>76.66924215319564</v>
      </c>
      <c r="J97" s="402">
        <f t="shared" si="7"/>
        <v>0.45216118679620504</v>
      </c>
    </row>
    <row r="98" spans="1:10" s="380" customFormat="1" ht="10.5" x14ac:dyDescent="0.2">
      <c r="A98" s="381">
        <v>96</v>
      </c>
      <c r="B98" s="382" t="s">
        <v>426</v>
      </c>
      <c r="C98" s="384">
        <v>735.9</v>
      </c>
      <c r="D98" s="383">
        <v>75</v>
      </c>
      <c r="E98" s="379">
        <f t="shared" si="4"/>
        <v>1.2197105220361035E-2</v>
      </c>
      <c r="F98" s="377">
        <f t="shared" si="5"/>
        <v>117.79738575378111</v>
      </c>
      <c r="G98" s="377">
        <f t="shared" si="6"/>
        <v>25.915424865831845</v>
      </c>
      <c r="H98" s="377">
        <f>F98*'92'!$C$20/100</f>
        <v>23.42835226848446</v>
      </c>
      <c r="I98" s="377">
        <f>E98*'мат вода'!$F$34</f>
        <v>21.297011709221014</v>
      </c>
      <c r="J98" s="402">
        <f t="shared" si="7"/>
        <v>0.25606491995830744</v>
      </c>
    </row>
    <row r="99" spans="1:10" s="380" customFormat="1" ht="10.5" x14ac:dyDescent="0.2">
      <c r="A99" s="381">
        <v>97</v>
      </c>
      <c r="B99" s="382" t="s">
        <v>427</v>
      </c>
      <c r="C99" s="384">
        <v>757.7</v>
      </c>
      <c r="D99" s="383">
        <v>75</v>
      </c>
      <c r="E99" s="379">
        <f t="shared" si="4"/>
        <v>1.2197105220361035E-2</v>
      </c>
      <c r="F99" s="377">
        <f t="shared" si="5"/>
        <v>117.79738575378111</v>
      </c>
      <c r="G99" s="377">
        <f t="shared" si="6"/>
        <v>25.915424865831845</v>
      </c>
      <c r="H99" s="377">
        <f>F99*'92'!$C$20/100</f>
        <v>23.42835226848446</v>
      </c>
      <c r="I99" s="377">
        <f>E99*'мат вода'!$F$34</f>
        <v>21.297011709221014</v>
      </c>
      <c r="J99" s="402">
        <f t="shared" si="7"/>
        <v>0.24869760406139424</v>
      </c>
    </row>
    <row r="100" spans="1:10" s="380" customFormat="1" ht="10.5" x14ac:dyDescent="0.2">
      <c r="A100" s="381">
        <v>98</v>
      </c>
      <c r="B100" s="382" t="s">
        <v>428</v>
      </c>
      <c r="C100" s="384">
        <v>1915.15</v>
      </c>
      <c r="D100" s="383">
        <v>159</v>
      </c>
      <c r="E100" s="379">
        <f t="shared" si="4"/>
        <v>2.5857863067165393E-2</v>
      </c>
      <c r="F100" s="377">
        <f t="shared" si="5"/>
        <v>249.73045779801595</v>
      </c>
      <c r="G100" s="377">
        <f t="shared" si="6"/>
        <v>54.940700715563509</v>
      </c>
      <c r="H100" s="377">
        <f>F100*'92'!$C$20/100</f>
        <v>49.668106809187059</v>
      </c>
      <c r="I100" s="377">
        <f>E100*'мат вода'!$F$34</f>
        <v>45.149664823548548</v>
      </c>
      <c r="J100" s="402">
        <f t="shared" si="7"/>
        <v>0.20859406842613637</v>
      </c>
    </row>
    <row r="101" spans="1:10" s="380" customFormat="1" ht="10.5" x14ac:dyDescent="0.2">
      <c r="A101" s="381">
        <v>99</v>
      </c>
      <c r="B101" s="382" t="s">
        <v>429</v>
      </c>
      <c r="C101" s="384">
        <v>1544.5</v>
      </c>
      <c r="D101" s="383">
        <v>220</v>
      </c>
      <c r="E101" s="379">
        <f t="shared" si="4"/>
        <v>3.5778175313059032E-2</v>
      </c>
      <c r="F101" s="377">
        <f t="shared" si="5"/>
        <v>345.53899821109121</v>
      </c>
      <c r="G101" s="377">
        <f t="shared" si="6"/>
        <v>76.018579606440071</v>
      </c>
      <c r="H101" s="377">
        <f>F101*'92'!$C$20/100</f>
        <v>68.723166654221075</v>
      </c>
      <c r="I101" s="377">
        <f>E101*'мат вода'!$F$34</f>
        <v>62.471234347048302</v>
      </c>
      <c r="J101" s="402">
        <f t="shared" si="7"/>
        <v>0.3578840911743611</v>
      </c>
    </row>
    <row r="102" spans="1:10" s="380" customFormat="1" ht="10.5" x14ac:dyDescent="0.2">
      <c r="A102" s="381">
        <v>100</v>
      </c>
      <c r="B102" s="382" t="s">
        <v>430</v>
      </c>
      <c r="C102" s="384">
        <v>1552.3</v>
      </c>
      <c r="D102" s="383">
        <v>220</v>
      </c>
      <c r="E102" s="379">
        <f t="shared" si="4"/>
        <v>3.5778175313059032E-2</v>
      </c>
      <c r="F102" s="377">
        <f t="shared" si="5"/>
        <v>345.53899821109121</v>
      </c>
      <c r="G102" s="377">
        <f t="shared" si="6"/>
        <v>76.018579606440071</v>
      </c>
      <c r="H102" s="377">
        <f>F102*'92'!$C$20/100</f>
        <v>68.723166654221075</v>
      </c>
      <c r="I102" s="377">
        <f>E102*'мат вода'!$F$34</f>
        <v>62.471234347048302</v>
      </c>
      <c r="J102" s="402">
        <f t="shared" si="7"/>
        <v>0.35608579451059763</v>
      </c>
    </row>
    <row r="103" spans="1:10" s="380" customFormat="1" ht="10.5" x14ac:dyDescent="0.2">
      <c r="A103" s="381">
        <v>101</v>
      </c>
      <c r="B103" s="382" t="s">
        <v>431</v>
      </c>
      <c r="C103" s="384">
        <v>1287.0999999999999</v>
      </c>
      <c r="D103" s="383">
        <v>82</v>
      </c>
      <c r="E103" s="379">
        <f t="shared" si="4"/>
        <v>1.3335501707594731E-2</v>
      </c>
      <c r="F103" s="377">
        <f t="shared" si="5"/>
        <v>128.79180842413402</v>
      </c>
      <c r="G103" s="377">
        <f t="shared" si="6"/>
        <v>28.334197853309483</v>
      </c>
      <c r="H103" s="377">
        <f>F103*'92'!$C$20/100</f>
        <v>25.614998480209678</v>
      </c>
      <c r="I103" s="377">
        <f>E103*'мат вода'!$F$34</f>
        <v>23.284732802081642</v>
      </c>
      <c r="J103" s="402">
        <f t="shared" si="7"/>
        <v>0.16006972073633349</v>
      </c>
    </row>
    <row r="104" spans="1:10" s="380" customFormat="1" ht="10.5" x14ac:dyDescent="0.2">
      <c r="A104" s="381">
        <v>102</v>
      </c>
      <c r="B104" s="382" t="s">
        <v>432</v>
      </c>
      <c r="C104" s="384">
        <v>3473.9</v>
      </c>
      <c r="D104" s="383">
        <v>281</v>
      </c>
      <c r="E104" s="379">
        <f t="shared" si="4"/>
        <v>4.5698487558952672E-2</v>
      </c>
      <c r="F104" s="377">
        <f t="shared" si="5"/>
        <v>441.34753862416653</v>
      </c>
      <c r="G104" s="377">
        <f t="shared" si="6"/>
        <v>97.096458497316632</v>
      </c>
      <c r="H104" s="377">
        <f>F104*'92'!$C$20/100</f>
        <v>87.778226499255112</v>
      </c>
      <c r="I104" s="377">
        <f>E104*'мат вода'!$F$34</f>
        <v>79.792803870548056</v>
      </c>
      <c r="J104" s="402">
        <f t="shared" si="7"/>
        <v>0.2032341251881995</v>
      </c>
    </row>
    <row r="105" spans="1:10" s="380" customFormat="1" ht="10.5" x14ac:dyDescent="0.2">
      <c r="A105" s="381">
        <v>103</v>
      </c>
      <c r="B105" s="382" t="s">
        <v>433</v>
      </c>
      <c r="C105" s="384">
        <v>1838.18</v>
      </c>
      <c r="D105" s="383">
        <v>180</v>
      </c>
      <c r="E105" s="379">
        <f t="shared" si="4"/>
        <v>2.9273052528866483E-2</v>
      </c>
      <c r="F105" s="377">
        <f t="shared" si="5"/>
        <v>282.71372580907467</v>
      </c>
      <c r="G105" s="377">
        <f t="shared" si="6"/>
        <v>62.19701967799643</v>
      </c>
      <c r="H105" s="377">
        <f>F105*'92'!$C$20/100</f>
        <v>56.228045444362706</v>
      </c>
      <c r="I105" s="377">
        <f>E105*'мат вода'!$F$34</f>
        <v>51.112828102130429</v>
      </c>
      <c r="J105" s="402">
        <f t="shared" si="7"/>
        <v>0.2460322814052836</v>
      </c>
    </row>
    <row r="106" spans="1:10" s="380" customFormat="1" ht="10.5" x14ac:dyDescent="0.2">
      <c r="A106" s="381">
        <v>104</v>
      </c>
      <c r="B106" s="382" t="s">
        <v>434</v>
      </c>
      <c r="C106" s="384">
        <v>4517.6000000000004</v>
      </c>
      <c r="D106" s="383">
        <v>710</v>
      </c>
      <c r="E106" s="379">
        <f t="shared" si="4"/>
        <v>0.11546592941941779</v>
      </c>
      <c r="F106" s="377">
        <f t="shared" si="5"/>
        <v>1115.1485851357945</v>
      </c>
      <c r="G106" s="377">
        <f t="shared" si="6"/>
        <v>245.3326887298748</v>
      </c>
      <c r="H106" s="377">
        <f>F106*'92'!$C$20/100</f>
        <v>221.78840147498622</v>
      </c>
      <c r="I106" s="377">
        <f>E106*'мат вода'!$F$34</f>
        <v>201.61171084729224</v>
      </c>
      <c r="J106" s="402">
        <f t="shared" si="7"/>
        <v>0.3948736909394252</v>
      </c>
    </row>
    <row r="107" spans="1:10" s="380" customFormat="1" ht="10.5" x14ac:dyDescent="0.2">
      <c r="A107" s="381">
        <v>105</v>
      </c>
      <c r="B107" s="382" t="s">
        <v>435</v>
      </c>
      <c r="C107" s="384">
        <v>4524.9399999999996</v>
      </c>
      <c r="D107" s="383">
        <v>710</v>
      </c>
      <c r="E107" s="379">
        <f t="shared" si="4"/>
        <v>0.11546592941941779</v>
      </c>
      <c r="F107" s="377">
        <f t="shared" si="5"/>
        <v>1115.1485851357945</v>
      </c>
      <c r="G107" s="377">
        <f t="shared" si="6"/>
        <v>245.3326887298748</v>
      </c>
      <c r="H107" s="377">
        <f>F107*'92'!$C$20/100</f>
        <v>221.78840147498622</v>
      </c>
      <c r="I107" s="377">
        <f>E107*'мат вода'!$F$34</f>
        <v>201.61171084729224</v>
      </c>
      <c r="J107" s="402">
        <f t="shared" si="7"/>
        <v>0.39423315805026093</v>
      </c>
    </row>
    <row r="108" spans="1:10" s="380" customFormat="1" ht="10.5" x14ac:dyDescent="0.2">
      <c r="A108" s="381">
        <v>106</v>
      </c>
      <c r="B108" s="382" t="s">
        <v>436</v>
      </c>
      <c r="C108" s="384">
        <v>4742.2700000000004</v>
      </c>
      <c r="D108" s="383">
        <v>750</v>
      </c>
      <c r="E108" s="379">
        <f t="shared" si="4"/>
        <v>0.12197105220361035</v>
      </c>
      <c r="F108" s="377">
        <f t="shared" si="5"/>
        <v>1177.9738575378112</v>
      </c>
      <c r="G108" s="377">
        <f t="shared" si="6"/>
        <v>259.15424865831847</v>
      </c>
      <c r="H108" s="377">
        <f>F108*'92'!$C$20/100</f>
        <v>234.2835226848446</v>
      </c>
      <c r="I108" s="377">
        <f>E108*'мат вода'!$F$34</f>
        <v>212.97011709221013</v>
      </c>
      <c r="J108" s="402">
        <f t="shared" si="7"/>
        <v>0.39735859535057771</v>
      </c>
    </row>
    <row r="109" spans="1:10" s="380" customFormat="1" ht="10.5" x14ac:dyDescent="0.2">
      <c r="A109" s="381">
        <v>107</v>
      </c>
      <c r="B109" s="382" t="s">
        <v>437</v>
      </c>
      <c r="C109" s="384">
        <v>2538.3000000000002</v>
      </c>
      <c r="D109" s="383">
        <v>356</v>
      </c>
      <c r="E109" s="379">
        <f t="shared" si="4"/>
        <v>5.7895592779313707E-2</v>
      </c>
      <c r="F109" s="377">
        <f t="shared" si="5"/>
        <v>559.14492437794763</v>
      </c>
      <c r="G109" s="377">
        <f t="shared" si="6"/>
        <v>123.01188336314848</v>
      </c>
      <c r="H109" s="377">
        <f>F109*'92'!$C$20/100</f>
        <v>111.20657876773956</v>
      </c>
      <c r="I109" s="377">
        <f>E109*'мат вода'!$F$34</f>
        <v>101.08981557976907</v>
      </c>
      <c r="J109" s="402">
        <f t="shared" si="7"/>
        <v>0.35238277669645224</v>
      </c>
    </row>
    <row r="110" spans="1:10" s="380" customFormat="1" ht="10.5" x14ac:dyDescent="0.2">
      <c r="A110" s="381">
        <v>108</v>
      </c>
      <c r="B110" s="382" t="s">
        <v>438</v>
      </c>
      <c r="C110" s="384">
        <v>4452.8999999999996</v>
      </c>
      <c r="D110" s="383">
        <v>710</v>
      </c>
      <c r="E110" s="379">
        <f t="shared" si="4"/>
        <v>0.11546592941941779</v>
      </c>
      <c r="F110" s="377">
        <f t="shared" si="5"/>
        <v>1115.1485851357945</v>
      </c>
      <c r="G110" s="377">
        <f t="shared" si="6"/>
        <v>245.3326887298748</v>
      </c>
      <c r="H110" s="377">
        <f>F110*'92'!$C$20/100</f>
        <v>221.78840147498622</v>
      </c>
      <c r="I110" s="377">
        <f>E110*'мат вода'!$F$34</f>
        <v>201.61171084729224</v>
      </c>
      <c r="J110" s="402">
        <f t="shared" si="7"/>
        <v>0.40061114918097146</v>
      </c>
    </row>
    <row r="111" spans="1:10" s="380" customFormat="1" ht="10.5" x14ac:dyDescent="0.2">
      <c r="A111" s="381">
        <v>109</v>
      </c>
      <c r="B111" s="382" t="s">
        <v>439</v>
      </c>
      <c r="C111" s="384">
        <v>1573.08</v>
      </c>
      <c r="D111" s="383">
        <v>148</v>
      </c>
      <c r="E111" s="379">
        <f t="shared" si="4"/>
        <v>2.406895430151244E-2</v>
      </c>
      <c r="F111" s="377">
        <f t="shared" si="5"/>
        <v>232.45350788746137</v>
      </c>
      <c r="G111" s="377">
        <f t="shared" si="6"/>
        <v>51.139771735241503</v>
      </c>
      <c r="H111" s="377">
        <f>F111*'92'!$C$20/100</f>
        <v>46.231948476475999</v>
      </c>
      <c r="I111" s="377">
        <f>E111*'мат вода'!$F$34</f>
        <v>42.026103106196132</v>
      </c>
      <c r="J111" s="402">
        <f t="shared" si="7"/>
        <v>0.23638424695843505</v>
      </c>
    </row>
    <row r="112" spans="1:10" s="380" customFormat="1" ht="10.5" x14ac:dyDescent="0.2">
      <c r="A112" s="381">
        <v>110</v>
      </c>
      <c r="B112" s="382" t="s">
        <v>440</v>
      </c>
      <c r="C112" s="384">
        <v>3168.45</v>
      </c>
      <c r="D112" s="383">
        <v>356</v>
      </c>
      <c r="E112" s="379">
        <f t="shared" si="4"/>
        <v>5.7895592779313707E-2</v>
      </c>
      <c r="F112" s="377">
        <f t="shared" si="5"/>
        <v>559.14492437794763</v>
      </c>
      <c r="G112" s="377">
        <f t="shared" si="6"/>
        <v>123.01188336314848</v>
      </c>
      <c r="H112" s="377">
        <f>F112*'92'!$C$20/100</f>
        <v>111.20657876773956</v>
      </c>
      <c r="I112" s="377">
        <f>E112*'мат вода'!$F$34</f>
        <v>101.08981557976907</v>
      </c>
      <c r="J112" s="402">
        <f t="shared" si="7"/>
        <v>0.28229992649043056</v>
      </c>
    </row>
    <row r="113" spans="1:10" s="380" customFormat="1" ht="10.5" x14ac:dyDescent="0.2">
      <c r="A113" s="381">
        <v>111</v>
      </c>
      <c r="B113" s="382" t="s">
        <v>441</v>
      </c>
      <c r="C113" s="384">
        <v>3182.6</v>
      </c>
      <c r="D113" s="383">
        <v>356</v>
      </c>
      <c r="E113" s="379">
        <f t="shared" si="4"/>
        <v>5.7895592779313707E-2</v>
      </c>
      <c r="F113" s="377">
        <f t="shared" si="5"/>
        <v>559.14492437794763</v>
      </c>
      <c r="G113" s="377">
        <f t="shared" si="6"/>
        <v>123.01188336314848</v>
      </c>
      <c r="H113" s="377">
        <f>F113*'92'!$C$20/100</f>
        <v>111.20657876773956</v>
      </c>
      <c r="I113" s="377">
        <f>E113*'мат вода'!$F$34</f>
        <v>101.08981557976907</v>
      </c>
      <c r="J113" s="402">
        <f t="shared" si="7"/>
        <v>0.28104480678960747</v>
      </c>
    </row>
    <row r="114" spans="1:10" s="380" customFormat="1" ht="10.5" x14ac:dyDescent="0.2">
      <c r="A114" s="381">
        <v>112</v>
      </c>
      <c r="B114" s="382" t="s">
        <v>442</v>
      </c>
      <c r="C114" s="384">
        <v>2283.1999999999998</v>
      </c>
      <c r="D114" s="383">
        <v>305</v>
      </c>
      <c r="E114" s="379">
        <f t="shared" si="4"/>
        <v>4.9601561229468204E-2</v>
      </c>
      <c r="F114" s="377">
        <f t="shared" si="5"/>
        <v>479.04270206537649</v>
      </c>
      <c r="G114" s="377">
        <f t="shared" si="6"/>
        <v>105.38939445438282</v>
      </c>
      <c r="H114" s="377">
        <f>F114*'92'!$C$20/100</f>
        <v>95.27529922517013</v>
      </c>
      <c r="I114" s="377">
        <f>E114*'мат вода'!$F$34</f>
        <v>86.607847617498777</v>
      </c>
      <c r="J114" s="402">
        <f t="shared" si="7"/>
        <v>0.33563211429678885</v>
      </c>
    </row>
    <row r="115" spans="1:10" s="380" customFormat="1" ht="10.5" x14ac:dyDescent="0.2">
      <c r="A115" s="381">
        <v>113</v>
      </c>
      <c r="B115" s="382" t="s">
        <v>443</v>
      </c>
      <c r="C115" s="384">
        <v>1091.7</v>
      </c>
      <c r="D115" s="383">
        <v>100</v>
      </c>
      <c r="E115" s="379">
        <f t="shared" si="4"/>
        <v>1.626280696048138E-2</v>
      </c>
      <c r="F115" s="377">
        <f t="shared" si="5"/>
        <v>157.06318100504149</v>
      </c>
      <c r="G115" s="377">
        <f t="shared" si="6"/>
        <v>34.553899821109127</v>
      </c>
      <c r="H115" s="377">
        <f>F115*'92'!$C$20/100</f>
        <v>31.237803024645945</v>
      </c>
      <c r="I115" s="377">
        <f>E115*'мат вода'!$F$34</f>
        <v>28.396015612294686</v>
      </c>
      <c r="J115" s="402">
        <f t="shared" si="7"/>
        <v>0.23014646831830288</v>
      </c>
    </row>
    <row r="116" spans="1:10" s="380" customFormat="1" ht="10.5" x14ac:dyDescent="0.2">
      <c r="A116" s="381">
        <v>114</v>
      </c>
      <c r="B116" s="382" t="s">
        <v>444</v>
      </c>
      <c r="C116" s="384">
        <v>1733.3</v>
      </c>
      <c r="D116" s="383">
        <v>132</v>
      </c>
      <c r="E116" s="379">
        <f t="shared" si="4"/>
        <v>2.1466905187835419E-2</v>
      </c>
      <c r="F116" s="377">
        <f t="shared" si="5"/>
        <v>207.32339892665473</v>
      </c>
      <c r="G116" s="377">
        <f t="shared" si="6"/>
        <v>45.611147763864039</v>
      </c>
      <c r="H116" s="377">
        <f>F116*'92'!$C$20/100</f>
        <v>41.233899992532642</v>
      </c>
      <c r="I116" s="377">
        <f>E116*'мат вода'!$F$34</f>
        <v>37.48274060822898</v>
      </c>
      <c r="J116" s="402">
        <f t="shared" si="7"/>
        <v>0.19134090307002849</v>
      </c>
    </row>
    <row r="117" spans="1:10" s="380" customFormat="1" ht="10.5" x14ac:dyDescent="0.2">
      <c r="A117" s="381">
        <v>115</v>
      </c>
      <c r="B117" s="382" t="s">
        <v>445</v>
      </c>
      <c r="C117" s="384">
        <v>1752.82</v>
      </c>
      <c r="D117" s="383">
        <v>135</v>
      </c>
      <c r="E117" s="379">
        <f t="shared" si="4"/>
        <v>2.1954789396649861E-2</v>
      </c>
      <c r="F117" s="377">
        <f t="shared" si="5"/>
        <v>212.03529435680599</v>
      </c>
      <c r="G117" s="377">
        <f t="shared" si="6"/>
        <v>46.647764758497317</v>
      </c>
      <c r="H117" s="377">
        <f>F117*'92'!$C$20/100</f>
        <v>42.171034083272026</v>
      </c>
      <c r="I117" s="377">
        <f>E117*'мат вода'!$F$34</f>
        <v>38.33462107659782</v>
      </c>
      <c r="J117" s="402">
        <f t="shared" si="7"/>
        <v>0.19351029442565307</v>
      </c>
    </row>
    <row r="118" spans="1:10" s="380" customFormat="1" ht="10.5" x14ac:dyDescent="0.2">
      <c r="A118" s="381">
        <v>116</v>
      </c>
      <c r="B118" s="382" t="s">
        <v>446</v>
      </c>
      <c r="C118" s="384">
        <v>3688.59</v>
      </c>
      <c r="D118" s="383">
        <v>422</v>
      </c>
      <c r="E118" s="379">
        <f t="shared" si="4"/>
        <v>6.8629045373231418E-2</v>
      </c>
      <c r="F118" s="377">
        <f t="shared" si="5"/>
        <v>662.80662384127504</v>
      </c>
      <c r="G118" s="377">
        <f t="shared" si="6"/>
        <v>145.8174572450805</v>
      </c>
      <c r="H118" s="377">
        <f>F118*'92'!$C$20/100</f>
        <v>131.82352876400589</v>
      </c>
      <c r="I118" s="377">
        <f>E118*'мат вода'!$F$34</f>
        <v>119.83118588388356</v>
      </c>
      <c r="J118" s="402">
        <f t="shared" si="7"/>
        <v>0.28744826498316295</v>
      </c>
    </row>
    <row r="119" spans="1:10" s="380" customFormat="1" ht="10.5" x14ac:dyDescent="0.2">
      <c r="A119" s="381">
        <v>117</v>
      </c>
      <c r="B119" s="382" t="s">
        <v>447</v>
      </c>
      <c r="C119" s="384">
        <v>3868.13</v>
      </c>
      <c r="D119" s="383">
        <v>241</v>
      </c>
      <c r="E119" s="379">
        <f t="shared" si="4"/>
        <v>3.9193364774760125E-2</v>
      </c>
      <c r="F119" s="377">
        <f t="shared" si="5"/>
        <v>378.52226622214999</v>
      </c>
      <c r="G119" s="377">
        <f t="shared" si="6"/>
        <v>83.274898568872999</v>
      </c>
      <c r="H119" s="377">
        <f>F119*'92'!$C$20/100</f>
        <v>75.28310528939673</v>
      </c>
      <c r="I119" s="377">
        <f>E119*'мат вода'!$F$34</f>
        <v>68.434397625630197</v>
      </c>
      <c r="J119" s="402">
        <f t="shared" si="7"/>
        <v>0.15653937890041181</v>
      </c>
    </row>
    <row r="120" spans="1:10" s="380" customFormat="1" ht="10.5" x14ac:dyDescent="0.2">
      <c r="A120" s="381">
        <v>118</v>
      </c>
      <c r="B120" s="382" t="s">
        <v>448</v>
      </c>
      <c r="C120" s="384">
        <v>2821.38</v>
      </c>
      <c r="D120" s="383">
        <v>220</v>
      </c>
      <c r="E120" s="379">
        <f t="shared" si="4"/>
        <v>3.5778175313059032E-2</v>
      </c>
      <c r="F120" s="377">
        <f t="shared" si="5"/>
        <v>345.53899821109121</v>
      </c>
      <c r="G120" s="377">
        <f t="shared" si="6"/>
        <v>76.018579606440071</v>
      </c>
      <c r="H120" s="377">
        <f>F120*'92'!$C$20/100</f>
        <v>68.723166654221075</v>
      </c>
      <c r="I120" s="377">
        <f>E120*'мат вода'!$F$34</f>
        <v>62.471234347048302</v>
      </c>
      <c r="J120" s="402">
        <f t="shared" si="7"/>
        <v>0.19591546648051686</v>
      </c>
    </row>
    <row r="121" spans="1:10" s="380" customFormat="1" ht="10.5" x14ac:dyDescent="0.2">
      <c r="A121" s="381">
        <v>119</v>
      </c>
      <c r="B121" s="382" t="s">
        <v>449</v>
      </c>
      <c r="C121" s="384">
        <v>4277.29</v>
      </c>
      <c r="D121" s="383">
        <v>335</v>
      </c>
      <c r="E121" s="379">
        <f t="shared" si="4"/>
        <v>5.448040331761262E-2</v>
      </c>
      <c r="F121" s="377">
        <f t="shared" si="5"/>
        <v>526.16165636688891</v>
      </c>
      <c r="G121" s="377">
        <f t="shared" si="6"/>
        <v>115.75556440071556</v>
      </c>
      <c r="H121" s="377">
        <f>F121*'92'!$C$20/100</f>
        <v>104.64664013256392</v>
      </c>
      <c r="I121" s="377">
        <f>E121*'мат вода'!$F$34</f>
        <v>95.126652301187193</v>
      </c>
      <c r="J121" s="402">
        <f t="shared" si="7"/>
        <v>0.19678125944262737</v>
      </c>
    </row>
    <row r="122" spans="1:10" s="380" customFormat="1" ht="10.5" x14ac:dyDescent="0.2">
      <c r="A122" s="381">
        <v>120</v>
      </c>
      <c r="B122" s="382" t="s">
        <v>450</v>
      </c>
      <c r="C122" s="384">
        <v>2171.3000000000002</v>
      </c>
      <c r="D122" s="383">
        <v>162</v>
      </c>
      <c r="E122" s="379">
        <f t="shared" si="4"/>
        <v>2.6345747275979835E-2</v>
      </c>
      <c r="F122" s="377">
        <f t="shared" si="5"/>
        <v>254.44235322816721</v>
      </c>
      <c r="G122" s="377">
        <f t="shared" si="6"/>
        <v>55.977317710196786</v>
      </c>
      <c r="H122" s="377">
        <f>F122*'92'!$C$20/100</f>
        <v>50.605240899926429</v>
      </c>
      <c r="I122" s="377">
        <f>E122*'мат вода'!$F$34</f>
        <v>46.001545291917388</v>
      </c>
      <c r="J122" s="402">
        <f t="shared" si="7"/>
        <v>0.18745749418790947</v>
      </c>
    </row>
    <row r="123" spans="1:10" s="380" customFormat="1" ht="13.5" customHeight="1" x14ac:dyDescent="0.2">
      <c r="A123" s="381">
        <v>121</v>
      </c>
      <c r="B123" s="382" t="s">
        <v>451</v>
      </c>
      <c r="C123" s="384">
        <v>5707.1</v>
      </c>
      <c r="D123" s="383">
        <v>620</v>
      </c>
      <c r="E123" s="379">
        <f t="shared" si="4"/>
        <v>0.10082940315498455</v>
      </c>
      <c r="F123" s="377">
        <f t="shared" si="5"/>
        <v>973.79172223125715</v>
      </c>
      <c r="G123" s="377">
        <f t="shared" si="6"/>
        <v>214.23417889087656</v>
      </c>
      <c r="H123" s="377">
        <f>F123*'92'!$C$20/100</f>
        <v>193.67437875280487</v>
      </c>
      <c r="I123" s="377">
        <f>E123*'мат вода'!$F$34</f>
        <v>176.05529679622705</v>
      </c>
      <c r="J123" s="402">
        <f t="shared" si="7"/>
        <v>0.2729504611223153</v>
      </c>
    </row>
    <row r="124" spans="1:10" s="380" customFormat="1" ht="13.5" customHeight="1" x14ac:dyDescent="0.2">
      <c r="A124" s="381">
        <v>122</v>
      </c>
      <c r="B124" s="382" t="s">
        <v>452</v>
      </c>
      <c r="C124" s="384">
        <v>1727.35</v>
      </c>
      <c r="D124" s="383">
        <v>145</v>
      </c>
      <c r="E124" s="379">
        <f t="shared" si="4"/>
        <v>2.3581070092698001E-2</v>
      </c>
      <c r="F124" s="377">
        <f t="shared" si="5"/>
        <v>227.74161245731017</v>
      </c>
      <c r="G124" s="377">
        <f t="shared" si="6"/>
        <v>50.103154740608232</v>
      </c>
      <c r="H124" s="377">
        <f>F124*'92'!$C$20/100</f>
        <v>45.294814385736629</v>
      </c>
      <c r="I124" s="377">
        <f>E124*'мат вода'!$F$34</f>
        <v>41.174222637827292</v>
      </c>
      <c r="J124" s="402">
        <f t="shared" si="7"/>
        <v>0.21090908282715276</v>
      </c>
    </row>
    <row r="125" spans="1:10" s="380" customFormat="1" ht="13.5" customHeight="1" x14ac:dyDescent="0.2">
      <c r="A125" s="381">
        <v>123</v>
      </c>
      <c r="B125" s="382" t="s">
        <v>453</v>
      </c>
      <c r="C125" s="384">
        <v>2522.5500000000002</v>
      </c>
      <c r="D125" s="383">
        <v>140</v>
      </c>
      <c r="E125" s="379">
        <f t="shared" si="4"/>
        <v>2.2767929744673929E-2</v>
      </c>
      <c r="F125" s="377">
        <f t="shared" si="5"/>
        <v>219.88845340705805</v>
      </c>
      <c r="G125" s="377">
        <f t="shared" si="6"/>
        <v>48.375459749552775</v>
      </c>
      <c r="H125" s="377">
        <f>F125*'92'!$C$20/100</f>
        <v>43.732924234504317</v>
      </c>
      <c r="I125" s="377">
        <f>E125*'мат вода'!$F$34</f>
        <v>39.754421857212556</v>
      </c>
      <c r="J125" s="402">
        <f t="shared" si="7"/>
        <v>0.13944273027227513</v>
      </c>
    </row>
    <row r="126" spans="1:10" s="380" customFormat="1" ht="13.5" customHeight="1" x14ac:dyDescent="0.2">
      <c r="A126" s="381">
        <v>124</v>
      </c>
      <c r="B126" s="382" t="s">
        <v>454</v>
      </c>
      <c r="C126" s="384">
        <v>2516.6999999999998</v>
      </c>
      <c r="D126" s="383">
        <v>228</v>
      </c>
      <c r="E126" s="379">
        <f t="shared" si="4"/>
        <v>3.7079199869897543E-2</v>
      </c>
      <c r="F126" s="377">
        <f t="shared" si="5"/>
        <v>358.10405269149459</v>
      </c>
      <c r="G126" s="377">
        <f t="shared" si="6"/>
        <v>78.782891592128806</v>
      </c>
      <c r="H126" s="377">
        <f>F126*'92'!$C$20/100</f>
        <v>71.222190896192757</v>
      </c>
      <c r="I126" s="377">
        <f>E126*'мат вода'!$F$34</f>
        <v>64.742915596031878</v>
      </c>
      <c r="J126" s="402">
        <f t="shared" si="7"/>
        <v>0.22762031659548143</v>
      </c>
    </row>
    <row r="127" spans="1:10" s="380" customFormat="1" ht="13.5" customHeight="1" x14ac:dyDescent="0.2">
      <c r="A127" s="381">
        <v>125</v>
      </c>
      <c r="B127" s="382" t="s">
        <v>455</v>
      </c>
      <c r="C127" s="384">
        <v>1774.47</v>
      </c>
      <c r="D127" s="383">
        <v>145</v>
      </c>
      <c r="E127" s="379">
        <f t="shared" si="4"/>
        <v>2.3581070092698001E-2</v>
      </c>
      <c r="F127" s="377">
        <f t="shared" si="5"/>
        <v>227.74161245731017</v>
      </c>
      <c r="G127" s="377">
        <f t="shared" si="6"/>
        <v>50.103154740608232</v>
      </c>
      <c r="H127" s="377">
        <f>F127*'92'!$C$20/100</f>
        <v>45.294814385736629</v>
      </c>
      <c r="I127" s="377">
        <f>E127*'мат вода'!$F$34</f>
        <v>41.174222637827292</v>
      </c>
      <c r="J127" s="402">
        <f t="shared" si="7"/>
        <v>0.20530851703409037</v>
      </c>
    </row>
    <row r="128" spans="1:10" s="380" customFormat="1" ht="13.5" customHeight="1" x14ac:dyDescent="0.2">
      <c r="A128" s="381">
        <v>126</v>
      </c>
      <c r="B128" s="382" t="s">
        <v>456</v>
      </c>
      <c r="C128" s="384">
        <v>1727.7</v>
      </c>
      <c r="D128" s="383">
        <v>180</v>
      </c>
      <c r="E128" s="379">
        <f t="shared" si="4"/>
        <v>2.9273052528866483E-2</v>
      </c>
      <c r="F128" s="377">
        <f t="shared" si="5"/>
        <v>282.71372580907467</v>
      </c>
      <c r="G128" s="377">
        <f t="shared" si="6"/>
        <v>62.19701967799643</v>
      </c>
      <c r="H128" s="377">
        <f>F128*'92'!$C$20/100</f>
        <v>56.228045444362706</v>
      </c>
      <c r="I128" s="377">
        <f>E128*'мат вода'!$F$34</f>
        <v>51.112828102130429</v>
      </c>
      <c r="J128" s="402">
        <f t="shared" si="7"/>
        <v>0.26176513227618464</v>
      </c>
    </row>
    <row r="129" spans="1:10" s="380" customFormat="1" ht="13.5" customHeight="1" x14ac:dyDescent="0.2">
      <c r="A129" s="381">
        <v>127</v>
      </c>
      <c r="B129" s="382" t="s">
        <v>457</v>
      </c>
      <c r="C129" s="384">
        <v>3216.3</v>
      </c>
      <c r="D129" s="383">
        <v>320</v>
      </c>
      <c r="E129" s="379">
        <f t="shared" si="4"/>
        <v>5.2040982273540412E-2</v>
      </c>
      <c r="F129" s="377">
        <f t="shared" si="5"/>
        <v>502.6021792161327</v>
      </c>
      <c r="G129" s="377">
        <f t="shared" si="6"/>
        <v>110.57247942754918</v>
      </c>
      <c r="H129" s="377">
        <f>F129*'92'!$C$20/100</f>
        <v>99.960969678867016</v>
      </c>
      <c r="I129" s="377">
        <f>E129*'мат вода'!$F$34</f>
        <v>90.867249959342985</v>
      </c>
      <c r="J129" s="402">
        <f>((F129+G129+H129+I129)/C129)*10/100</f>
        <v>2.499775761844019E-2</v>
      </c>
    </row>
    <row r="130" spans="1:10" s="380" customFormat="1" ht="13.5" customHeight="1" x14ac:dyDescent="0.2">
      <c r="A130" s="381">
        <v>128</v>
      </c>
      <c r="B130" s="382" t="s">
        <v>458</v>
      </c>
      <c r="C130" s="384">
        <v>3895.1</v>
      </c>
      <c r="D130" s="383">
        <v>554</v>
      </c>
      <c r="E130" s="379">
        <f t="shared" si="4"/>
        <v>9.009595056106684E-2</v>
      </c>
      <c r="F130" s="377">
        <f t="shared" si="5"/>
        <v>870.13002276792974</v>
      </c>
      <c r="G130" s="377">
        <f t="shared" si="6"/>
        <v>191.42860500894454</v>
      </c>
      <c r="H130" s="377">
        <f>F130*'92'!$C$20/100</f>
        <v>173.05742875653854</v>
      </c>
      <c r="I130" s="377">
        <f>E130*'мат вода'!$F$34</f>
        <v>157.31392649211256</v>
      </c>
      <c r="J130" s="402">
        <f t="shared" si="7"/>
        <v>0.35735410721817806</v>
      </c>
    </row>
    <row r="131" spans="1:10" s="380" customFormat="1" ht="13.5" customHeight="1" x14ac:dyDescent="0.2">
      <c r="A131" s="381">
        <v>129</v>
      </c>
      <c r="B131" s="382" t="s">
        <v>459</v>
      </c>
      <c r="C131" s="384">
        <v>4002.8</v>
      </c>
      <c r="D131" s="383">
        <v>662</v>
      </c>
      <c r="E131" s="379">
        <f t="shared" ref="E131:E160" si="8">D131/$E$163</f>
        <v>0.10765978207838672</v>
      </c>
      <c r="F131" s="377">
        <f t="shared" ref="F131:F160" si="9">E131*$F$163</f>
        <v>1039.7582582533746</v>
      </c>
      <c r="G131" s="377">
        <f t="shared" si="6"/>
        <v>228.74681681574242</v>
      </c>
      <c r="H131" s="377">
        <f>F131*'92'!$C$20/100</f>
        <v>206.79425602315615</v>
      </c>
      <c r="I131" s="377">
        <f>E131*'мат вода'!$F$34</f>
        <v>187.9816233533908</v>
      </c>
      <c r="J131" s="402">
        <f t="shared" si="7"/>
        <v>0.41552936805377833</v>
      </c>
    </row>
    <row r="132" spans="1:10" s="380" customFormat="1" ht="13.5" customHeight="1" x14ac:dyDescent="0.2">
      <c r="A132" s="381">
        <v>130</v>
      </c>
      <c r="B132" s="382" t="s">
        <v>460</v>
      </c>
      <c r="C132" s="384">
        <v>3852.63</v>
      </c>
      <c r="D132" s="383">
        <v>560</v>
      </c>
      <c r="E132" s="379">
        <f t="shared" si="8"/>
        <v>9.1071718978695718E-2</v>
      </c>
      <c r="F132" s="377">
        <f t="shared" si="9"/>
        <v>879.55381362823221</v>
      </c>
      <c r="G132" s="377">
        <f t="shared" ref="G132:G160" si="10">F132*22/100</f>
        <v>193.5018389982111</v>
      </c>
      <c r="H132" s="377">
        <f>F132*'92'!$C$20/100</f>
        <v>174.93169693801727</v>
      </c>
      <c r="I132" s="377">
        <f>E132*'мат вода'!$F$34</f>
        <v>159.01768742885022</v>
      </c>
      <c r="J132" s="402">
        <f>((F132+G132+H132+I132)/C132)*10/100</f>
        <v>3.6520637512382728E-2</v>
      </c>
    </row>
    <row r="133" spans="1:10" s="380" customFormat="1" ht="13.5" customHeight="1" x14ac:dyDescent="0.2">
      <c r="A133" s="381">
        <v>131</v>
      </c>
      <c r="B133" s="382" t="s">
        <v>461</v>
      </c>
      <c r="C133" s="384">
        <v>3560.4</v>
      </c>
      <c r="D133" s="383">
        <v>400</v>
      </c>
      <c r="E133" s="379">
        <f t="shared" si="8"/>
        <v>6.5051227841925519E-2</v>
      </c>
      <c r="F133" s="377">
        <f t="shared" si="9"/>
        <v>628.25272402016594</v>
      </c>
      <c r="G133" s="377">
        <f t="shared" si="10"/>
        <v>138.21559928443651</v>
      </c>
      <c r="H133" s="377">
        <f>F133*'92'!$C$20/100</f>
        <v>124.95121209858378</v>
      </c>
      <c r="I133" s="377">
        <f>E133*'мат вода'!$F$34</f>
        <v>113.58406244917875</v>
      </c>
      <c r="J133" s="402">
        <f>((F133+G133+H133+I133)/C133)*10/100</f>
        <v>2.8227266538938461E-2</v>
      </c>
    </row>
    <row r="134" spans="1:10" s="380" customFormat="1" ht="13.5" customHeight="1" x14ac:dyDescent="0.2">
      <c r="A134" s="381">
        <v>132</v>
      </c>
      <c r="B134" s="382" t="s">
        <v>462</v>
      </c>
      <c r="C134" s="384">
        <v>944.7</v>
      </c>
      <c r="D134" s="383">
        <v>60</v>
      </c>
      <c r="E134" s="379">
        <f t="shared" si="8"/>
        <v>9.7576841762888281E-3</v>
      </c>
      <c r="F134" s="377">
        <f t="shared" si="9"/>
        <v>94.237908603024891</v>
      </c>
      <c r="G134" s="377">
        <f t="shared" si="10"/>
        <v>20.732339892665479</v>
      </c>
      <c r="H134" s="377">
        <f>F134*'92'!$C$20/100</f>
        <v>18.742681814787566</v>
      </c>
      <c r="I134" s="377">
        <f>E134*'мат вода'!$F$34</f>
        <v>17.037609367376813</v>
      </c>
      <c r="J134" s="402">
        <f t="shared" ref="J134:J161" si="11">((F134+G134+H134+I134)/C134)</f>
        <v>0.15957503935413858</v>
      </c>
    </row>
    <row r="135" spans="1:10" s="380" customFormat="1" ht="13.5" customHeight="1" x14ac:dyDescent="0.2">
      <c r="A135" s="381">
        <v>133</v>
      </c>
      <c r="B135" s="382" t="s">
        <v>463</v>
      </c>
      <c r="C135" s="384">
        <v>2428.5</v>
      </c>
      <c r="D135" s="383">
        <v>430</v>
      </c>
      <c r="E135" s="379">
        <f t="shared" si="8"/>
        <v>6.9930069930069935E-2</v>
      </c>
      <c r="F135" s="377">
        <f t="shared" si="9"/>
        <v>675.37167832167836</v>
      </c>
      <c r="G135" s="377">
        <f t="shared" si="10"/>
        <v>148.58176923076925</v>
      </c>
      <c r="H135" s="377">
        <f>F135*'92'!$C$20/100</f>
        <v>134.32255300597757</v>
      </c>
      <c r="I135" s="377">
        <f>E135*'мат вода'!$F$34</f>
        <v>122.10286713286715</v>
      </c>
      <c r="J135" s="402">
        <f t="shared" si="11"/>
        <v>0.44487497125439263</v>
      </c>
    </row>
    <row r="136" spans="1:10" s="380" customFormat="1" ht="13.5" customHeight="1" x14ac:dyDescent="0.2">
      <c r="A136" s="381">
        <v>134</v>
      </c>
      <c r="B136" s="382" t="s">
        <v>464</v>
      </c>
      <c r="C136" s="384">
        <v>4861.91</v>
      </c>
      <c r="D136" s="383">
        <v>700</v>
      </c>
      <c r="E136" s="379">
        <f t="shared" si="8"/>
        <v>0.11383964872336966</v>
      </c>
      <c r="F136" s="377">
        <f t="shared" si="9"/>
        <v>1099.4422670352903</v>
      </c>
      <c r="G136" s="377">
        <f t="shared" si="10"/>
        <v>241.87729874776389</v>
      </c>
      <c r="H136" s="377">
        <f>F136*'92'!$C$20/100</f>
        <v>218.66462117252161</v>
      </c>
      <c r="I136" s="377">
        <f>E136*'мат вода'!$F$34</f>
        <v>198.7721092860628</v>
      </c>
      <c r="J136" s="402">
        <f t="shared" si="11"/>
        <v>0.36174184553840749</v>
      </c>
    </row>
    <row r="137" spans="1:10" s="380" customFormat="1" ht="13.5" customHeight="1" x14ac:dyDescent="0.2">
      <c r="A137" s="381">
        <v>135</v>
      </c>
      <c r="B137" s="382" t="s">
        <v>465</v>
      </c>
      <c r="C137" s="384">
        <v>3078.77</v>
      </c>
      <c r="D137" s="383">
        <v>670</v>
      </c>
      <c r="E137" s="379">
        <f t="shared" si="8"/>
        <v>0.10896080663522524</v>
      </c>
      <c r="F137" s="377">
        <f t="shared" si="9"/>
        <v>1052.3233127337778</v>
      </c>
      <c r="G137" s="377">
        <f t="shared" si="10"/>
        <v>231.51112880143111</v>
      </c>
      <c r="H137" s="377">
        <f>F137*'92'!$C$20/100</f>
        <v>209.29328026512783</v>
      </c>
      <c r="I137" s="377">
        <f>E137*'мат вода'!$F$34</f>
        <v>190.25330460237439</v>
      </c>
      <c r="J137" s="402">
        <f t="shared" si="11"/>
        <v>0.54677063450751795</v>
      </c>
    </row>
    <row r="138" spans="1:10" s="380" customFormat="1" ht="13.5" customHeight="1" x14ac:dyDescent="0.2">
      <c r="A138" s="381">
        <v>136</v>
      </c>
      <c r="B138" s="382" t="s">
        <v>466</v>
      </c>
      <c r="C138" s="384">
        <v>3188.68</v>
      </c>
      <c r="D138" s="383">
        <v>270</v>
      </c>
      <c r="E138" s="379">
        <f t="shared" si="8"/>
        <v>4.3909578793299722E-2</v>
      </c>
      <c r="F138" s="377">
        <f t="shared" si="9"/>
        <v>424.07058871361198</v>
      </c>
      <c r="G138" s="377">
        <f t="shared" si="10"/>
        <v>93.295529516994634</v>
      </c>
      <c r="H138" s="377">
        <f>F138*'92'!$C$20/100</f>
        <v>84.342068166544053</v>
      </c>
      <c r="I138" s="377">
        <f>E138*'мат вода'!$F$34</f>
        <v>76.66924215319564</v>
      </c>
      <c r="J138" s="402">
        <f t="shared" si="11"/>
        <v>0.21274553374761546</v>
      </c>
    </row>
    <row r="139" spans="1:10" s="380" customFormat="1" ht="13.5" customHeight="1" x14ac:dyDescent="0.2">
      <c r="A139" s="381">
        <v>137</v>
      </c>
      <c r="B139" s="382" t="s">
        <v>467</v>
      </c>
      <c r="C139" s="384">
        <v>2782.65</v>
      </c>
      <c r="D139" s="383">
        <v>230</v>
      </c>
      <c r="E139" s="379">
        <f t="shared" si="8"/>
        <v>3.7404456009107169E-2</v>
      </c>
      <c r="F139" s="377">
        <f t="shared" si="9"/>
        <v>361.24531631159539</v>
      </c>
      <c r="G139" s="377">
        <f t="shared" si="10"/>
        <v>79.473969588550986</v>
      </c>
      <c r="H139" s="377">
        <f>F139*'92'!$C$20/100</f>
        <v>71.84694695668567</v>
      </c>
      <c r="I139" s="377">
        <f>E139*'мат вода'!$F$34</f>
        <v>65.310835908277767</v>
      </c>
      <c r="J139" s="402">
        <f t="shared" si="11"/>
        <v>0.20767148896379703</v>
      </c>
    </row>
    <row r="140" spans="1:10" s="380" customFormat="1" ht="10.5" x14ac:dyDescent="0.2">
      <c r="A140" s="381">
        <v>138</v>
      </c>
      <c r="B140" s="382" t="s">
        <v>468</v>
      </c>
      <c r="C140" s="384">
        <v>2258.6</v>
      </c>
      <c r="D140" s="383">
        <v>500</v>
      </c>
      <c r="E140" s="379">
        <f t="shared" si="8"/>
        <v>8.1314034802406898E-2</v>
      </c>
      <c r="F140" s="377">
        <f t="shared" si="9"/>
        <v>785.31590502520737</v>
      </c>
      <c r="G140" s="377">
        <f t="shared" si="10"/>
        <v>172.76949910554561</v>
      </c>
      <c r="H140" s="377">
        <f>F140*'92'!$C$20/100</f>
        <v>156.18901512322972</v>
      </c>
      <c r="I140" s="377">
        <f>E140*'мат вода'!$F$34</f>
        <v>141.98007806147342</v>
      </c>
      <c r="J140" s="402">
        <f t="shared" si="11"/>
        <v>0.55620937630189327</v>
      </c>
    </row>
    <row r="141" spans="1:10" s="380" customFormat="1" ht="10.5" x14ac:dyDescent="0.2">
      <c r="A141" s="381">
        <v>139</v>
      </c>
      <c r="B141" s="382" t="s">
        <v>469</v>
      </c>
      <c r="C141" s="384">
        <v>1910</v>
      </c>
      <c r="D141" s="383">
        <v>325</v>
      </c>
      <c r="E141" s="379">
        <f t="shared" si="8"/>
        <v>5.2854122621564484E-2</v>
      </c>
      <c r="F141" s="377">
        <f t="shared" si="9"/>
        <v>510.45533826638484</v>
      </c>
      <c r="G141" s="377">
        <f t="shared" si="10"/>
        <v>112.30017441860466</v>
      </c>
      <c r="H141" s="377">
        <f>F141*'92'!$C$20/100</f>
        <v>101.52285983009934</v>
      </c>
      <c r="I141" s="377">
        <f>E141*'мат вода'!$F$34</f>
        <v>92.287050739957721</v>
      </c>
      <c r="J141" s="402">
        <f t="shared" si="11"/>
        <v>0.42752116400787782</v>
      </c>
    </row>
    <row r="142" spans="1:10" s="380" customFormat="1" ht="10.5" x14ac:dyDescent="0.2">
      <c r="A142" s="381">
        <v>140</v>
      </c>
      <c r="B142" s="382" t="s">
        <v>470</v>
      </c>
      <c r="C142" s="384">
        <v>2522.5</v>
      </c>
      <c r="D142" s="383">
        <v>214</v>
      </c>
      <c r="E142" s="379">
        <f t="shared" si="8"/>
        <v>3.4802406895430155E-2</v>
      </c>
      <c r="F142" s="377">
        <f t="shared" si="9"/>
        <v>336.11520735078881</v>
      </c>
      <c r="G142" s="377">
        <f t="shared" si="10"/>
        <v>73.94534561717353</v>
      </c>
      <c r="H142" s="377">
        <f>F142*'92'!$C$20/100</f>
        <v>66.848898472742334</v>
      </c>
      <c r="I142" s="377">
        <f>E142*'мат вода'!$F$34</f>
        <v>60.767473410310629</v>
      </c>
      <c r="J142" s="402">
        <f t="shared" si="11"/>
        <v>0.21315239835520924</v>
      </c>
    </row>
    <row r="143" spans="1:10" s="380" customFormat="1" ht="10.5" x14ac:dyDescent="0.2">
      <c r="A143" s="381">
        <v>141</v>
      </c>
      <c r="B143" s="382" t="s">
        <v>471</v>
      </c>
      <c r="C143" s="384">
        <v>3459.82</v>
      </c>
      <c r="D143" s="383">
        <v>345</v>
      </c>
      <c r="E143" s="379">
        <f t="shared" si="8"/>
        <v>5.6106684013660757E-2</v>
      </c>
      <c r="F143" s="377">
        <f t="shared" si="9"/>
        <v>541.86797446739308</v>
      </c>
      <c r="G143" s="377">
        <f t="shared" si="10"/>
        <v>119.21095438282647</v>
      </c>
      <c r="H143" s="377">
        <f>F143*'92'!$C$20/100</f>
        <v>107.7704204350285</v>
      </c>
      <c r="I143" s="377">
        <f>E143*'мат вода'!$F$34</f>
        <v>97.966253862416664</v>
      </c>
      <c r="J143" s="402">
        <f t="shared" si="11"/>
        <v>0.25053777455118031</v>
      </c>
    </row>
    <row r="144" spans="1:10" s="380" customFormat="1" ht="10.5" x14ac:dyDescent="0.2">
      <c r="A144" s="381">
        <v>142</v>
      </c>
      <c r="B144" s="382" t="s">
        <v>472</v>
      </c>
      <c r="C144" s="384">
        <v>1752.03</v>
      </c>
      <c r="D144" s="383">
        <v>132</v>
      </c>
      <c r="E144" s="379">
        <f t="shared" si="8"/>
        <v>2.1466905187835419E-2</v>
      </c>
      <c r="F144" s="377">
        <f t="shared" si="9"/>
        <v>207.32339892665473</v>
      </c>
      <c r="G144" s="377">
        <f t="shared" si="10"/>
        <v>45.611147763864039</v>
      </c>
      <c r="H144" s="377">
        <f>F144*'92'!$C$20/100</f>
        <v>41.233899992532642</v>
      </c>
      <c r="I144" s="377">
        <f>E144*'мат вода'!$F$34</f>
        <v>37.48274060822898</v>
      </c>
      <c r="J144" s="402">
        <f t="shared" si="11"/>
        <v>0.18929538152387823</v>
      </c>
    </row>
    <row r="145" spans="1:10" s="380" customFormat="1" ht="10.5" x14ac:dyDescent="0.2">
      <c r="A145" s="381">
        <v>143</v>
      </c>
      <c r="B145" s="382" t="s">
        <v>473</v>
      </c>
      <c r="C145" s="384">
        <v>4953.7</v>
      </c>
      <c r="D145" s="383">
        <v>500</v>
      </c>
      <c r="E145" s="379">
        <f t="shared" si="8"/>
        <v>8.1314034802406898E-2</v>
      </c>
      <c r="F145" s="377">
        <f t="shared" si="9"/>
        <v>785.31590502520737</v>
      </c>
      <c r="G145" s="377">
        <f t="shared" si="10"/>
        <v>172.76949910554561</v>
      </c>
      <c r="H145" s="377">
        <f>F145*'92'!$C$20/100</f>
        <v>156.18901512322972</v>
      </c>
      <c r="I145" s="377">
        <f>E145*'мат вода'!$F$34</f>
        <v>141.98007806147342</v>
      </c>
      <c r="J145" s="402">
        <f t="shared" si="11"/>
        <v>0.25359922831730952</v>
      </c>
    </row>
    <row r="146" spans="1:10" s="380" customFormat="1" ht="10.5" x14ac:dyDescent="0.2">
      <c r="A146" s="381">
        <v>144</v>
      </c>
      <c r="B146" s="382" t="s">
        <v>474</v>
      </c>
      <c r="C146" s="384">
        <v>1706.17</v>
      </c>
      <c r="D146" s="383">
        <v>160</v>
      </c>
      <c r="E146" s="379">
        <f t="shared" si="8"/>
        <v>2.6020491136770206E-2</v>
      </c>
      <c r="F146" s="377">
        <f t="shared" si="9"/>
        <v>251.30108960806635</v>
      </c>
      <c r="G146" s="377">
        <f t="shared" si="10"/>
        <v>55.286239713774592</v>
      </c>
      <c r="H146" s="377">
        <f>F146*'92'!$C$20/100</f>
        <v>49.980484839433508</v>
      </c>
      <c r="I146" s="377">
        <f>E146*'мат вода'!$F$34</f>
        <v>45.433624979671492</v>
      </c>
      <c r="J146" s="402">
        <f t="shared" si="11"/>
        <v>0.23561628626745629</v>
      </c>
    </row>
    <row r="147" spans="1:10" s="380" customFormat="1" ht="10.5" x14ac:dyDescent="0.2">
      <c r="A147" s="381">
        <v>145</v>
      </c>
      <c r="B147" s="382" t="s">
        <v>475</v>
      </c>
      <c r="C147" s="384">
        <v>1135.3399999999999</v>
      </c>
      <c r="D147" s="383">
        <v>150</v>
      </c>
      <c r="E147" s="379">
        <f t="shared" si="8"/>
        <v>2.4394210440722069E-2</v>
      </c>
      <c r="F147" s="377">
        <f t="shared" si="9"/>
        <v>235.59477150756223</v>
      </c>
      <c r="G147" s="377">
        <f t="shared" si="10"/>
        <v>51.83084973166369</v>
      </c>
      <c r="H147" s="377">
        <f>F147*'92'!$C$20/100</f>
        <v>46.85670453696892</v>
      </c>
      <c r="I147" s="377">
        <f>E147*'мат вода'!$F$34</f>
        <v>42.594023418442028</v>
      </c>
      <c r="J147" s="402">
        <f t="shared" si="11"/>
        <v>0.33195020803868169</v>
      </c>
    </row>
    <row r="148" spans="1:10" s="380" customFormat="1" ht="10.5" x14ac:dyDescent="0.2">
      <c r="A148" s="381">
        <v>146</v>
      </c>
      <c r="B148" s="382" t="s">
        <v>476</v>
      </c>
      <c r="C148" s="384">
        <v>1716.28</v>
      </c>
      <c r="D148" s="383">
        <v>105</v>
      </c>
      <c r="E148" s="379">
        <f t="shared" si="8"/>
        <v>1.7075947308505448E-2</v>
      </c>
      <c r="F148" s="377">
        <f t="shared" si="9"/>
        <v>164.91634005529355</v>
      </c>
      <c r="G148" s="377">
        <f t="shared" si="10"/>
        <v>36.281594812164577</v>
      </c>
      <c r="H148" s="377">
        <f>F148*'92'!$C$20/100</f>
        <v>32.79969317587824</v>
      </c>
      <c r="I148" s="377">
        <f>E148*'мат вода'!$F$34</f>
        <v>29.815816392909419</v>
      </c>
      <c r="J148" s="402">
        <f t="shared" si="11"/>
        <v>0.15371235721225313</v>
      </c>
    </row>
    <row r="149" spans="1:10" s="380" customFormat="1" ht="10.5" x14ac:dyDescent="0.2">
      <c r="A149" s="381">
        <v>147</v>
      </c>
      <c r="B149" s="382" t="s">
        <v>477</v>
      </c>
      <c r="C149" s="384">
        <v>2696.17</v>
      </c>
      <c r="D149" s="383">
        <v>230</v>
      </c>
      <c r="E149" s="379">
        <f t="shared" si="8"/>
        <v>3.7404456009107169E-2</v>
      </c>
      <c r="F149" s="377">
        <f t="shared" si="9"/>
        <v>361.24531631159539</v>
      </c>
      <c r="G149" s="377">
        <f t="shared" si="10"/>
        <v>79.473969588550986</v>
      </c>
      <c r="H149" s="377">
        <f>F149*'92'!$C$20/100</f>
        <v>71.84694695668567</v>
      </c>
      <c r="I149" s="377">
        <f>E149*'мат вода'!$F$34</f>
        <v>65.310835908277767</v>
      </c>
      <c r="J149" s="402">
        <f t="shared" si="11"/>
        <v>0.2143325787191126</v>
      </c>
    </row>
    <row r="150" spans="1:10" s="380" customFormat="1" ht="10.5" x14ac:dyDescent="0.2">
      <c r="A150" s="381">
        <v>148</v>
      </c>
      <c r="B150" s="382" t="s">
        <v>478</v>
      </c>
      <c r="C150" s="384">
        <v>1747.74</v>
      </c>
      <c r="D150" s="383">
        <v>95</v>
      </c>
      <c r="E150" s="379">
        <f t="shared" si="8"/>
        <v>1.544966661245731E-2</v>
      </c>
      <c r="F150" s="377">
        <f t="shared" si="9"/>
        <v>149.2100219547894</v>
      </c>
      <c r="G150" s="377">
        <f t="shared" si="10"/>
        <v>32.826204830053669</v>
      </c>
      <c r="H150" s="377">
        <f>F150*'92'!$C$20/100</f>
        <v>29.675912873413644</v>
      </c>
      <c r="I150" s="377">
        <f>E150*'мат вода'!$F$34</f>
        <v>26.97621483167995</v>
      </c>
      <c r="J150" s="402">
        <f t="shared" si="11"/>
        <v>0.13656971545535185</v>
      </c>
    </row>
    <row r="151" spans="1:10" s="380" customFormat="1" ht="10.5" x14ac:dyDescent="0.2">
      <c r="A151" s="381">
        <v>149</v>
      </c>
      <c r="B151" s="382" t="s">
        <v>479</v>
      </c>
      <c r="C151" s="384">
        <v>1129.0999999999999</v>
      </c>
      <c r="D151" s="383">
        <v>86</v>
      </c>
      <c r="E151" s="379">
        <f t="shared" si="8"/>
        <v>1.3986013986013986E-2</v>
      </c>
      <c r="F151" s="377">
        <f t="shared" si="9"/>
        <v>135.07433566433568</v>
      </c>
      <c r="G151" s="377">
        <f t="shared" si="10"/>
        <v>29.716353846153847</v>
      </c>
      <c r="H151" s="377">
        <f>F151*'92'!$C$20/100</f>
        <v>26.864510601195516</v>
      </c>
      <c r="I151" s="377">
        <f>E151*'мат вода'!$F$34</f>
        <v>24.42057342657343</v>
      </c>
      <c r="J151" s="402">
        <f t="shared" si="11"/>
        <v>0.19136991722456692</v>
      </c>
    </row>
    <row r="152" spans="1:10" s="380" customFormat="1" ht="10.5" x14ac:dyDescent="0.2">
      <c r="A152" s="381">
        <v>150</v>
      </c>
      <c r="B152" s="382" t="s">
        <v>480</v>
      </c>
      <c r="C152" s="384">
        <v>1724</v>
      </c>
      <c r="D152" s="383">
        <v>180</v>
      </c>
      <c r="E152" s="379">
        <f t="shared" si="8"/>
        <v>2.9273052528866483E-2</v>
      </c>
      <c r="F152" s="377">
        <f t="shared" si="9"/>
        <v>282.71372580907467</v>
      </c>
      <c r="G152" s="377">
        <f t="shared" si="10"/>
        <v>62.19701967799643</v>
      </c>
      <c r="H152" s="377">
        <f>F152*'92'!$C$20/100</f>
        <v>56.228045444362706</v>
      </c>
      <c r="I152" s="377">
        <f>E152*'мат вода'!$F$34</f>
        <v>51.112828102130429</v>
      </c>
      <c r="J152" s="402">
        <f t="shared" si="11"/>
        <v>0.26232692519348272</v>
      </c>
    </row>
    <row r="153" spans="1:10" s="380" customFormat="1" ht="10.5" x14ac:dyDescent="0.2">
      <c r="A153" s="381">
        <v>151</v>
      </c>
      <c r="B153" s="382" t="s">
        <v>481</v>
      </c>
      <c r="C153" s="384">
        <v>1775.1</v>
      </c>
      <c r="D153" s="383">
        <v>180</v>
      </c>
      <c r="E153" s="379">
        <f t="shared" si="8"/>
        <v>2.9273052528866483E-2</v>
      </c>
      <c r="F153" s="377">
        <f t="shared" si="9"/>
        <v>282.71372580907467</v>
      </c>
      <c r="G153" s="377">
        <f t="shared" si="10"/>
        <v>62.19701967799643</v>
      </c>
      <c r="H153" s="377">
        <f>F153*'92'!$C$20/100</f>
        <v>56.228045444362706</v>
      </c>
      <c r="I153" s="377">
        <f>E153*'мат вода'!$F$34</f>
        <v>51.112828102130429</v>
      </c>
      <c r="J153" s="402">
        <f t="shared" si="11"/>
        <v>0.25477529098843121</v>
      </c>
    </row>
    <row r="154" spans="1:10" s="380" customFormat="1" ht="10.5" x14ac:dyDescent="0.2">
      <c r="A154" s="381">
        <v>152</v>
      </c>
      <c r="B154" s="382" t="s">
        <v>482</v>
      </c>
      <c r="C154" s="384">
        <v>3140.4</v>
      </c>
      <c r="D154" s="383">
        <v>270</v>
      </c>
      <c r="E154" s="379">
        <f t="shared" si="8"/>
        <v>4.3909578793299722E-2</v>
      </c>
      <c r="F154" s="377">
        <f t="shared" si="9"/>
        <v>424.07058871361198</v>
      </c>
      <c r="G154" s="377">
        <f t="shared" si="10"/>
        <v>93.295529516994634</v>
      </c>
      <c r="H154" s="377">
        <f>F154*'92'!$C$20/100</f>
        <v>84.342068166544053</v>
      </c>
      <c r="I154" s="377">
        <f>E154*'мат вода'!$F$34</f>
        <v>76.66924215319564</v>
      </c>
      <c r="J154" s="402">
        <f t="shared" si="11"/>
        <v>0.21601624906073952</v>
      </c>
    </row>
    <row r="155" spans="1:10" s="380" customFormat="1" ht="10.5" x14ac:dyDescent="0.2">
      <c r="A155" s="381">
        <v>153</v>
      </c>
      <c r="B155" s="382" t="s">
        <v>483</v>
      </c>
      <c r="C155" s="384">
        <v>6074.77</v>
      </c>
      <c r="D155" s="383">
        <v>572</v>
      </c>
      <c r="E155" s="379">
        <f t="shared" si="8"/>
        <v>9.3023255813953487E-2</v>
      </c>
      <c r="F155" s="377">
        <f t="shared" si="9"/>
        <v>898.40139534883724</v>
      </c>
      <c r="G155" s="377">
        <f t="shared" si="10"/>
        <v>197.64830697674421</v>
      </c>
      <c r="H155" s="377">
        <f>F155*'92'!$C$20/100</f>
        <v>178.68023330097481</v>
      </c>
      <c r="I155" s="377">
        <f>E155*'мат вода'!$F$34</f>
        <v>162.42520930232558</v>
      </c>
      <c r="J155" s="402">
        <f t="shared" si="11"/>
        <v>0.23657770498782368</v>
      </c>
    </row>
    <row r="156" spans="1:10" s="380" customFormat="1" ht="10.5" x14ac:dyDescent="0.2">
      <c r="A156" s="381">
        <v>154</v>
      </c>
      <c r="B156" s="382" t="s">
        <v>484</v>
      </c>
      <c r="C156" s="384">
        <v>1960.16</v>
      </c>
      <c r="D156" s="383">
        <v>230</v>
      </c>
      <c r="E156" s="379">
        <f>D156/$E$163</f>
        <v>3.7404456009107169E-2</v>
      </c>
      <c r="F156" s="377">
        <f t="shared" si="9"/>
        <v>361.24531631159539</v>
      </c>
      <c r="G156" s="377">
        <f t="shared" si="10"/>
        <v>79.473969588550986</v>
      </c>
      <c r="H156" s="377">
        <f>F156*'92'!$C$20/100</f>
        <v>71.84694695668567</v>
      </c>
      <c r="I156" s="377">
        <f>E156*'мат вода'!$F$34</f>
        <v>65.310835908277767</v>
      </c>
      <c r="J156" s="402">
        <f t="shared" si="11"/>
        <v>0.29481117294767251</v>
      </c>
    </row>
    <row r="157" spans="1:10" s="380" customFormat="1" ht="10.5" x14ac:dyDescent="0.2">
      <c r="A157" s="381">
        <v>155</v>
      </c>
      <c r="B157" s="382" t="s">
        <v>485</v>
      </c>
      <c r="C157" s="384">
        <v>5972.33</v>
      </c>
      <c r="D157" s="383">
        <v>550</v>
      </c>
      <c r="E157" s="379">
        <f t="shared" si="8"/>
        <v>8.9445438282647588E-2</v>
      </c>
      <c r="F157" s="377">
        <f t="shared" si="9"/>
        <v>863.84749552772814</v>
      </c>
      <c r="G157" s="377">
        <f t="shared" si="10"/>
        <v>190.04644901610018</v>
      </c>
      <c r="H157" s="377">
        <f>F157*'92'!$C$20/100</f>
        <v>171.80791663555271</v>
      </c>
      <c r="I157" s="377">
        <f>E157*'мат вода'!$F$34</f>
        <v>156.17808586762078</v>
      </c>
      <c r="J157" s="402">
        <f t="shared" si="11"/>
        <v>0.23138037366438252</v>
      </c>
    </row>
    <row r="158" spans="1:10" s="380" customFormat="1" ht="10.5" x14ac:dyDescent="0.2">
      <c r="A158" s="381">
        <v>156</v>
      </c>
      <c r="B158" s="382" t="s">
        <v>486</v>
      </c>
      <c r="C158" s="384">
        <v>2589.9</v>
      </c>
      <c r="D158" s="383">
        <v>230</v>
      </c>
      <c r="E158" s="379">
        <f t="shared" si="8"/>
        <v>3.7404456009107169E-2</v>
      </c>
      <c r="F158" s="377">
        <f t="shared" si="9"/>
        <v>361.24531631159539</v>
      </c>
      <c r="G158" s="377">
        <f t="shared" si="10"/>
        <v>79.473969588550986</v>
      </c>
      <c r="H158" s="377">
        <f>F158*'92'!$C$20/100</f>
        <v>71.84694695668567</v>
      </c>
      <c r="I158" s="377">
        <f>E158*'мат вода'!$F$34</f>
        <v>65.310835908277767</v>
      </c>
      <c r="J158" s="402">
        <f t="shared" si="11"/>
        <v>0.22312717431758361</v>
      </c>
    </row>
    <row r="159" spans="1:10" s="380" customFormat="1" ht="10.5" x14ac:dyDescent="0.2">
      <c r="A159" s="381">
        <v>157</v>
      </c>
      <c r="B159" s="382" t="s">
        <v>487</v>
      </c>
      <c r="C159" s="384">
        <v>3904.03</v>
      </c>
      <c r="D159" s="383">
        <v>322</v>
      </c>
      <c r="E159" s="379">
        <f t="shared" si="8"/>
        <v>5.2366238412750038E-2</v>
      </c>
      <c r="F159" s="377">
        <f t="shared" si="9"/>
        <v>505.74344283623356</v>
      </c>
      <c r="G159" s="377">
        <f t="shared" si="10"/>
        <v>111.26355742397138</v>
      </c>
      <c r="H159" s="377">
        <f>F159*'92'!$C$20/100</f>
        <v>100.58572573935994</v>
      </c>
      <c r="I159" s="377">
        <f>E159*'мат вода'!$F$34</f>
        <v>91.435170271588873</v>
      </c>
      <c r="J159" s="402">
        <f t="shared" si="11"/>
        <v>0.20722891378169575</v>
      </c>
    </row>
    <row r="160" spans="1:10" s="380" customFormat="1" ht="10.5" x14ac:dyDescent="0.2">
      <c r="A160" s="381">
        <v>158</v>
      </c>
      <c r="B160" s="382" t="s">
        <v>488</v>
      </c>
      <c r="C160" s="384">
        <v>3894.85</v>
      </c>
      <c r="D160" s="383">
        <v>356</v>
      </c>
      <c r="E160" s="379">
        <f t="shared" si="8"/>
        <v>5.7895592779313707E-2</v>
      </c>
      <c r="F160" s="377">
        <f t="shared" si="9"/>
        <v>559.14492437794763</v>
      </c>
      <c r="G160" s="377">
        <f t="shared" si="10"/>
        <v>123.01188336314848</v>
      </c>
      <c r="H160" s="377">
        <f>F160*'92'!$C$20/100</f>
        <v>111.20657876773956</v>
      </c>
      <c r="I160" s="377">
        <f>E160*'мат вода'!$F$34</f>
        <v>101.08981557976907</v>
      </c>
      <c r="J160" s="402">
        <f t="shared" si="11"/>
        <v>0.22965023096874199</v>
      </c>
    </row>
    <row r="161" spans="1:23" s="443" customFormat="1" ht="10.5" x14ac:dyDescent="0.2">
      <c r="A161" s="385">
        <v>159</v>
      </c>
      <c r="B161" s="441" t="s">
        <v>22</v>
      </c>
      <c r="C161" s="428">
        <f>SUM(C3:C160)</f>
        <v>264830.12</v>
      </c>
      <c r="D161" s="429">
        <f>SUM(D3:D160)</f>
        <v>30745</v>
      </c>
      <c r="E161" s="389">
        <f>'мат вода'!D3</f>
        <v>5</v>
      </c>
      <c r="F161" s="387">
        <f>E161*ЗП!M52</f>
        <v>48289.075000000004</v>
      </c>
      <c r="G161" s="387">
        <f>F161*22/100</f>
        <v>10623.596500000001</v>
      </c>
      <c r="H161" s="387">
        <f>F161*'92'!$C$20/100</f>
        <v>9604.0625399273958</v>
      </c>
      <c r="I161" s="387">
        <f>'мат вода'!F33/12</f>
        <v>8730.3550000000014</v>
      </c>
      <c r="J161" s="405">
        <f t="shared" si="11"/>
        <v>0.2916854360822983</v>
      </c>
    </row>
    <row r="162" spans="1:23" s="380" customFormat="1" ht="10.5" x14ac:dyDescent="0.2">
      <c r="A162" s="430"/>
      <c r="B162" s="432"/>
      <c r="C162" s="432"/>
      <c r="D162" s="468"/>
      <c r="E162" s="395"/>
      <c r="F162" s="393"/>
      <c r="G162" s="393"/>
      <c r="H162" s="391"/>
      <c r="I162" s="391"/>
      <c r="J162" s="406"/>
    </row>
    <row r="163" spans="1:23" s="380" customFormat="1" ht="10.5" x14ac:dyDescent="0.2">
      <c r="A163" s="430"/>
      <c r="B163" s="432"/>
      <c r="C163" s="432"/>
      <c r="D163" s="468"/>
      <c r="E163" s="395">
        <f>D161/E161</f>
        <v>6149</v>
      </c>
      <c r="F163" s="393">
        <f>F161/E161</f>
        <v>9657.8150000000005</v>
      </c>
      <c r="G163" s="393"/>
      <c r="H163" s="391"/>
      <c r="I163" s="393"/>
      <c r="J163" s="406"/>
    </row>
    <row r="164" spans="1:23" s="380" customFormat="1" ht="10.5" x14ac:dyDescent="0.2">
      <c r="A164" s="430"/>
      <c r="B164" s="432"/>
      <c r="C164" s="432"/>
      <c r="D164" s="468"/>
      <c r="E164" s="395"/>
      <c r="F164" s="393"/>
      <c r="G164" s="393"/>
      <c r="H164" s="391"/>
      <c r="I164" s="391"/>
      <c r="J164" s="406"/>
    </row>
    <row r="166" spans="1:23" s="370" customFormat="1" ht="15.75" customHeight="1" x14ac:dyDescent="0.2">
      <c r="A166" s="404"/>
      <c r="B166" s="364" t="s">
        <v>234</v>
      </c>
      <c r="C166" s="367"/>
      <c r="D166" s="458"/>
      <c r="E166" s="511" t="s">
        <v>648</v>
      </c>
      <c r="F166" s="511"/>
      <c r="G166" s="366"/>
      <c r="H166" s="503"/>
      <c r="I166" s="503"/>
      <c r="J166" s="503"/>
      <c r="K166" s="503"/>
      <c r="L166" s="503"/>
      <c r="M166" s="367"/>
      <c r="N166" s="368"/>
      <c r="O166" s="368"/>
      <c r="P166" s="369"/>
      <c r="Q166" s="369"/>
      <c r="R166" s="369"/>
      <c r="S166" s="369"/>
      <c r="T166" s="369"/>
      <c r="U166" s="368"/>
      <c r="V166" s="368"/>
      <c r="W166" s="369"/>
    </row>
  </sheetData>
  <mergeCells count="3">
    <mergeCell ref="A1:J1"/>
    <mergeCell ref="E166:F166"/>
    <mergeCell ref="H166:L166"/>
  </mergeCells>
  <phoneticPr fontId="2" type="noConversion"/>
  <pageMargins left="0.78740157480314965" right="7.874015748031496E-2" top="0.19685039370078741" bottom="0.23622047244094491" header="0.78740157480314965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E42" sqref="E42:F42"/>
    </sheetView>
  </sheetViews>
  <sheetFormatPr defaultRowHeight="12.75" x14ac:dyDescent="0.2"/>
  <cols>
    <col min="1" max="1" width="5.85546875" style="62" customWidth="1"/>
    <col min="2" max="2" width="35.42578125" style="32" customWidth="1"/>
    <col min="3" max="3" width="9.140625" style="31"/>
    <col min="4" max="4" width="9.42578125" style="35" bestFit="1" customWidth="1"/>
    <col min="5" max="5" width="9.140625" style="29"/>
    <col min="6" max="6" width="9.140625" style="35"/>
  </cols>
  <sheetData>
    <row r="1" spans="1:6" ht="46.5" customHeight="1" x14ac:dyDescent="0.2">
      <c r="A1" s="513" t="s">
        <v>618</v>
      </c>
      <c r="B1" s="513"/>
      <c r="C1" s="513"/>
      <c r="D1" s="513"/>
      <c r="E1" s="513"/>
      <c r="F1" s="513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59" t="s">
        <v>96</v>
      </c>
      <c r="F2" s="36" t="s">
        <v>97</v>
      </c>
    </row>
    <row r="3" spans="1:6" x14ac:dyDescent="0.2">
      <c r="A3" s="67" t="s">
        <v>99</v>
      </c>
      <c r="B3" s="60" t="s">
        <v>141</v>
      </c>
      <c r="C3" s="37" t="s">
        <v>98</v>
      </c>
      <c r="D3" s="36">
        <v>5</v>
      </c>
      <c r="E3" s="59"/>
      <c r="F3" s="36"/>
    </row>
    <row r="4" spans="1:6" x14ac:dyDescent="0.2">
      <c r="A4" s="67" t="s">
        <v>100</v>
      </c>
      <c r="B4" s="61" t="s">
        <v>139</v>
      </c>
      <c r="C4" s="37" t="s">
        <v>140</v>
      </c>
      <c r="D4" s="36">
        <f>'ПР тепло'!D161</f>
        <v>104962</v>
      </c>
      <c r="E4" s="59"/>
      <c r="F4" s="36"/>
    </row>
    <row r="5" spans="1:6" x14ac:dyDescent="0.2">
      <c r="A5" s="67" t="s">
        <v>219</v>
      </c>
      <c r="B5" s="61" t="s">
        <v>220</v>
      </c>
      <c r="C5" s="37" t="s">
        <v>17</v>
      </c>
      <c r="D5" s="36">
        <v>10</v>
      </c>
      <c r="E5" s="59"/>
      <c r="F5" s="36"/>
    </row>
    <row r="6" spans="1:6" x14ac:dyDescent="0.2">
      <c r="A6" s="68"/>
      <c r="B6" s="63" t="s">
        <v>134</v>
      </c>
      <c r="C6" s="37"/>
      <c r="D6" s="36"/>
      <c r="E6" s="59"/>
      <c r="F6" s="64">
        <f>SUM(F7:F14)</f>
        <v>12249.7</v>
      </c>
    </row>
    <row r="7" spans="1:6" x14ac:dyDescent="0.2">
      <c r="A7" s="67" t="s">
        <v>171</v>
      </c>
      <c r="B7" s="482" t="s">
        <v>630</v>
      </c>
      <c r="C7" s="66" t="s">
        <v>120</v>
      </c>
      <c r="D7" s="93">
        <f>$D$3</f>
        <v>5</v>
      </c>
      <c r="E7" s="483">
        <v>468</v>
      </c>
      <c r="F7" s="36">
        <f>D7*E7</f>
        <v>2340</v>
      </c>
    </row>
    <row r="8" spans="1:6" x14ac:dyDescent="0.2">
      <c r="A8" s="67" t="s">
        <v>172</v>
      </c>
      <c r="B8" s="486" t="s">
        <v>135</v>
      </c>
      <c r="C8" s="66" t="s">
        <v>120</v>
      </c>
      <c r="D8" s="93">
        <f t="shared" ref="D8:D12" si="0">$D$3</f>
        <v>5</v>
      </c>
      <c r="E8" s="37">
        <v>17</v>
      </c>
      <c r="F8" s="36">
        <f>D8*E8</f>
        <v>85</v>
      </c>
    </row>
    <row r="9" spans="1:6" x14ac:dyDescent="0.2">
      <c r="A9" s="67" t="s">
        <v>173</v>
      </c>
      <c r="B9" s="487" t="s">
        <v>169</v>
      </c>
      <c r="C9" s="66" t="s">
        <v>120</v>
      </c>
      <c r="D9" s="93">
        <f t="shared" si="0"/>
        <v>5</v>
      </c>
      <c r="E9" s="484">
        <v>723</v>
      </c>
      <c r="F9" s="36">
        <f>D9*E9</f>
        <v>3615</v>
      </c>
    </row>
    <row r="10" spans="1:6" x14ac:dyDescent="0.2">
      <c r="A10" s="67" t="s">
        <v>174</v>
      </c>
      <c r="B10" s="486" t="s">
        <v>136</v>
      </c>
      <c r="C10" s="66" t="s">
        <v>120</v>
      </c>
      <c r="D10" s="93">
        <f t="shared" si="0"/>
        <v>5</v>
      </c>
      <c r="E10" s="37">
        <v>175</v>
      </c>
      <c r="F10" s="36">
        <f>D10*E10</f>
        <v>875</v>
      </c>
    </row>
    <row r="11" spans="1:6" x14ac:dyDescent="0.2">
      <c r="A11" s="67" t="s">
        <v>175</v>
      </c>
      <c r="B11" s="482" t="s">
        <v>633</v>
      </c>
      <c r="C11" s="66" t="s">
        <v>120</v>
      </c>
      <c r="D11" s="93">
        <f t="shared" si="0"/>
        <v>5</v>
      </c>
      <c r="E11" s="484">
        <v>562.94000000000005</v>
      </c>
      <c r="F11" s="36">
        <f t="shared" ref="F11:F14" si="1">D11*E11</f>
        <v>2814.7000000000003</v>
      </c>
    </row>
    <row r="12" spans="1:6" x14ac:dyDescent="0.2">
      <c r="A12" s="67" t="s">
        <v>176</v>
      </c>
      <c r="B12" s="482" t="s">
        <v>636</v>
      </c>
      <c r="C12" s="66" t="s">
        <v>120</v>
      </c>
      <c r="D12" s="93">
        <f t="shared" si="0"/>
        <v>5</v>
      </c>
      <c r="E12" s="483">
        <v>428</v>
      </c>
      <c r="F12" s="36">
        <f t="shared" si="1"/>
        <v>2140</v>
      </c>
    </row>
    <row r="13" spans="1:6" x14ac:dyDescent="0.2">
      <c r="A13" s="67" t="s">
        <v>177</v>
      </c>
      <c r="B13" s="65" t="s">
        <v>170</v>
      </c>
      <c r="C13" s="66" t="s">
        <v>120</v>
      </c>
      <c r="D13" s="93">
        <v>5</v>
      </c>
      <c r="E13" s="37">
        <v>54</v>
      </c>
      <c r="F13" s="36">
        <f t="shared" si="1"/>
        <v>270</v>
      </c>
    </row>
    <row r="14" spans="1:6" x14ac:dyDescent="0.2">
      <c r="A14" s="67" t="s">
        <v>178</v>
      </c>
      <c r="B14" s="65" t="s">
        <v>637</v>
      </c>
      <c r="C14" s="66" t="s">
        <v>120</v>
      </c>
      <c r="D14" s="93">
        <v>5</v>
      </c>
      <c r="E14" s="37">
        <v>22</v>
      </c>
      <c r="F14" s="36">
        <f t="shared" si="1"/>
        <v>110</v>
      </c>
    </row>
    <row r="15" spans="1:6" x14ac:dyDescent="0.2">
      <c r="A15" s="68" t="s">
        <v>4</v>
      </c>
      <c r="B15" s="63" t="s">
        <v>118</v>
      </c>
      <c r="C15" s="37"/>
      <c r="D15" s="36"/>
      <c r="E15" s="59"/>
      <c r="F15" s="64">
        <f>SUM(F16:F36)</f>
        <v>7637.05</v>
      </c>
    </row>
    <row r="16" spans="1:6" x14ac:dyDescent="0.2">
      <c r="A16" s="67" t="s">
        <v>104</v>
      </c>
      <c r="B16" s="50" t="s">
        <v>149</v>
      </c>
      <c r="C16" s="37" t="s">
        <v>120</v>
      </c>
      <c r="D16" s="36">
        <v>5</v>
      </c>
      <c r="E16" s="37">
        <v>193</v>
      </c>
      <c r="F16" s="36">
        <f>D16*E16</f>
        <v>965</v>
      </c>
    </row>
    <row r="17" spans="1:6" x14ac:dyDescent="0.2">
      <c r="A17" s="67" t="s">
        <v>106</v>
      </c>
      <c r="B17" s="50" t="s">
        <v>150</v>
      </c>
      <c r="C17" s="37" t="s">
        <v>120</v>
      </c>
      <c r="D17" s="36">
        <f>D3</f>
        <v>5</v>
      </c>
      <c r="E17" s="37">
        <v>23</v>
      </c>
      <c r="F17" s="36">
        <f>D17*E17</f>
        <v>115</v>
      </c>
    </row>
    <row r="18" spans="1:6" x14ac:dyDescent="0.2">
      <c r="A18" s="67" t="s">
        <v>108</v>
      </c>
      <c r="B18" s="50" t="s">
        <v>151</v>
      </c>
      <c r="C18" s="37" t="s">
        <v>120</v>
      </c>
      <c r="D18" s="36">
        <f>D3</f>
        <v>5</v>
      </c>
      <c r="E18" s="37">
        <v>25</v>
      </c>
      <c r="F18" s="36">
        <f t="shared" ref="F18:F36" si="2">D18*E18</f>
        <v>125</v>
      </c>
    </row>
    <row r="19" spans="1:6" x14ac:dyDescent="0.2">
      <c r="A19" s="67" t="s">
        <v>180</v>
      </c>
      <c r="B19" s="50" t="s">
        <v>152</v>
      </c>
      <c r="C19" s="37" t="s">
        <v>120</v>
      </c>
      <c r="D19" s="36">
        <f>D3</f>
        <v>5</v>
      </c>
      <c r="E19" s="37">
        <v>18.5</v>
      </c>
      <c r="F19" s="36">
        <f t="shared" si="2"/>
        <v>92.5</v>
      </c>
    </row>
    <row r="20" spans="1:6" x14ac:dyDescent="0.2">
      <c r="A20" s="67" t="s">
        <v>181</v>
      </c>
      <c r="B20" s="50" t="s">
        <v>153</v>
      </c>
      <c r="C20" s="37" t="s">
        <v>120</v>
      </c>
      <c r="D20" s="36">
        <f>D3</f>
        <v>5</v>
      </c>
      <c r="E20" s="37">
        <v>30.5</v>
      </c>
      <c r="F20" s="36">
        <f t="shared" si="2"/>
        <v>152.5</v>
      </c>
    </row>
    <row r="21" spans="1:6" x14ac:dyDescent="0.2">
      <c r="A21" s="67" t="s">
        <v>182</v>
      </c>
      <c r="B21" s="50" t="s">
        <v>154</v>
      </c>
      <c r="C21" s="37" t="s">
        <v>120</v>
      </c>
      <c r="D21" s="36">
        <f>D3</f>
        <v>5</v>
      </c>
      <c r="E21" s="37">
        <v>35</v>
      </c>
      <c r="F21" s="36">
        <f t="shared" si="2"/>
        <v>175</v>
      </c>
    </row>
    <row r="22" spans="1:6" x14ac:dyDescent="0.2">
      <c r="A22" s="67" t="s">
        <v>183</v>
      </c>
      <c r="B22" s="50" t="s">
        <v>155</v>
      </c>
      <c r="C22" s="37" t="s">
        <v>120</v>
      </c>
      <c r="D22" s="36">
        <f>D3</f>
        <v>5</v>
      </c>
      <c r="E22" s="37">
        <v>40</v>
      </c>
      <c r="F22" s="36">
        <f t="shared" si="2"/>
        <v>200</v>
      </c>
    </row>
    <row r="23" spans="1:6" x14ac:dyDescent="0.2">
      <c r="A23" s="67" t="s">
        <v>184</v>
      </c>
      <c r="B23" s="50" t="s">
        <v>156</v>
      </c>
      <c r="C23" s="37" t="s">
        <v>120</v>
      </c>
      <c r="D23" s="36">
        <v>5</v>
      </c>
      <c r="E23" s="37">
        <v>140</v>
      </c>
      <c r="F23" s="36">
        <f t="shared" si="2"/>
        <v>700</v>
      </c>
    </row>
    <row r="24" spans="1:6" x14ac:dyDescent="0.2">
      <c r="A24" s="67" t="s">
        <v>185</v>
      </c>
      <c r="B24" s="50" t="s">
        <v>157</v>
      </c>
      <c r="C24" s="37" t="s">
        <v>120</v>
      </c>
      <c r="D24" s="36">
        <v>5</v>
      </c>
      <c r="E24" s="37">
        <v>50</v>
      </c>
      <c r="F24" s="36">
        <f t="shared" si="2"/>
        <v>250</v>
      </c>
    </row>
    <row r="25" spans="1:6" x14ac:dyDescent="0.2">
      <c r="A25" s="67" t="s">
        <v>186</v>
      </c>
      <c r="B25" s="50" t="s">
        <v>158</v>
      </c>
      <c r="C25" s="37" t="s">
        <v>120</v>
      </c>
      <c r="D25" s="36">
        <v>5</v>
      </c>
      <c r="E25" s="37">
        <v>75</v>
      </c>
      <c r="F25" s="36">
        <f t="shared" si="2"/>
        <v>375</v>
      </c>
    </row>
    <row r="26" spans="1:6" x14ac:dyDescent="0.2">
      <c r="A26" s="67" t="s">
        <v>187</v>
      </c>
      <c r="B26" s="50" t="s">
        <v>159</v>
      </c>
      <c r="C26" s="37" t="s">
        <v>120</v>
      </c>
      <c r="D26" s="36">
        <v>5</v>
      </c>
      <c r="E26" s="37">
        <v>70.849999999999994</v>
      </c>
      <c r="F26" s="36">
        <f t="shared" si="2"/>
        <v>354.25</v>
      </c>
    </row>
    <row r="27" spans="1:6" x14ac:dyDescent="0.2">
      <c r="A27" s="67" t="s">
        <v>188</v>
      </c>
      <c r="B27" s="50" t="s">
        <v>160</v>
      </c>
      <c r="C27" s="37" t="s">
        <v>120</v>
      </c>
      <c r="D27" s="36">
        <v>5</v>
      </c>
      <c r="E27" s="37">
        <v>40</v>
      </c>
      <c r="F27" s="36">
        <f t="shared" si="2"/>
        <v>200</v>
      </c>
    </row>
    <row r="28" spans="1:6" x14ac:dyDescent="0.2">
      <c r="A28" s="67" t="s">
        <v>189</v>
      </c>
      <c r="B28" s="50" t="s">
        <v>161</v>
      </c>
      <c r="C28" s="37" t="s">
        <v>120</v>
      </c>
      <c r="D28" s="36">
        <v>5</v>
      </c>
      <c r="E28" s="37">
        <v>40</v>
      </c>
      <c r="F28" s="36">
        <f t="shared" si="2"/>
        <v>200</v>
      </c>
    </row>
    <row r="29" spans="1:6" x14ac:dyDescent="0.2">
      <c r="A29" s="67" t="s">
        <v>190</v>
      </c>
      <c r="B29" s="50" t="s">
        <v>162</v>
      </c>
      <c r="C29" s="37" t="s">
        <v>120</v>
      </c>
      <c r="D29" s="36">
        <v>1</v>
      </c>
      <c r="E29" s="37">
        <v>650</v>
      </c>
      <c r="F29" s="36">
        <f t="shared" si="2"/>
        <v>650</v>
      </c>
    </row>
    <row r="30" spans="1:6" x14ac:dyDescent="0.2">
      <c r="A30" s="67" t="s">
        <v>191</v>
      </c>
      <c r="B30" s="50" t="s">
        <v>148</v>
      </c>
      <c r="C30" s="37" t="s">
        <v>120</v>
      </c>
      <c r="D30" s="36">
        <f>D3</f>
        <v>5</v>
      </c>
      <c r="E30" s="37">
        <v>45</v>
      </c>
      <c r="F30" s="36">
        <f t="shared" si="2"/>
        <v>225</v>
      </c>
    </row>
    <row r="31" spans="1:6" x14ac:dyDescent="0.2">
      <c r="A31" s="67" t="s">
        <v>192</v>
      </c>
      <c r="B31" s="50" t="s">
        <v>163</v>
      </c>
      <c r="C31" s="37" t="s">
        <v>120</v>
      </c>
      <c r="D31" s="36">
        <v>5</v>
      </c>
      <c r="E31" s="37">
        <v>128.5</v>
      </c>
      <c r="F31" s="36">
        <f t="shared" si="2"/>
        <v>642.5</v>
      </c>
    </row>
    <row r="32" spans="1:6" x14ac:dyDescent="0.2">
      <c r="A32" s="67" t="s">
        <v>193</v>
      </c>
      <c r="B32" s="50" t="s">
        <v>164</v>
      </c>
      <c r="C32" s="37" t="s">
        <v>120</v>
      </c>
      <c r="D32" s="36">
        <v>5</v>
      </c>
      <c r="E32" s="37">
        <v>222.66</v>
      </c>
      <c r="F32" s="36">
        <f t="shared" si="2"/>
        <v>1113.3</v>
      </c>
    </row>
    <row r="33" spans="1:23" x14ac:dyDescent="0.2">
      <c r="A33" s="67" t="s">
        <v>194</v>
      </c>
      <c r="B33" s="50" t="s">
        <v>165</v>
      </c>
      <c r="C33" s="37" t="s">
        <v>120</v>
      </c>
      <c r="D33" s="36">
        <v>1</v>
      </c>
      <c r="E33" s="37">
        <v>432</v>
      </c>
      <c r="F33" s="36">
        <f t="shared" si="2"/>
        <v>432</v>
      </c>
    </row>
    <row r="34" spans="1:23" x14ac:dyDescent="0.2">
      <c r="A34" s="67" t="s">
        <v>195</v>
      </c>
      <c r="B34" s="50" t="s">
        <v>166</v>
      </c>
      <c r="C34" s="37" t="s">
        <v>120</v>
      </c>
      <c r="D34" s="36">
        <v>1</v>
      </c>
      <c r="E34" s="37">
        <v>300</v>
      </c>
      <c r="F34" s="36">
        <f t="shared" si="2"/>
        <v>300</v>
      </c>
    </row>
    <row r="35" spans="1:23" x14ac:dyDescent="0.2">
      <c r="A35" s="67" t="s">
        <v>196</v>
      </c>
      <c r="B35" s="50" t="s">
        <v>167</v>
      </c>
      <c r="C35" s="37" t="s">
        <v>120</v>
      </c>
      <c r="D35" s="36">
        <v>1</v>
      </c>
      <c r="E35" s="37">
        <v>20</v>
      </c>
      <c r="F35" s="36">
        <f t="shared" si="2"/>
        <v>20</v>
      </c>
    </row>
    <row r="36" spans="1:23" x14ac:dyDescent="0.2">
      <c r="A36" s="67" t="s">
        <v>197</v>
      </c>
      <c r="B36" s="50" t="s">
        <v>168</v>
      </c>
      <c r="C36" s="37" t="s">
        <v>120</v>
      </c>
      <c r="D36" s="36">
        <v>1</v>
      </c>
      <c r="E36" s="37">
        <v>350</v>
      </c>
      <c r="F36" s="36">
        <f t="shared" si="2"/>
        <v>350</v>
      </c>
    </row>
    <row r="37" spans="1:23" x14ac:dyDescent="0.2">
      <c r="A37" s="68" t="s">
        <v>5</v>
      </c>
      <c r="B37" s="63" t="s">
        <v>646</v>
      </c>
      <c r="C37" s="37" t="s">
        <v>103</v>
      </c>
      <c r="D37" s="36"/>
      <c r="E37" s="59"/>
      <c r="F37" s="36">
        <v>87150</v>
      </c>
    </row>
    <row r="38" spans="1:23" x14ac:dyDescent="0.2">
      <c r="A38" s="72"/>
      <c r="B38" s="73" t="s">
        <v>137</v>
      </c>
      <c r="C38" s="69"/>
      <c r="D38" s="74"/>
      <c r="E38" s="30"/>
      <c r="F38" s="74">
        <f>(F6+F15+F37)</f>
        <v>107036.75</v>
      </c>
    </row>
    <row r="39" spans="1:23" x14ac:dyDescent="0.2">
      <c r="A39" s="72"/>
      <c r="B39" s="73" t="s">
        <v>138</v>
      </c>
      <c r="C39" s="69"/>
      <c r="D39" s="74"/>
      <c r="E39" s="30"/>
      <c r="F39" s="74">
        <f>F38/D3/12</f>
        <v>1783.9458333333332</v>
      </c>
    </row>
    <row r="42" spans="1:23" s="370" customFormat="1" ht="15.75" customHeight="1" x14ac:dyDescent="0.2">
      <c r="A42" s="422"/>
      <c r="B42" s="364" t="s">
        <v>234</v>
      </c>
      <c r="C42" s="421"/>
      <c r="D42" s="421"/>
      <c r="E42" s="511" t="s">
        <v>648</v>
      </c>
      <c r="F42" s="511"/>
      <c r="G42" s="366"/>
      <c r="H42" s="503"/>
      <c r="I42" s="503"/>
      <c r="J42" s="503"/>
      <c r="K42" s="503"/>
      <c r="L42" s="503"/>
      <c r="M42" s="421"/>
      <c r="N42" s="368"/>
      <c r="O42" s="368"/>
      <c r="P42" s="369"/>
      <c r="Q42" s="369"/>
      <c r="R42" s="369"/>
      <c r="S42" s="369"/>
      <c r="T42" s="369"/>
      <c r="U42" s="368"/>
      <c r="V42" s="368"/>
      <c r="W42" s="369"/>
    </row>
  </sheetData>
  <mergeCells count="3">
    <mergeCell ref="A1:F1"/>
    <mergeCell ref="E42:F42"/>
    <mergeCell ref="H42:L42"/>
  </mergeCells>
  <phoneticPr fontId="2" type="noConversion"/>
  <pageMargins left="0.9448818897637796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4.85546875" style="80" customWidth="1"/>
    <col min="2" max="2" width="38.5703125" style="231" customWidth="1"/>
    <col min="3" max="3" width="6.5703125" style="231" customWidth="1"/>
  </cols>
  <sheetData>
    <row r="1" spans="1:3" ht="32.25" customHeight="1" thickBot="1" x14ac:dyDescent="0.25">
      <c r="A1" s="504" t="s">
        <v>654</v>
      </c>
      <c r="B1" s="504"/>
      <c r="C1" s="504"/>
    </row>
    <row r="2" spans="1:3" s="170" customFormat="1" ht="79.5" customHeight="1" x14ac:dyDescent="0.2">
      <c r="A2" s="492" t="s">
        <v>1</v>
      </c>
      <c r="B2" s="491" t="s">
        <v>650</v>
      </c>
      <c r="C2" s="493" t="s">
        <v>95</v>
      </c>
    </row>
    <row r="3" spans="1:3" s="419" customFormat="1" ht="16.5" x14ac:dyDescent="0.2">
      <c r="A3" s="34">
        <v>1</v>
      </c>
      <c r="B3" s="552" t="s">
        <v>651</v>
      </c>
      <c r="C3" s="551">
        <v>1</v>
      </c>
    </row>
    <row r="4" spans="1:3" s="419" customFormat="1" ht="16.5" x14ac:dyDescent="0.2">
      <c r="A4" s="34">
        <v>2</v>
      </c>
      <c r="B4" s="552" t="s">
        <v>652</v>
      </c>
      <c r="C4" s="551">
        <v>1</v>
      </c>
    </row>
    <row r="5" spans="1:3" s="419" customFormat="1" ht="16.5" x14ac:dyDescent="0.2">
      <c r="A5" s="34">
        <v>3</v>
      </c>
      <c r="B5" s="552" t="s">
        <v>653</v>
      </c>
      <c r="C5" s="551">
        <v>1</v>
      </c>
    </row>
  </sheetData>
  <mergeCells count="1">
    <mergeCell ref="A1:C1"/>
  </mergeCells>
  <phoneticPr fontId="0" type="noConversion"/>
  <pageMargins left="0.51181102362204722" right="0.47244094488188981" top="0.82677165354330717" bottom="0.19685039370078741" header="0.31496062992125984" footer="0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opLeftCell="A127" zoomScale="120" zoomScaleNormal="120" workbookViewId="0">
      <selection activeCell="E166" sqref="E166:F166"/>
    </sheetView>
  </sheetViews>
  <sheetFormatPr defaultRowHeight="12.75" x14ac:dyDescent="0.2"/>
  <cols>
    <col min="1" max="1" width="4.140625" style="51" customWidth="1"/>
    <col min="2" max="2" width="15.7109375" style="215" bestFit="1" customWidth="1"/>
    <col min="3" max="3" width="10" style="52" customWidth="1"/>
    <col min="4" max="4" width="11.28515625" style="471" customWidth="1"/>
    <col min="5" max="5" width="9.42578125" style="472" customWidth="1"/>
    <col min="6" max="6" width="6.7109375" style="472" bestFit="1" customWidth="1"/>
    <col min="7" max="7" width="6.28515625" style="472" bestFit="1" customWidth="1"/>
    <col min="8" max="8" width="7.140625" style="77" bestFit="1" customWidth="1"/>
    <col min="9" max="9" width="8.7109375" style="77" customWidth="1"/>
    <col min="10" max="10" width="9.140625" style="472" customWidth="1"/>
  </cols>
  <sheetData>
    <row r="1" spans="1:10" ht="47.25" customHeight="1" x14ac:dyDescent="0.2">
      <c r="A1" s="508" t="s">
        <v>619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380" customFormat="1" ht="42" x14ac:dyDescent="0.2">
      <c r="A2" s="375" t="s">
        <v>1</v>
      </c>
      <c r="B2" s="423" t="s">
        <v>0</v>
      </c>
      <c r="C2" s="375" t="s">
        <v>72</v>
      </c>
      <c r="D2" s="401" t="s">
        <v>84</v>
      </c>
      <c r="E2" s="402" t="s">
        <v>85</v>
      </c>
      <c r="F2" s="402" t="s">
        <v>80</v>
      </c>
      <c r="G2" s="402" t="s">
        <v>276</v>
      </c>
      <c r="H2" s="400" t="s">
        <v>75</v>
      </c>
      <c r="I2" s="400" t="s">
        <v>81</v>
      </c>
      <c r="J2" s="402" t="s">
        <v>237</v>
      </c>
    </row>
    <row r="3" spans="1:10" s="380" customFormat="1" ht="10.5" x14ac:dyDescent="0.2">
      <c r="A3" s="381">
        <v>1</v>
      </c>
      <c r="B3" s="382" t="s">
        <v>331</v>
      </c>
      <c r="C3" s="383">
        <v>394.86</v>
      </c>
      <c r="D3" s="383">
        <v>256</v>
      </c>
      <c r="E3" s="402">
        <f t="shared" ref="E3:E66" si="0">D3/$E$163</f>
        <v>1.2194889579085764E-2</v>
      </c>
      <c r="F3" s="402">
        <f t="shared" ref="F3:F66" si="1">E3*$F$163</f>
        <v>117.77598750023819</v>
      </c>
      <c r="G3" s="402">
        <f>F3*22/100</f>
        <v>25.910717250052404</v>
      </c>
      <c r="H3" s="402">
        <f>F3*'92'!$C$20/100</f>
        <v>23.424096437009712</v>
      </c>
      <c r="I3" s="402">
        <f>E3*'мат тепло'!$F$39</f>
        <v>21.755022452570135</v>
      </c>
      <c r="J3" s="402">
        <f>((F3+G3+H3+I3)/C3)</f>
        <v>0.47831085356802527</v>
      </c>
    </row>
    <row r="4" spans="1:10" s="380" customFormat="1" ht="10.5" x14ac:dyDescent="0.2">
      <c r="A4" s="381">
        <v>2</v>
      </c>
      <c r="B4" s="382" t="s">
        <v>332</v>
      </c>
      <c r="C4" s="384">
        <v>326.89999999999998</v>
      </c>
      <c r="D4" s="383">
        <v>256</v>
      </c>
      <c r="E4" s="402">
        <f t="shared" si="0"/>
        <v>1.2194889579085764E-2</v>
      </c>
      <c r="F4" s="402">
        <f t="shared" si="1"/>
        <v>117.77598750023819</v>
      </c>
      <c r="G4" s="402">
        <f t="shared" ref="G4:G67" si="2">F4*22/100</f>
        <v>25.910717250052404</v>
      </c>
      <c r="H4" s="402">
        <f>F4*'92'!$C$20/100</f>
        <v>23.424096437009712</v>
      </c>
      <c r="I4" s="402">
        <f>E4*'мат тепло'!$F$39</f>
        <v>21.755022452570135</v>
      </c>
      <c r="J4" s="402">
        <f>((F4+G4+H4+I4)/C4)*10/100</f>
        <v>5.7774800746366005E-2</v>
      </c>
    </row>
    <row r="5" spans="1:10" s="380" customFormat="1" ht="10.5" x14ac:dyDescent="0.2">
      <c r="A5" s="381">
        <v>3</v>
      </c>
      <c r="B5" s="382" t="s">
        <v>333</v>
      </c>
      <c r="C5" s="384">
        <v>490.6</v>
      </c>
      <c r="D5" s="383">
        <v>256</v>
      </c>
      <c r="E5" s="402">
        <f t="shared" si="0"/>
        <v>1.2194889579085764E-2</v>
      </c>
      <c r="F5" s="402">
        <f t="shared" si="1"/>
        <v>117.77598750023819</v>
      </c>
      <c r="G5" s="402">
        <f t="shared" si="2"/>
        <v>25.910717250052404</v>
      </c>
      <c r="H5" s="402">
        <f>F5*'92'!$C$20/100</f>
        <v>23.424096437009712</v>
      </c>
      <c r="I5" s="402">
        <f>E5*'мат тепло'!$F$39</f>
        <v>21.755022452570135</v>
      </c>
      <c r="J5" s="402">
        <f t="shared" ref="J5:J67" si="3">((F5+G5+H5+I5)/C5)</f>
        <v>0.38496906571518641</v>
      </c>
    </row>
    <row r="6" spans="1:10" s="380" customFormat="1" ht="10.5" x14ac:dyDescent="0.2">
      <c r="A6" s="381">
        <v>4</v>
      </c>
      <c r="B6" s="382" t="s">
        <v>334</v>
      </c>
      <c r="C6" s="384">
        <v>341.5</v>
      </c>
      <c r="D6" s="383">
        <v>256</v>
      </c>
      <c r="E6" s="402">
        <f t="shared" si="0"/>
        <v>1.2194889579085764E-2</v>
      </c>
      <c r="F6" s="402">
        <f t="shared" si="1"/>
        <v>117.77598750023819</v>
      </c>
      <c r="G6" s="402">
        <f t="shared" si="2"/>
        <v>25.910717250052404</v>
      </c>
      <c r="H6" s="402">
        <f>F6*'92'!$C$20/100</f>
        <v>23.424096437009712</v>
      </c>
      <c r="I6" s="402">
        <f>E6*'мат тепло'!$F$39</f>
        <v>21.755022452570135</v>
      </c>
      <c r="J6" s="402">
        <f>((F6+G6+H6+I6)/C6)*10/100</f>
        <v>5.5304779982392513E-2</v>
      </c>
    </row>
    <row r="7" spans="1:10" s="380" customFormat="1" ht="10.5" x14ac:dyDescent="0.2">
      <c r="A7" s="381">
        <v>5</v>
      </c>
      <c r="B7" s="382" t="s">
        <v>335</v>
      </c>
      <c r="C7" s="384">
        <v>375.1</v>
      </c>
      <c r="D7" s="383">
        <v>256</v>
      </c>
      <c r="E7" s="402">
        <f t="shared" si="0"/>
        <v>1.2194889579085764E-2</v>
      </c>
      <c r="F7" s="402">
        <f t="shared" si="1"/>
        <v>117.77598750023819</v>
      </c>
      <c r="G7" s="402">
        <f t="shared" si="2"/>
        <v>25.910717250052404</v>
      </c>
      <c r="H7" s="402">
        <f>F7*'92'!$C$20/100</f>
        <v>23.424096437009712</v>
      </c>
      <c r="I7" s="402">
        <f>E7*'мат тепло'!$F$39</f>
        <v>21.755022452570135</v>
      </c>
      <c r="J7" s="402">
        <f t="shared" si="3"/>
        <v>0.50350792759229657</v>
      </c>
    </row>
    <row r="8" spans="1:10" s="380" customFormat="1" ht="10.5" x14ac:dyDescent="0.2">
      <c r="A8" s="381">
        <v>6</v>
      </c>
      <c r="B8" s="382" t="s">
        <v>336</v>
      </c>
      <c r="C8" s="384">
        <v>386.23</v>
      </c>
      <c r="D8" s="383">
        <v>256</v>
      </c>
      <c r="E8" s="402">
        <f t="shared" si="0"/>
        <v>1.2194889579085764E-2</v>
      </c>
      <c r="F8" s="402">
        <f t="shared" si="1"/>
        <v>117.77598750023819</v>
      </c>
      <c r="G8" s="402">
        <f t="shared" si="2"/>
        <v>25.910717250052404</v>
      </c>
      <c r="H8" s="402">
        <f>F8*'92'!$C$20/100</f>
        <v>23.424096437009712</v>
      </c>
      <c r="I8" s="402">
        <f>E8*'мат тепло'!$F$39</f>
        <v>21.755022452570135</v>
      </c>
      <c r="J8" s="402">
        <f>((F8+G8+H8+I8)/C8)*50/100</f>
        <v>0.24449916324453105</v>
      </c>
    </row>
    <row r="9" spans="1:10" s="380" customFormat="1" ht="10.5" x14ac:dyDescent="0.2">
      <c r="A9" s="381">
        <v>7</v>
      </c>
      <c r="B9" s="382" t="s">
        <v>337</v>
      </c>
      <c r="C9" s="384">
        <v>917</v>
      </c>
      <c r="D9" s="383">
        <v>256</v>
      </c>
      <c r="E9" s="402">
        <f t="shared" si="0"/>
        <v>1.2194889579085764E-2</v>
      </c>
      <c r="F9" s="402">
        <f t="shared" si="1"/>
        <v>117.77598750023819</v>
      </c>
      <c r="G9" s="402">
        <f t="shared" si="2"/>
        <v>25.910717250052404</v>
      </c>
      <c r="H9" s="402">
        <f>F9*'92'!$C$20/100</f>
        <v>23.424096437009712</v>
      </c>
      <c r="I9" s="402">
        <f>E9*'мат тепло'!$F$39</f>
        <v>21.755022452570135</v>
      </c>
      <c r="J9" s="402">
        <f t="shared" si="3"/>
        <v>0.20596054922559481</v>
      </c>
    </row>
    <row r="10" spans="1:10" s="380" customFormat="1" ht="10.5" x14ac:dyDescent="0.2">
      <c r="A10" s="381">
        <v>8</v>
      </c>
      <c r="B10" s="382" t="s">
        <v>338</v>
      </c>
      <c r="C10" s="384">
        <v>354.4</v>
      </c>
      <c r="D10" s="383">
        <v>256</v>
      </c>
      <c r="E10" s="402">
        <f t="shared" si="0"/>
        <v>1.2194889579085764E-2</v>
      </c>
      <c r="F10" s="402">
        <f t="shared" si="1"/>
        <v>117.77598750023819</v>
      </c>
      <c r="G10" s="402">
        <f t="shared" si="2"/>
        <v>25.910717250052404</v>
      </c>
      <c r="H10" s="402">
        <f>F10*'92'!$C$20/100</f>
        <v>23.424096437009712</v>
      </c>
      <c r="I10" s="402">
        <f>E10*'мат тепло'!$F$39</f>
        <v>21.755022452570135</v>
      </c>
      <c r="J10" s="402">
        <f t="shared" si="3"/>
        <v>0.53291710959331395</v>
      </c>
    </row>
    <row r="11" spans="1:10" s="380" customFormat="1" ht="10.5" x14ac:dyDescent="0.2">
      <c r="A11" s="381">
        <v>9</v>
      </c>
      <c r="B11" s="382" t="s">
        <v>339</v>
      </c>
      <c r="C11" s="384">
        <v>634.4</v>
      </c>
      <c r="D11" s="383">
        <v>385</v>
      </c>
      <c r="E11" s="402">
        <f t="shared" si="0"/>
        <v>1.833997065604695E-2</v>
      </c>
      <c r="F11" s="402">
        <f t="shared" si="1"/>
        <v>177.12404370153007</v>
      </c>
      <c r="G11" s="402">
        <f t="shared" si="2"/>
        <v>38.967289614336615</v>
      </c>
      <c r="H11" s="402">
        <f>F11*'92'!$C$20/100</f>
        <v>35.227645032221638</v>
      </c>
      <c r="I11" s="402">
        <f>E11*'мат тепло'!$F$39</f>
        <v>32.717514235310553</v>
      </c>
      <c r="J11" s="402">
        <f t="shared" si="3"/>
        <v>0.44772460999905245</v>
      </c>
    </row>
    <row r="12" spans="1:10" s="380" customFormat="1" ht="10.5" x14ac:dyDescent="0.2">
      <c r="A12" s="381">
        <v>10</v>
      </c>
      <c r="B12" s="382" t="s">
        <v>340</v>
      </c>
      <c r="C12" s="384">
        <v>637.20000000000005</v>
      </c>
      <c r="D12" s="383">
        <v>385</v>
      </c>
      <c r="E12" s="402">
        <f t="shared" si="0"/>
        <v>1.833997065604695E-2</v>
      </c>
      <c r="F12" s="402">
        <f t="shared" si="1"/>
        <v>177.12404370153007</v>
      </c>
      <c r="G12" s="402">
        <f t="shared" si="2"/>
        <v>38.967289614336615</v>
      </c>
      <c r="H12" s="402">
        <f>F12*'92'!$C$20/100</f>
        <v>35.227645032221638</v>
      </c>
      <c r="I12" s="402">
        <f>E12*'мат тепло'!$F$39</f>
        <v>32.717514235310553</v>
      </c>
      <c r="J12" s="402">
        <f t="shared" si="3"/>
        <v>0.44575720744412872</v>
      </c>
    </row>
    <row r="13" spans="1:10" s="380" customFormat="1" ht="10.5" x14ac:dyDescent="0.2">
      <c r="A13" s="381">
        <v>11</v>
      </c>
      <c r="B13" s="382" t="s">
        <v>341</v>
      </c>
      <c r="C13" s="384">
        <v>463.8</v>
      </c>
      <c r="D13" s="383">
        <v>385</v>
      </c>
      <c r="E13" s="402">
        <f t="shared" si="0"/>
        <v>1.833997065604695E-2</v>
      </c>
      <c r="F13" s="402">
        <f t="shared" si="1"/>
        <v>177.12404370153007</v>
      </c>
      <c r="G13" s="402">
        <f t="shared" si="2"/>
        <v>38.967289614336615</v>
      </c>
      <c r="H13" s="402">
        <f>F13*'92'!$C$20/100</f>
        <v>35.227645032221638</v>
      </c>
      <c r="I13" s="402">
        <f>E13*'мат тепло'!$F$39</f>
        <v>32.717514235310553</v>
      </c>
      <c r="J13" s="402">
        <f>((F13+G13+H13+I13)/C13)*20/100</f>
        <v>0.12248231676731301</v>
      </c>
    </row>
    <row r="14" spans="1:10" s="380" customFormat="1" ht="10.5" x14ac:dyDescent="0.2">
      <c r="A14" s="381">
        <v>12</v>
      </c>
      <c r="B14" s="382" t="s">
        <v>342</v>
      </c>
      <c r="C14" s="384">
        <v>633.29999999999995</v>
      </c>
      <c r="D14" s="383">
        <v>385</v>
      </c>
      <c r="E14" s="402">
        <f t="shared" si="0"/>
        <v>1.833997065604695E-2</v>
      </c>
      <c r="F14" s="402">
        <f t="shared" si="1"/>
        <v>177.12404370153007</v>
      </c>
      <c r="G14" s="402">
        <f t="shared" si="2"/>
        <v>38.967289614336615</v>
      </c>
      <c r="H14" s="402">
        <f>F14*'92'!$C$20/100</f>
        <v>35.227645032221638</v>
      </c>
      <c r="I14" s="402">
        <f>E14*'мат тепло'!$F$39</f>
        <v>32.717514235310553</v>
      </c>
      <c r="J14" s="402">
        <f t="shared" si="3"/>
        <v>0.44850227788314995</v>
      </c>
    </row>
    <row r="15" spans="1:10" s="380" customFormat="1" ht="10.5" x14ac:dyDescent="0.2">
      <c r="A15" s="381">
        <v>13</v>
      </c>
      <c r="B15" s="382" t="s">
        <v>343</v>
      </c>
      <c r="C15" s="384">
        <v>379.5</v>
      </c>
      <c r="D15" s="383">
        <v>168</v>
      </c>
      <c r="E15" s="402">
        <f t="shared" si="0"/>
        <v>8.0028962862750321E-3</v>
      </c>
      <c r="F15" s="402">
        <f t="shared" si="1"/>
        <v>77.290491797031308</v>
      </c>
      <c r="G15" s="402">
        <f t="shared" si="2"/>
        <v>17.003908195346888</v>
      </c>
      <c r="H15" s="402">
        <f>F15*'92'!$C$20/100</f>
        <v>15.372063286787622</v>
      </c>
      <c r="I15" s="402">
        <f>E15*'мат тепло'!$F$39</f>
        <v>14.27673348449915</v>
      </c>
      <c r="J15" s="402">
        <f t="shared" si="3"/>
        <v>0.32659603890293798</v>
      </c>
    </row>
    <row r="16" spans="1:10" s="380" customFormat="1" ht="10.5" x14ac:dyDescent="0.2">
      <c r="A16" s="381">
        <v>14</v>
      </c>
      <c r="B16" s="382" t="s">
        <v>344</v>
      </c>
      <c r="C16" s="384">
        <v>916.4</v>
      </c>
      <c r="D16" s="383">
        <v>446</v>
      </c>
      <c r="E16" s="402">
        <f t="shared" si="0"/>
        <v>2.1245784188563478E-2</v>
      </c>
      <c r="F16" s="402">
        <f t="shared" si="1"/>
        <v>205.18785322307119</v>
      </c>
      <c r="G16" s="402">
        <f t="shared" si="2"/>
        <v>45.141327709075661</v>
      </c>
      <c r="H16" s="402">
        <f>F16*'92'!$C$20/100</f>
        <v>40.809168011352853</v>
      </c>
      <c r="I16" s="402">
        <f>E16*'мат тепло'!$F$39</f>
        <v>37.901328179087031</v>
      </c>
      <c r="J16" s="402">
        <f t="shared" si="3"/>
        <v>0.35905682793822213</v>
      </c>
    </row>
    <row r="17" spans="1:10" s="380" customFormat="1" ht="10.5" x14ac:dyDescent="0.2">
      <c r="A17" s="381">
        <v>15</v>
      </c>
      <c r="B17" s="382" t="s">
        <v>345</v>
      </c>
      <c r="C17" s="384">
        <v>922.1</v>
      </c>
      <c r="D17" s="383">
        <v>446</v>
      </c>
      <c r="E17" s="402">
        <f t="shared" si="0"/>
        <v>2.1245784188563478E-2</v>
      </c>
      <c r="F17" s="402">
        <f t="shared" si="1"/>
        <v>205.18785322307119</v>
      </c>
      <c r="G17" s="402">
        <f t="shared" si="2"/>
        <v>45.141327709075661</v>
      </c>
      <c r="H17" s="402">
        <f>F17*'92'!$C$20/100</f>
        <v>40.809168011352853</v>
      </c>
      <c r="I17" s="402">
        <f>E17*'мат тепло'!$F$39</f>
        <v>37.901328179087031</v>
      </c>
      <c r="J17" s="402">
        <f t="shared" si="3"/>
        <v>0.35683730302850747</v>
      </c>
    </row>
    <row r="18" spans="1:10" s="380" customFormat="1" ht="10.5" x14ac:dyDescent="0.2">
      <c r="A18" s="381">
        <v>16</v>
      </c>
      <c r="B18" s="382" t="s">
        <v>346</v>
      </c>
      <c r="C18" s="384">
        <v>490.3</v>
      </c>
      <c r="D18" s="383">
        <v>400</v>
      </c>
      <c r="E18" s="402">
        <f t="shared" si="0"/>
        <v>1.9054514967321506E-2</v>
      </c>
      <c r="F18" s="402">
        <f t="shared" si="1"/>
        <v>184.02498046912217</v>
      </c>
      <c r="G18" s="402">
        <f t="shared" si="2"/>
        <v>40.48549570320688</v>
      </c>
      <c r="H18" s="402">
        <f>F18*'92'!$C$20/100</f>
        <v>36.600150682827675</v>
      </c>
      <c r="I18" s="402">
        <f>E18*'мат тепло'!$F$39</f>
        <v>33.992222582140833</v>
      </c>
      <c r="J18" s="402">
        <f t="shared" si="3"/>
        <v>0.60188221382275653</v>
      </c>
    </row>
    <row r="19" spans="1:10" s="380" customFormat="1" ht="10.5" x14ac:dyDescent="0.2">
      <c r="A19" s="381">
        <v>17</v>
      </c>
      <c r="B19" s="382" t="s">
        <v>347</v>
      </c>
      <c r="C19" s="384">
        <v>502.4</v>
      </c>
      <c r="D19" s="383">
        <v>400</v>
      </c>
      <c r="E19" s="402">
        <f t="shared" si="0"/>
        <v>1.9054514967321506E-2</v>
      </c>
      <c r="F19" s="402">
        <f t="shared" si="1"/>
        <v>184.02498046912217</v>
      </c>
      <c r="G19" s="402">
        <f t="shared" si="2"/>
        <v>40.48549570320688</v>
      </c>
      <c r="H19" s="402">
        <f>F19*'92'!$C$20/100</f>
        <v>36.600150682827675</v>
      </c>
      <c r="I19" s="402">
        <f>E19*'мат тепло'!$F$39</f>
        <v>33.992222582140833</v>
      </c>
      <c r="J19" s="402">
        <f t="shared" si="3"/>
        <v>0.58738624489907953</v>
      </c>
    </row>
    <row r="20" spans="1:10" s="380" customFormat="1" ht="10.5" x14ac:dyDescent="0.2">
      <c r="A20" s="381">
        <v>18</v>
      </c>
      <c r="B20" s="382" t="s">
        <v>348</v>
      </c>
      <c r="C20" s="384">
        <v>655.29999999999995</v>
      </c>
      <c r="D20" s="383">
        <v>380</v>
      </c>
      <c r="E20" s="402">
        <f t="shared" si="0"/>
        <v>1.810178921895543E-2</v>
      </c>
      <c r="F20" s="402">
        <f t="shared" si="1"/>
        <v>174.82373144566606</v>
      </c>
      <c r="G20" s="402">
        <f t="shared" si="2"/>
        <v>38.461220918046536</v>
      </c>
      <c r="H20" s="402">
        <f>F20*'92'!$C$20/100</f>
        <v>34.770143148686287</v>
      </c>
      <c r="I20" s="402">
        <f>E20*'мат тепло'!$F$39</f>
        <v>32.292611453033793</v>
      </c>
      <c r="J20" s="402">
        <f t="shared" si="3"/>
        <v>0.4278158201822565</v>
      </c>
    </row>
    <row r="21" spans="1:10" s="380" customFormat="1" ht="10.5" x14ac:dyDescent="0.2">
      <c r="A21" s="381">
        <v>19</v>
      </c>
      <c r="B21" s="382" t="s">
        <v>349</v>
      </c>
      <c r="C21" s="384">
        <v>663.8</v>
      </c>
      <c r="D21" s="383">
        <v>400</v>
      </c>
      <c r="E21" s="402">
        <f t="shared" si="0"/>
        <v>1.9054514967321506E-2</v>
      </c>
      <c r="F21" s="402">
        <f t="shared" si="1"/>
        <v>184.02498046912217</v>
      </c>
      <c r="G21" s="402">
        <f t="shared" si="2"/>
        <v>40.48549570320688</v>
      </c>
      <c r="H21" s="402">
        <f>F21*'92'!$C$20/100</f>
        <v>36.600150682827675</v>
      </c>
      <c r="I21" s="402">
        <f>E21*'мат тепло'!$F$39</f>
        <v>33.992222582140833</v>
      </c>
      <c r="J21" s="402">
        <f t="shared" si="3"/>
        <v>0.44456590755844766</v>
      </c>
    </row>
    <row r="22" spans="1:10" s="380" customFormat="1" ht="10.5" x14ac:dyDescent="0.2">
      <c r="A22" s="381">
        <v>20</v>
      </c>
      <c r="B22" s="382" t="s">
        <v>350</v>
      </c>
      <c r="C22" s="384">
        <v>679.3</v>
      </c>
      <c r="D22" s="383">
        <v>410</v>
      </c>
      <c r="E22" s="402">
        <f t="shared" si="0"/>
        <v>1.9530877841504542E-2</v>
      </c>
      <c r="F22" s="402">
        <f t="shared" si="1"/>
        <v>188.6256049808502</v>
      </c>
      <c r="G22" s="402">
        <f t="shared" si="2"/>
        <v>41.497633095787045</v>
      </c>
      <c r="H22" s="402">
        <f>F22*'92'!$C$20/100</f>
        <v>37.515154449898361</v>
      </c>
      <c r="I22" s="402">
        <f>E22*'мат тепло'!$F$39</f>
        <v>34.842028146694354</v>
      </c>
      <c r="J22" s="402">
        <f t="shared" si="3"/>
        <v>0.44528252712090383</v>
      </c>
    </row>
    <row r="23" spans="1:10" s="380" customFormat="1" ht="10.5" x14ac:dyDescent="0.2">
      <c r="A23" s="381">
        <v>21</v>
      </c>
      <c r="B23" s="382" t="s">
        <v>351</v>
      </c>
      <c r="C23" s="384">
        <v>828.8</v>
      </c>
      <c r="D23" s="383">
        <v>380</v>
      </c>
      <c r="E23" s="402">
        <f t="shared" si="0"/>
        <v>1.810178921895543E-2</v>
      </c>
      <c r="F23" s="402">
        <f t="shared" si="1"/>
        <v>174.82373144566606</v>
      </c>
      <c r="G23" s="402">
        <f t="shared" si="2"/>
        <v>38.461220918046536</v>
      </c>
      <c r="H23" s="402">
        <f>F23*'92'!$C$20/100</f>
        <v>34.770143148686287</v>
      </c>
      <c r="I23" s="402">
        <f>E23*'мат тепло'!$F$39</f>
        <v>32.292611453033793</v>
      </c>
      <c r="J23" s="402">
        <f t="shared" si="3"/>
        <v>0.33825736844284832</v>
      </c>
    </row>
    <row r="24" spans="1:10" s="380" customFormat="1" ht="10.5" x14ac:dyDescent="0.2">
      <c r="A24" s="381">
        <v>22</v>
      </c>
      <c r="B24" s="382" t="s">
        <v>352</v>
      </c>
      <c r="C24" s="384">
        <v>1413.6</v>
      </c>
      <c r="D24" s="383">
        <v>530</v>
      </c>
      <c r="E24" s="402">
        <f t="shared" si="0"/>
        <v>2.5247232331700994E-2</v>
      </c>
      <c r="F24" s="402">
        <f t="shared" si="1"/>
        <v>243.83309912158686</v>
      </c>
      <c r="G24" s="402">
        <f t="shared" si="2"/>
        <v>53.643281806749108</v>
      </c>
      <c r="H24" s="402">
        <f>F24*'92'!$C$20/100</f>
        <v>48.495199654746663</v>
      </c>
      <c r="I24" s="402">
        <f>E24*'мат тепло'!$F$39</f>
        <v>45.039694921336604</v>
      </c>
      <c r="J24" s="402">
        <f t="shared" si="3"/>
        <v>0.27660673139814607</v>
      </c>
    </row>
    <row r="25" spans="1:10" s="380" customFormat="1" ht="10.5" x14ac:dyDescent="0.2">
      <c r="A25" s="381">
        <v>23</v>
      </c>
      <c r="B25" s="382" t="s">
        <v>353</v>
      </c>
      <c r="C25" s="384">
        <v>1478</v>
      </c>
      <c r="D25" s="383">
        <v>632</v>
      </c>
      <c r="E25" s="402">
        <f t="shared" si="0"/>
        <v>3.0106133648367978E-2</v>
      </c>
      <c r="F25" s="402">
        <f t="shared" si="1"/>
        <v>290.759469141213</v>
      </c>
      <c r="G25" s="402">
        <f t="shared" si="2"/>
        <v>63.967083211066857</v>
      </c>
      <c r="H25" s="402">
        <f>F25*'92'!$C$20/100</f>
        <v>57.828238078867727</v>
      </c>
      <c r="I25" s="402">
        <f>E25*'мат тепло'!$F$39</f>
        <v>53.707711679782513</v>
      </c>
      <c r="J25" s="402">
        <f t="shared" si="3"/>
        <v>0.31546853999386337</v>
      </c>
    </row>
    <row r="26" spans="1:10" s="380" customFormat="1" ht="10.5" x14ac:dyDescent="0.2">
      <c r="A26" s="381">
        <v>24</v>
      </c>
      <c r="B26" s="382" t="s">
        <v>354</v>
      </c>
      <c r="C26" s="384">
        <v>848.6</v>
      </c>
      <c r="D26" s="383">
        <v>340</v>
      </c>
      <c r="E26" s="402">
        <f t="shared" si="0"/>
        <v>1.6196337722223279E-2</v>
      </c>
      <c r="F26" s="402">
        <f t="shared" si="1"/>
        <v>156.42123339875383</v>
      </c>
      <c r="G26" s="402">
        <f t="shared" si="2"/>
        <v>34.412671347725841</v>
      </c>
      <c r="H26" s="402">
        <f>F26*'92'!$C$20/100</f>
        <v>31.11012808040352</v>
      </c>
      <c r="I26" s="402">
        <f>E26*'мат тепло'!$F$39</f>
        <v>28.893389194819708</v>
      </c>
      <c r="J26" s="402">
        <f t="shared" si="3"/>
        <v>0.29558970306587662</v>
      </c>
    </row>
    <row r="27" spans="1:10" s="380" customFormat="1" ht="10.5" x14ac:dyDescent="0.2">
      <c r="A27" s="381">
        <v>25</v>
      </c>
      <c r="B27" s="382" t="s">
        <v>355</v>
      </c>
      <c r="C27" s="384">
        <v>834.8</v>
      </c>
      <c r="D27" s="383">
        <v>450</v>
      </c>
      <c r="E27" s="402">
        <f t="shared" si="0"/>
        <v>2.1436329338236693E-2</v>
      </c>
      <c r="F27" s="402">
        <f t="shared" si="1"/>
        <v>207.02810302776243</v>
      </c>
      <c r="G27" s="402">
        <f t="shared" si="2"/>
        <v>45.546182666107732</v>
      </c>
      <c r="H27" s="402">
        <f>F27*'92'!$C$20/100</f>
        <v>41.175169518181129</v>
      </c>
      <c r="I27" s="402">
        <f>E27*'мат тепло'!$F$39</f>
        <v>38.241250404908435</v>
      </c>
      <c r="J27" s="402">
        <f t="shared" si="3"/>
        <v>0.39768891425126951</v>
      </c>
    </row>
    <row r="28" spans="1:10" s="380" customFormat="1" ht="10.5" x14ac:dyDescent="0.2">
      <c r="A28" s="381">
        <v>26</v>
      </c>
      <c r="B28" s="382" t="s">
        <v>356</v>
      </c>
      <c r="C28" s="384">
        <v>848.8</v>
      </c>
      <c r="D28" s="383">
        <v>410</v>
      </c>
      <c r="E28" s="402">
        <f t="shared" si="0"/>
        <v>1.9530877841504542E-2</v>
      </c>
      <c r="F28" s="402">
        <f t="shared" si="1"/>
        <v>188.6256049808502</v>
      </c>
      <c r="G28" s="402">
        <f t="shared" si="2"/>
        <v>41.497633095787045</v>
      </c>
      <c r="H28" s="402">
        <f>F28*'92'!$C$20/100</f>
        <v>37.515154449898361</v>
      </c>
      <c r="I28" s="402">
        <f>E28*'мат тепло'!$F$39</f>
        <v>34.842028146694354</v>
      </c>
      <c r="J28" s="402">
        <f t="shared" si="3"/>
        <v>0.35636241832378651</v>
      </c>
    </row>
    <row r="29" spans="1:10" s="380" customFormat="1" ht="10.5" x14ac:dyDescent="0.2">
      <c r="A29" s="381">
        <v>27</v>
      </c>
      <c r="B29" s="382" t="s">
        <v>357</v>
      </c>
      <c r="C29" s="384">
        <v>646.76</v>
      </c>
      <c r="D29" s="383">
        <v>335</v>
      </c>
      <c r="E29" s="402">
        <f t="shared" si="0"/>
        <v>1.595815628513176E-2</v>
      </c>
      <c r="F29" s="402">
        <f t="shared" si="1"/>
        <v>154.12092114288978</v>
      </c>
      <c r="G29" s="402">
        <f t="shared" si="2"/>
        <v>33.906602651435747</v>
      </c>
      <c r="H29" s="402">
        <f>F29*'92'!$C$20/100</f>
        <v>30.652626196868173</v>
      </c>
      <c r="I29" s="402">
        <f>E29*'мат тепло'!$F$39</f>
        <v>28.468486412542944</v>
      </c>
      <c r="J29" s="402">
        <f t="shared" si="3"/>
        <v>0.38213345971262391</v>
      </c>
    </row>
    <row r="30" spans="1:10" s="380" customFormat="1" ht="10.5" x14ac:dyDescent="0.2">
      <c r="A30" s="381">
        <v>28</v>
      </c>
      <c r="B30" s="382" t="s">
        <v>358</v>
      </c>
      <c r="C30" s="384">
        <v>638.20000000000005</v>
      </c>
      <c r="D30" s="383">
        <v>335</v>
      </c>
      <c r="E30" s="402">
        <f t="shared" si="0"/>
        <v>1.595815628513176E-2</v>
      </c>
      <c r="F30" s="402">
        <f t="shared" si="1"/>
        <v>154.12092114288978</v>
      </c>
      <c r="G30" s="402">
        <f t="shared" si="2"/>
        <v>33.906602651435747</v>
      </c>
      <c r="H30" s="402">
        <f>F30*'92'!$C$20/100</f>
        <v>30.652626196868173</v>
      </c>
      <c r="I30" s="402">
        <f>E30*'мат тепло'!$F$39</f>
        <v>28.468486412542944</v>
      </c>
      <c r="J30" s="402">
        <f t="shared" si="3"/>
        <v>0.38725891006539742</v>
      </c>
    </row>
    <row r="31" spans="1:10" s="380" customFormat="1" ht="10.5" x14ac:dyDescent="0.2">
      <c r="A31" s="381">
        <v>29</v>
      </c>
      <c r="B31" s="382" t="s">
        <v>359</v>
      </c>
      <c r="C31" s="384">
        <v>385.2</v>
      </c>
      <c r="D31" s="383">
        <v>198</v>
      </c>
      <c r="E31" s="402">
        <f t="shared" si="0"/>
        <v>9.4319849088241453E-3</v>
      </c>
      <c r="F31" s="402">
        <f t="shared" si="1"/>
        <v>91.092365332215465</v>
      </c>
      <c r="G31" s="402">
        <f t="shared" si="2"/>
        <v>20.0403203730874</v>
      </c>
      <c r="H31" s="402">
        <f>F31*'92'!$C$20/100</f>
        <v>18.117074587999699</v>
      </c>
      <c r="I31" s="402">
        <f>E31*'мат тепло'!$F$39</f>
        <v>16.826150178159711</v>
      </c>
      <c r="J31" s="402">
        <f t="shared" si="3"/>
        <v>0.37922095137970474</v>
      </c>
    </row>
    <row r="32" spans="1:10" s="380" customFormat="1" ht="10.5" x14ac:dyDescent="0.2">
      <c r="A32" s="381">
        <v>30</v>
      </c>
      <c r="B32" s="382" t="s">
        <v>360</v>
      </c>
      <c r="C32" s="384">
        <v>398.4</v>
      </c>
      <c r="D32" s="383">
        <v>198</v>
      </c>
      <c r="E32" s="402">
        <f t="shared" si="0"/>
        <v>9.4319849088241453E-3</v>
      </c>
      <c r="F32" s="402">
        <f t="shared" si="1"/>
        <v>91.092365332215465</v>
      </c>
      <c r="G32" s="402">
        <f t="shared" si="2"/>
        <v>20.0403203730874</v>
      </c>
      <c r="H32" s="402">
        <f>F32*'92'!$C$20/100</f>
        <v>18.117074587999699</v>
      </c>
      <c r="I32" s="402">
        <f>E32*'мат тепло'!$F$39</f>
        <v>16.826150178159711</v>
      </c>
      <c r="J32" s="402">
        <f t="shared" si="3"/>
        <v>0.36665640178579889</v>
      </c>
    </row>
    <row r="33" spans="1:10" s="380" customFormat="1" ht="10.5" x14ac:dyDescent="0.2">
      <c r="A33" s="381">
        <v>31</v>
      </c>
      <c r="B33" s="382" t="s">
        <v>361</v>
      </c>
      <c r="C33" s="384">
        <v>977.25</v>
      </c>
      <c r="D33" s="383">
        <v>480</v>
      </c>
      <c r="E33" s="402">
        <f t="shared" si="0"/>
        <v>2.2865417960785808E-2</v>
      </c>
      <c r="F33" s="402">
        <f t="shared" si="1"/>
        <v>220.8299765629466</v>
      </c>
      <c r="G33" s="402">
        <f t="shared" si="2"/>
        <v>48.582594843848256</v>
      </c>
      <c r="H33" s="402">
        <f>F33*'92'!$C$20/100</f>
        <v>43.92018081939321</v>
      </c>
      <c r="I33" s="402">
        <f>E33*'мат тепло'!$F$39</f>
        <v>40.790667098569003</v>
      </c>
      <c r="J33" s="402">
        <f t="shared" si="3"/>
        <v>0.36236727482707293</v>
      </c>
    </row>
    <row r="34" spans="1:10" s="380" customFormat="1" ht="10.5" x14ac:dyDescent="0.2">
      <c r="A34" s="381">
        <v>32</v>
      </c>
      <c r="B34" s="382" t="s">
        <v>362</v>
      </c>
      <c r="C34" s="384">
        <v>796.2</v>
      </c>
      <c r="D34" s="383">
        <v>470</v>
      </c>
      <c r="E34" s="402">
        <f t="shared" si="0"/>
        <v>2.2389055086602768E-2</v>
      </c>
      <c r="F34" s="402">
        <f t="shared" si="1"/>
        <v>216.22935205121851</v>
      </c>
      <c r="G34" s="402">
        <f t="shared" si="2"/>
        <v>47.570457451268076</v>
      </c>
      <c r="H34" s="402">
        <f>F34*'92'!$C$20/100</f>
        <v>43.005177052322516</v>
      </c>
      <c r="I34" s="402">
        <f>E34*'мат тепло'!$F$39</f>
        <v>39.940861534015475</v>
      </c>
      <c r="J34" s="402">
        <f t="shared" si="3"/>
        <v>0.43550093957400721</v>
      </c>
    </row>
    <row r="35" spans="1:10" s="380" customFormat="1" ht="10.5" x14ac:dyDescent="0.2">
      <c r="A35" s="381">
        <v>33</v>
      </c>
      <c r="B35" s="382" t="s">
        <v>363</v>
      </c>
      <c r="C35" s="384">
        <v>394.3</v>
      </c>
      <c r="D35" s="383">
        <v>180</v>
      </c>
      <c r="E35" s="402">
        <f t="shared" si="0"/>
        <v>8.5745317352946774E-3</v>
      </c>
      <c r="F35" s="402">
        <f t="shared" si="1"/>
        <v>82.811241211104971</v>
      </c>
      <c r="G35" s="402">
        <f t="shared" si="2"/>
        <v>18.218473066443092</v>
      </c>
      <c r="H35" s="402">
        <f>F35*'92'!$C$20/100</f>
        <v>16.470067807272454</v>
      </c>
      <c r="I35" s="402">
        <f>E35*'мат тепло'!$F$39</f>
        <v>15.296500161963374</v>
      </c>
      <c r="J35" s="402">
        <f t="shared" si="3"/>
        <v>0.33678996258377858</v>
      </c>
    </row>
    <row r="36" spans="1:10" s="380" customFormat="1" ht="10.5" x14ac:dyDescent="0.2">
      <c r="A36" s="381">
        <v>34</v>
      </c>
      <c r="B36" s="382" t="s">
        <v>364</v>
      </c>
      <c r="C36" s="384">
        <v>462.9</v>
      </c>
      <c r="D36" s="383">
        <v>260</v>
      </c>
      <c r="E36" s="402">
        <f t="shared" si="0"/>
        <v>1.2385434728758979E-2</v>
      </c>
      <c r="F36" s="402">
        <f t="shared" si="1"/>
        <v>119.61623730492941</v>
      </c>
      <c r="G36" s="402">
        <f t="shared" si="2"/>
        <v>26.315572207084468</v>
      </c>
      <c r="H36" s="402">
        <f>F36*'92'!$C$20/100</f>
        <v>23.790097943837992</v>
      </c>
      <c r="I36" s="402">
        <f>E36*'мат тепло'!$F$39</f>
        <v>22.094944678391542</v>
      </c>
      <c r="J36" s="402">
        <f t="shared" si="3"/>
        <v>0.41438075639283517</v>
      </c>
    </row>
    <row r="37" spans="1:10" s="380" customFormat="1" ht="10.5" x14ac:dyDescent="0.2">
      <c r="A37" s="381">
        <v>35</v>
      </c>
      <c r="B37" s="382" t="s">
        <v>365</v>
      </c>
      <c r="C37" s="384">
        <v>411.79</v>
      </c>
      <c r="D37" s="383">
        <v>270</v>
      </c>
      <c r="E37" s="402">
        <f t="shared" si="0"/>
        <v>1.2861797602942017E-2</v>
      </c>
      <c r="F37" s="402">
        <f t="shared" si="1"/>
        <v>124.21686181665746</v>
      </c>
      <c r="G37" s="402">
        <f t="shared" si="2"/>
        <v>27.32770959966464</v>
      </c>
      <c r="H37" s="402">
        <f>F37*'92'!$C$20/100</f>
        <v>24.705101710908679</v>
      </c>
      <c r="I37" s="402">
        <f>E37*'мат тепло'!$F$39</f>
        <v>22.944750242945062</v>
      </c>
      <c r="J37" s="402">
        <f t="shared" si="3"/>
        <v>0.48372817059709039</v>
      </c>
    </row>
    <row r="38" spans="1:10" s="380" customFormat="1" ht="10.5" x14ac:dyDescent="0.2">
      <c r="A38" s="381">
        <v>36</v>
      </c>
      <c r="B38" s="382" t="s">
        <v>366</v>
      </c>
      <c r="C38" s="384">
        <v>674.2</v>
      </c>
      <c r="D38" s="383">
        <v>350</v>
      </c>
      <c r="E38" s="402">
        <f t="shared" si="0"/>
        <v>1.6672700596406319E-2</v>
      </c>
      <c r="F38" s="402">
        <f t="shared" si="1"/>
        <v>161.02185791048191</v>
      </c>
      <c r="G38" s="402">
        <f t="shared" si="2"/>
        <v>35.42480874030602</v>
      </c>
      <c r="H38" s="402">
        <f>F38*'92'!$C$20/100</f>
        <v>32.025131847474221</v>
      </c>
      <c r="I38" s="402">
        <f>E38*'мат тепло'!$F$39</f>
        <v>29.743194759373232</v>
      </c>
      <c r="J38" s="402">
        <f t="shared" si="3"/>
        <v>0.38299465033763774</v>
      </c>
    </row>
    <row r="39" spans="1:10" s="380" customFormat="1" ht="10.5" x14ac:dyDescent="0.2">
      <c r="A39" s="381">
        <v>37</v>
      </c>
      <c r="B39" s="382" t="s">
        <v>367</v>
      </c>
      <c r="C39" s="384">
        <v>169</v>
      </c>
      <c r="D39" s="383">
        <v>100</v>
      </c>
      <c r="E39" s="402">
        <f t="shared" si="0"/>
        <v>4.7636287418303764E-3</v>
      </c>
      <c r="F39" s="402">
        <f t="shared" si="1"/>
        <v>46.006245117280542</v>
      </c>
      <c r="G39" s="402">
        <f t="shared" si="2"/>
        <v>10.12137392580172</v>
      </c>
      <c r="H39" s="402">
        <f>F39*'92'!$C$20/100</f>
        <v>9.1500376707069186</v>
      </c>
      <c r="I39" s="402">
        <f>E39*'мат тепло'!$F$39</f>
        <v>8.4980556455352083</v>
      </c>
      <c r="J39" s="402">
        <f t="shared" si="3"/>
        <v>0.43654267668239283</v>
      </c>
    </row>
    <row r="40" spans="1:10" s="380" customFormat="1" ht="10.5" x14ac:dyDescent="0.2">
      <c r="A40" s="381">
        <v>38</v>
      </c>
      <c r="B40" s="382" t="s">
        <v>368</v>
      </c>
      <c r="C40" s="384">
        <v>175.4</v>
      </c>
      <c r="D40" s="383">
        <v>100</v>
      </c>
      <c r="E40" s="402">
        <f t="shared" si="0"/>
        <v>4.7636287418303764E-3</v>
      </c>
      <c r="F40" s="402">
        <f t="shared" si="1"/>
        <v>46.006245117280542</v>
      </c>
      <c r="G40" s="402">
        <f t="shared" si="2"/>
        <v>10.12137392580172</v>
      </c>
      <c r="H40" s="402">
        <f>F40*'92'!$C$20/100</f>
        <v>9.1500376707069186</v>
      </c>
      <c r="I40" s="402">
        <f>E40*'мат тепло'!$F$39</f>
        <v>8.4980556455352083</v>
      </c>
      <c r="J40" s="402">
        <f t="shared" si="3"/>
        <v>0.42061409554916979</v>
      </c>
    </row>
    <row r="41" spans="1:10" s="380" customFormat="1" ht="10.5" x14ac:dyDescent="0.2">
      <c r="A41" s="381">
        <v>39</v>
      </c>
      <c r="B41" s="382" t="s">
        <v>369</v>
      </c>
      <c r="C41" s="384">
        <v>173.5</v>
      </c>
      <c r="D41" s="383">
        <v>100</v>
      </c>
      <c r="E41" s="402">
        <f t="shared" si="0"/>
        <v>4.7636287418303764E-3</v>
      </c>
      <c r="F41" s="402">
        <f t="shared" si="1"/>
        <v>46.006245117280542</v>
      </c>
      <c r="G41" s="402">
        <f t="shared" si="2"/>
        <v>10.12137392580172</v>
      </c>
      <c r="H41" s="402">
        <f>F41*'92'!$C$20/100</f>
        <v>9.1500376707069186</v>
      </c>
      <c r="I41" s="402">
        <f>E41*'мат тепло'!$F$39</f>
        <v>8.4980556455352083</v>
      </c>
      <c r="J41" s="402">
        <f t="shared" si="3"/>
        <v>0.42522024414596188</v>
      </c>
    </row>
    <row r="42" spans="1:10" s="380" customFormat="1" ht="10.5" x14ac:dyDescent="0.2">
      <c r="A42" s="381">
        <v>40</v>
      </c>
      <c r="B42" s="382" t="s">
        <v>370</v>
      </c>
      <c r="C42" s="384">
        <v>182</v>
      </c>
      <c r="D42" s="383">
        <v>100</v>
      </c>
      <c r="E42" s="402">
        <f t="shared" si="0"/>
        <v>4.7636287418303764E-3</v>
      </c>
      <c r="F42" s="402">
        <f t="shared" si="1"/>
        <v>46.006245117280542</v>
      </c>
      <c r="G42" s="402">
        <f t="shared" si="2"/>
        <v>10.12137392580172</v>
      </c>
      <c r="H42" s="402">
        <f>F42*'92'!$C$20/100</f>
        <v>9.1500376707069186</v>
      </c>
      <c r="I42" s="402">
        <f>E42*'мат тепло'!$F$39</f>
        <v>8.4980556455352083</v>
      </c>
      <c r="J42" s="402">
        <f t="shared" si="3"/>
        <v>0.40536105691936475</v>
      </c>
    </row>
    <row r="43" spans="1:10" s="380" customFormat="1" ht="10.5" x14ac:dyDescent="0.2">
      <c r="A43" s="381">
        <v>41</v>
      </c>
      <c r="B43" s="382" t="s">
        <v>371</v>
      </c>
      <c r="C43" s="384">
        <v>629.6</v>
      </c>
      <c r="D43" s="383">
        <v>180</v>
      </c>
      <c r="E43" s="402">
        <f t="shared" si="0"/>
        <v>8.5745317352946774E-3</v>
      </c>
      <c r="F43" s="402">
        <f t="shared" si="1"/>
        <v>82.811241211104971</v>
      </c>
      <c r="G43" s="402">
        <f t="shared" si="2"/>
        <v>18.218473066443092</v>
      </c>
      <c r="H43" s="402">
        <f>F43*'92'!$C$20/100</f>
        <v>16.470067807272454</v>
      </c>
      <c r="I43" s="402">
        <f>E43*'мат тепло'!$F$39</f>
        <v>15.296500161963374</v>
      </c>
      <c r="J43" s="402">
        <f t="shared" si="3"/>
        <v>0.21092166811750937</v>
      </c>
    </row>
    <row r="44" spans="1:10" s="380" customFormat="1" ht="10.5" x14ac:dyDescent="0.2">
      <c r="A44" s="381">
        <v>42</v>
      </c>
      <c r="B44" s="382" t="s">
        <v>372</v>
      </c>
      <c r="C44" s="384">
        <v>628.9</v>
      </c>
      <c r="D44" s="383">
        <v>180</v>
      </c>
      <c r="E44" s="402">
        <f t="shared" si="0"/>
        <v>8.5745317352946774E-3</v>
      </c>
      <c r="F44" s="402">
        <f t="shared" si="1"/>
        <v>82.811241211104971</v>
      </c>
      <c r="G44" s="402">
        <f t="shared" si="2"/>
        <v>18.218473066443092</v>
      </c>
      <c r="H44" s="402">
        <f>F44*'92'!$C$20/100</f>
        <v>16.470067807272454</v>
      </c>
      <c r="I44" s="402">
        <f>E44*'мат тепло'!$F$39</f>
        <v>15.296500161963374</v>
      </c>
      <c r="J44" s="402">
        <f t="shared" si="3"/>
        <v>0.21115643543772286</v>
      </c>
    </row>
    <row r="45" spans="1:10" s="380" customFormat="1" ht="10.5" x14ac:dyDescent="0.2">
      <c r="A45" s="381">
        <v>43</v>
      </c>
      <c r="B45" s="382" t="s">
        <v>373</v>
      </c>
      <c r="C45" s="384">
        <v>509.3</v>
      </c>
      <c r="D45" s="383">
        <v>180</v>
      </c>
      <c r="E45" s="402">
        <f t="shared" si="0"/>
        <v>8.5745317352946774E-3</v>
      </c>
      <c r="F45" s="402">
        <f t="shared" si="1"/>
        <v>82.811241211104971</v>
      </c>
      <c r="G45" s="402">
        <f t="shared" si="2"/>
        <v>18.218473066443092</v>
      </c>
      <c r="H45" s="402">
        <f>F45*'92'!$C$20/100</f>
        <v>16.470067807272454</v>
      </c>
      <c r="I45" s="402">
        <f>E45*'мат тепло'!$F$39</f>
        <v>15.296500161963374</v>
      </c>
      <c r="J45" s="402">
        <f t="shared" si="3"/>
        <v>0.26074274935555447</v>
      </c>
    </row>
    <row r="46" spans="1:10" s="380" customFormat="1" ht="10.5" x14ac:dyDescent="0.2">
      <c r="A46" s="381">
        <v>44</v>
      </c>
      <c r="B46" s="382" t="s">
        <v>374</v>
      </c>
      <c r="C46" s="384">
        <v>404.4</v>
      </c>
      <c r="D46" s="383">
        <v>196</v>
      </c>
      <c r="E46" s="402">
        <f t="shared" si="0"/>
        <v>9.3367123339875378E-3</v>
      </c>
      <c r="F46" s="402">
        <f t="shared" si="1"/>
        <v>90.172240429869859</v>
      </c>
      <c r="G46" s="402">
        <f t="shared" si="2"/>
        <v>19.837892894571368</v>
      </c>
      <c r="H46" s="402">
        <f>F46*'92'!$C$20/100</f>
        <v>17.934073834585561</v>
      </c>
      <c r="I46" s="402">
        <f>E46*'мат тепло'!$F$39</f>
        <v>16.656189065249009</v>
      </c>
      <c r="J46" s="402">
        <f t="shared" si="3"/>
        <v>0.35756774536171071</v>
      </c>
    </row>
    <row r="47" spans="1:10" s="380" customFormat="1" ht="10.5" x14ac:dyDescent="0.2">
      <c r="A47" s="381">
        <v>45</v>
      </c>
      <c r="B47" s="382" t="s">
        <v>375</v>
      </c>
      <c r="C47" s="384">
        <v>409.8</v>
      </c>
      <c r="D47" s="383">
        <v>251</v>
      </c>
      <c r="E47" s="402">
        <f t="shared" si="0"/>
        <v>1.1956708141994244E-2</v>
      </c>
      <c r="F47" s="402">
        <f t="shared" si="1"/>
        <v>115.47567524437414</v>
      </c>
      <c r="G47" s="402">
        <f t="shared" si="2"/>
        <v>25.404648553762314</v>
      </c>
      <c r="H47" s="402">
        <f>F47*'92'!$C$20/100</f>
        <v>22.966594553474362</v>
      </c>
      <c r="I47" s="402">
        <f>E47*'мат тепло'!$F$39</f>
        <v>21.330119670293371</v>
      </c>
      <c r="J47" s="402">
        <f t="shared" si="3"/>
        <v>0.45187173748634502</v>
      </c>
    </row>
    <row r="48" spans="1:10" s="380" customFormat="1" ht="10.5" x14ac:dyDescent="0.2">
      <c r="A48" s="381">
        <v>46</v>
      </c>
      <c r="B48" s="382" t="s">
        <v>376</v>
      </c>
      <c r="C48" s="384">
        <v>374.7</v>
      </c>
      <c r="D48" s="383">
        <v>164</v>
      </c>
      <c r="E48" s="402">
        <f t="shared" si="0"/>
        <v>7.812351136601817E-3</v>
      </c>
      <c r="F48" s="402">
        <f t="shared" si="1"/>
        <v>75.450241992340082</v>
      </c>
      <c r="G48" s="402">
        <f t="shared" si="2"/>
        <v>16.59905323831482</v>
      </c>
      <c r="H48" s="402">
        <f>F48*'92'!$C$20/100</f>
        <v>15.006061779959346</v>
      </c>
      <c r="I48" s="402">
        <f>E48*'мат тепло'!$F$39</f>
        <v>13.936811258677741</v>
      </c>
      <c r="J48" s="402">
        <f t="shared" si="3"/>
        <v>0.32290410533571384</v>
      </c>
    </row>
    <row r="49" spans="1:10" s="380" customFormat="1" ht="10.5" x14ac:dyDescent="0.2">
      <c r="A49" s="381">
        <v>47</v>
      </c>
      <c r="B49" s="382" t="s">
        <v>377</v>
      </c>
      <c r="C49" s="384">
        <v>618.4</v>
      </c>
      <c r="D49" s="383">
        <v>248</v>
      </c>
      <c r="E49" s="402">
        <f t="shared" si="0"/>
        <v>1.1813799279739334E-2</v>
      </c>
      <c r="F49" s="402">
        <f t="shared" si="1"/>
        <v>114.09548789085574</v>
      </c>
      <c r="G49" s="402">
        <f t="shared" si="2"/>
        <v>25.10100733598826</v>
      </c>
      <c r="H49" s="402">
        <f>F49*'92'!$C$20/100</f>
        <v>22.692093423353157</v>
      </c>
      <c r="I49" s="402">
        <f>E49*'мат тепло'!$F$39</f>
        <v>21.075178000927316</v>
      </c>
      <c r="J49" s="402">
        <f t="shared" si="3"/>
        <v>0.2958663755677951</v>
      </c>
    </row>
    <row r="50" spans="1:10" s="380" customFormat="1" ht="10.5" x14ac:dyDescent="0.2">
      <c r="A50" s="381">
        <v>48</v>
      </c>
      <c r="B50" s="382" t="s">
        <v>378</v>
      </c>
      <c r="C50" s="384">
        <v>1126.3</v>
      </c>
      <c r="D50" s="383">
        <v>596</v>
      </c>
      <c r="E50" s="402">
        <f t="shared" si="0"/>
        <v>2.8391227301309042E-2</v>
      </c>
      <c r="F50" s="402">
        <f t="shared" si="1"/>
        <v>274.19722089899199</v>
      </c>
      <c r="G50" s="402">
        <f t="shared" si="2"/>
        <v>60.323388597778241</v>
      </c>
      <c r="H50" s="402">
        <f>F50*'92'!$C$20/100</f>
        <v>54.534224517413222</v>
      </c>
      <c r="I50" s="402">
        <f>E50*'мат тепло'!$F$39</f>
        <v>50.648411647389842</v>
      </c>
      <c r="J50" s="402">
        <f t="shared" si="3"/>
        <v>0.3903962049734292</v>
      </c>
    </row>
    <row r="51" spans="1:10" s="380" customFormat="1" ht="10.5" x14ac:dyDescent="0.2">
      <c r="A51" s="381">
        <v>49</v>
      </c>
      <c r="B51" s="382" t="s">
        <v>379</v>
      </c>
      <c r="C51" s="384">
        <v>617</v>
      </c>
      <c r="D51" s="383">
        <v>250</v>
      </c>
      <c r="E51" s="402">
        <f t="shared" si="0"/>
        <v>1.1909071854575942E-2</v>
      </c>
      <c r="F51" s="402">
        <f t="shared" si="1"/>
        <v>115.01561279320136</v>
      </c>
      <c r="G51" s="402">
        <f t="shared" si="2"/>
        <v>25.3034348145043</v>
      </c>
      <c r="H51" s="402">
        <f>F51*'92'!$C$20/100</f>
        <v>22.875094176767298</v>
      </c>
      <c r="I51" s="402">
        <f>E51*'мат тепло'!$F$39</f>
        <v>21.245139113838022</v>
      </c>
      <c r="J51" s="402">
        <f t="shared" si="3"/>
        <v>0.29892914246079577</v>
      </c>
    </row>
    <row r="52" spans="1:10" s="380" customFormat="1" ht="10.5" x14ac:dyDescent="0.2">
      <c r="A52" s="381">
        <v>50</v>
      </c>
      <c r="B52" s="382" t="s">
        <v>380</v>
      </c>
      <c r="C52" s="384">
        <v>452</v>
      </c>
      <c r="D52" s="383">
        <v>250</v>
      </c>
      <c r="E52" s="402">
        <f t="shared" si="0"/>
        <v>1.1909071854575942E-2</v>
      </c>
      <c r="F52" s="402">
        <f t="shared" si="1"/>
        <v>115.01561279320136</v>
      </c>
      <c r="G52" s="402">
        <f t="shared" si="2"/>
        <v>25.3034348145043</v>
      </c>
      <c r="H52" s="402">
        <f>F52*'92'!$C$20/100</f>
        <v>22.875094176767298</v>
      </c>
      <c r="I52" s="402">
        <f>E52*'мат тепло'!$F$39</f>
        <v>21.245139113838022</v>
      </c>
      <c r="J52" s="402">
        <f t="shared" si="3"/>
        <v>0.40805150641219246</v>
      </c>
    </row>
    <row r="53" spans="1:10" s="380" customFormat="1" ht="10.5" x14ac:dyDescent="0.2">
      <c r="A53" s="381">
        <v>51</v>
      </c>
      <c r="B53" s="382" t="s">
        <v>381</v>
      </c>
      <c r="C53" s="384">
        <v>1245.5999999999999</v>
      </c>
      <c r="D53" s="383">
        <v>452</v>
      </c>
      <c r="E53" s="402">
        <f t="shared" si="0"/>
        <v>2.1531601913073302E-2</v>
      </c>
      <c r="F53" s="402">
        <f t="shared" si="1"/>
        <v>207.94822793010803</v>
      </c>
      <c r="G53" s="402">
        <f t="shared" si="2"/>
        <v>45.748610144623761</v>
      </c>
      <c r="H53" s="402">
        <f>F53*'92'!$C$20/100</f>
        <v>41.35817027159527</v>
      </c>
      <c r="I53" s="402">
        <f>E53*'мат тепло'!$F$39</f>
        <v>38.41121151781914</v>
      </c>
      <c r="J53" s="402">
        <f t="shared" si="3"/>
        <v>0.26771533386652718</v>
      </c>
    </row>
    <row r="54" spans="1:10" s="380" customFormat="1" ht="10.5" x14ac:dyDescent="0.2">
      <c r="A54" s="381">
        <v>52</v>
      </c>
      <c r="B54" s="382" t="s">
        <v>382</v>
      </c>
      <c r="C54" s="384">
        <v>1275.5999999999999</v>
      </c>
      <c r="D54" s="383">
        <v>455</v>
      </c>
      <c r="E54" s="402">
        <f t="shared" si="0"/>
        <v>2.1674510775328212E-2</v>
      </c>
      <c r="F54" s="402">
        <f t="shared" si="1"/>
        <v>209.32841528362644</v>
      </c>
      <c r="G54" s="402">
        <f t="shared" si="2"/>
        <v>46.052251362397818</v>
      </c>
      <c r="H54" s="402">
        <f>F54*'92'!$C$20/100</f>
        <v>41.632671401716472</v>
      </c>
      <c r="I54" s="402">
        <f>E54*'мат тепло'!$F$39</f>
        <v>38.666153187185195</v>
      </c>
      <c r="J54" s="402">
        <f t="shared" si="3"/>
        <v>0.26315419507284882</v>
      </c>
    </row>
    <row r="55" spans="1:10" s="380" customFormat="1" ht="10.5" x14ac:dyDescent="0.2">
      <c r="A55" s="381">
        <v>53</v>
      </c>
      <c r="B55" s="382" t="s">
        <v>383</v>
      </c>
      <c r="C55" s="384">
        <v>942.4</v>
      </c>
      <c r="D55" s="383">
        <v>180</v>
      </c>
      <c r="E55" s="402">
        <f t="shared" si="0"/>
        <v>8.5745317352946774E-3</v>
      </c>
      <c r="F55" s="402">
        <f t="shared" si="1"/>
        <v>82.811241211104971</v>
      </c>
      <c r="G55" s="402">
        <f t="shared" si="2"/>
        <v>18.218473066443092</v>
      </c>
      <c r="H55" s="402">
        <f>F55*'92'!$C$20/100</f>
        <v>16.470067807272454</v>
      </c>
      <c r="I55" s="402">
        <f>E55*'мат тепло'!$F$39</f>
        <v>15.296500161963374</v>
      </c>
      <c r="J55" s="402">
        <f t="shared" si="3"/>
        <v>0.14091286316509327</v>
      </c>
    </row>
    <row r="56" spans="1:10" s="380" customFormat="1" ht="10.5" x14ac:dyDescent="0.2">
      <c r="A56" s="381">
        <v>54</v>
      </c>
      <c r="B56" s="382" t="s">
        <v>384</v>
      </c>
      <c r="C56" s="384">
        <v>567.95000000000005</v>
      </c>
      <c r="D56" s="383">
        <v>310</v>
      </c>
      <c r="E56" s="402">
        <f t="shared" si="0"/>
        <v>1.4767249099674166E-2</v>
      </c>
      <c r="F56" s="402">
        <f t="shared" si="1"/>
        <v>142.61935986356966</v>
      </c>
      <c r="G56" s="402">
        <f t="shared" si="2"/>
        <v>31.376259169985325</v>
      </c>
      <c r="H56" s="402">
        <f>F56*'92'!$C$20/100</f>
        <v>28.365116779191442</v>
      </c>
      <c r="I56" s="402">
        <f>E56*'мат тепло'!$F$39</f>
        <v>26.343972501159143</v>
      </c>
      <c r="J56" s="402">
        <f t="shared" si="3"/>
        <v>0.40268458194190609</v>
      </c>
    </row>
    <row r="57" spans="1:10" s="380" customFormat="1" ht="10.5" x14ac:dyDescent="0.2">
      <c r="A57" s="381">
        <v>55</v>
      </c>
      <c r="B57" s="382" t="s">
        <v>385</v>
      </c>
      <c r="C57" s="384">
        <v>1119.5999999999999</v>
      </c>
      <c r="D57" s="383">
        <v>680</v>
      </c>
      <c r="E57" s="402">
        <f t="shared" si="0"/>
        <v>3.2392675444446559E-2</v>
      </c>
      <c r="F57" s="402">
        <f t="shared" si="1"/>
        <v>312.84246679750765</v>
      </c>
      <c r="G57" s="402">
        <f t="shared" si="2"/>
        <v>68.825342695451681</v>
      </c>
      <c r="H57" s="402">
        <f>F57*'92'!$C$20/100</f>
        <v>62.22025616080704</v>
      </c>
      <c r="I57" s="402">
        <f>E57*'мат тепло'!$F$39</f>
        <v>57.786778389639416</v>
      </c>
      <c r="J57" s="402">
        <f t="shared" si="3"/>
        <v>0.44808399789514636</v>
      </c>
    </row>
    <row r="58" spans="1:10" s="380" customFormat="1" ht="10.5" x14ac:dyDescent="0.2">
      <c r="A58" s="381">
        <v>56</v>
      </c>
      <c r="B58" s="382" t="s">
        <v>386</v>
      </c>
      <c r="C58" s="384">
        <v>946.6</v>
      </c>
      <c r="D58" s="383">
        <v>680</v>
      </c>
      <c r="E58" s="402">
        <f t="shared" si="0"/>
        <v>3.2392675444446559E-2</v>
      </c>
      <c r="F58" s="402">
        <f t="shared" si="1"/>
        <v>312.84246679750765</v>
      </c>
      <c r="G58" s="402">
        <f t="shared" si="2"/>
        <v>68.825342695451681</v>
      </c>
      <c r="H58" s="402">
        <f>F58*'92'!$C$20/100</f>
        <v>62.22025616080704</v>
      </c>
      <c r="I58" s="402">
        <f>E58*'мат тепло'!$F$39</f>
        <v>57.786778389639416</v>
      </c>
      <c r="J58" s="402">
        <f t="shared" si="3"/>
        <v>0.5299755377597779</v>
      </c>
    </row>
    <row r="59" spans="1:10" s="380" customFormat="1" ht="10.5" x14ac:dyDescent="0.2">
      <c r="A59" s="381">
        <v>57</v>
      </c>
      <c r="B59" s="382" t="s">
        <v>387</v>
      </c>
      <c r="C59" s="384">
        <v>1375.7</v>
      </c>
      <c r="D59" s="383">
        <v>500</v>
      </c>
      <c r="E59" s="402">
        <f t="shared" si="0"/>
        <v>2.3818143709151883E-2</v>
      </c>
      <c r="F59" s="402">
        <f t="shared" si="1"/>
        <v>230.03122558640271</v>
      </c>
      <c r="G59" s="402">
        <f t="shared" si="2"/>
        <v>50.6068696290086</v>
      </c>
      <c r="H59" s="402">
        <f>F59*'92'!$C$20/100</f>
        <v>45.750188353534597</v>
      </c>
      <c r="I59" s="402">
        <f>E59*'мат тепло'!$F$39</f>
        <v>42.490278227676043</v>
      </c>
      <c r="J59" s="402">
        <f t="shared" si="3"/>
        <v>0.26813881063939954</v>
      </c>
    </row>
    <row r="60" spans="1:10" s="380" customFormat="1" ht="10.5" x14ac:dyDescent="0.2">
      <c r="A60" s="381">
        <v>58</v>
      </c>
      <c r="B60" s="382" t="s">
        <v>388</v>
      </c>
      <c r="C60" s="384">
        <v>1540.17</v>
      </c>
      <c r="D60" s="383">
        <v>1020</v>
      </c>
      <c r="E60" s="402">
        <f t="shared" si="0"/>
        <v>4.8589013166669838E-2</v>
      </c>
      <c r="F60" s="402">
        <f t="shared" si="1"/>
        <v>469.26370019626148</v>
      </c>
      <c r="G60" s="402">
        <f t="shared" si="2"/>
        <v>103.23801404317751</v>
      </c>
      <c r="H60" s="402">
        <f>F60*'92'!$C$20/100</f>
        <v>93.330384241210552</v>
      </c>
      <c r="I60" s="402">
        <f>E60*'мат тепло'!$F$39</f>
        <v>86.680167584459127</v>
      </c>
      <c r="J60" s="402">
        <f t="shared" si="3"/>
        <v>0.48859039331054932</v>
      </c>
    </row>
    <row r="61" spans="1:10" s="380" customFormat="1" ht="10.5" x14ac:dyDescent="0.2">
      <c r="A61" s="381">
        <v>59</v>
      </c>
      <c r="B61" s="382" t="s">
        <v>389</v>
      </c>
      <c r="C61" s="384">
        <v>1571.33</v>
      </c>
      <c r="D61" s="383">
        <v>1020</v>
      </c>
      <c r="E61" s="402">
        <f t="shared" si="0"/>
        <v>4.8589013166669838E-2</v>
      </c>
      <c r="F61" s="402">
        <f t="shared" si="1"/>
        <v>469.26370019626148</v>
      </c>
      <c r="G61" s="402">
        <f t="shared" si="2"/>
        <v>103.23801404317751</v>
      </c>
      <c r="H61" s="402">
        <f>F61*'92'!$C$20/100</f>
        <v>93.330384241210552</v>
      </c>
      <c r="I61" s="402">
        <f>E61*'мат тепло'!$F$39</f>
        <v>86.680167584459127</v>
      </c>
      <c r="J61" s="402">
        <f t="shared" si="3"/>
        <v>0.47890148222531792</v>
      </c>
    </row>
    <row r="62" spans="1:10" s="380" customFormat="1" ht="10.5" x14ac:dyDescent="0.2">
      <c r="A62" s="381">
        <v>60</v>
      </c>
      <c r="B62" s="382" t="s">
        <v>390</v>
      </c>
      <c r="C62" s="384">
        <v>1686.29</v>
      </c>
      <c r="D62" s="383">
        <v>398</v>
      </c>
      <c r="E62" s="402">
        <f t="shared" si="0"/>
        <v>1.8959242392484896E-2</v>
      </c>
      <c r="F62" s="402">
        <f t="shared" si="1"/>
        <v>183.10485556677654</v>
      </c>
      <c r="G62" s="402">
        <f t="shared" si="2"/>
        <v>40.283068224690837</v>
      </c>
      <c r="H62" s="402">
        <f>F62*'92'!$C$20/100</f>
        <v>36.417149929413533</v>
      </c>
      <c r="I62" s="402">
        <f>E62*'мат тепло'!$F$39</f>
        <v>33.822261469230128</v>
      </c>
      <c r="J62" s="402">
        <f t="shared" si="3"/>
        <v>0.17412623877868635</v>
      </c>
    </row>
    <row r="63" spans="1:10" s="380" customFormat="1" ht="10.5" x14ac:dyDescent="0.2">
      <c r="A63" s="381">
        <v>61</v>
      </c>
      <c r="B63" s="382" t="s">
        <v>391</v>
      </c>
      <c r="C63" s="384">
        <v>454.2</v>
      </c>
      <c r="D63" s="383">
        <v>250</v>
      </c>
      <c r="E63" s="402">
        <f t="shared" si="0"/>
        <v>1.1909071854575942E-2</v>
      </c>
      <c r="F63" s="402">
        <f t="shared" si="1"/>
        <v>115.01561279320136</v>
      </c>
      <c r="G63" s="402">
        <f t="shared" si="2"/>
        <v>25.3034348145043</v>
      </c>
      <c r="H63" s="402">
        <f>F63*'92'!$C$20/100</f>
        <v>22.875094176767298</v>
      </c>
      <c r="I63" s="402">
        <f>E63*'мат тепло'!$F$39</f>
        <v>21.245139113838022</v>
      </c>
      <c r="J63" s="402">
        <f t="shared" si="3"/>
        <v>0.40607503500288639</v>
      </c>
    </row>
    <row r="64" spans="1:10" s="380" customFormat="1" ht="10.5" x14ac:dyDescent="0.2">
      <c r="A64" s="381">
        <v>62</v>
      </c>
      <c r="B64" s="382" t="s">
        <v>392</v>
      </c>
      <c r="C64" s="384">
        <v>752.4</v>
      </c>
      <c r="D64" s="383">
        <v>362</v>
      </c>
      <c r="E64" s="402">
        <f t="shared" si="0"/>
        <v>1.7244336045425964E-2</v>
      </c>
      <c r="F64" s="402">
        <f t="shared" si="1"/>
        <v>166.54260732455558</v>
      </c>
      <c r="G64" s="402">
        <f t="shared" si="2"/>
        <v>36.639373611402227</v>
      </c>
      <c r="H64" s="402">
        <f>F64*'92'!$C$20/100</f>
        <v>33.123136367959049</v>
      </c>
      <c r="I64" s="402">
        <f>E64*'мат тепло'!$F$39</f>
        <v>30.762961436837458</v>
      </c>
      <c r="J64" s="402">
        <f t="shared" si="3"/>
        <v>0.3549549159233843</v>
      </c>
    </row>
    <row r="65" spans="1:10" s="380" customFormat="1" ht="10.5" x14ac:dyDescent="0.2">
      <c r="A65" s="381">
        <v>63</v>
      </c>
      <c r="B65" s="382" t="s">
        <v>393</v>
      </c>
      <c r="C65" s="384">
        <v>956.4</v>
      </c>
      <c r="D65" s="383">
        <v>514</v>
      </c>
      <c r="E65" s="402">
        <f t="shared" si="0"/>
        <v>2.4485051733008134E-2</v>
      </c>
      <c r="F65" s="402">
        <f t="shared" si="1"/>
        <v>236.47209990282195</v>
      </c>
      <c r="G65" s="402">
        <f t="shared" si="2"/>
        <v>52.023861978620829</v>
      </c>
      <c r="H65" s="402">
        <f>F65*'92'!$C$20/100</f>
        <v>47.031193627433559</v>
      </c>
      <c r="I65" s="402">
        <f>E65*'мат тепло'!$F$39</f>
        <v>43.680006018050967</v>
      </c>
      <c r="J65" s="402">
        <f t="shared" si="3"/>
        <v>0.39649431359988213</v>
      </c>
    </row>
    <row r="66" spans="1:10" s="380" customFormat="1" ht="10.5" x14ac:dyDescent="0.2">
      <c r="A66" s="381">
        <v>64</v>
      </c>
      <c r="B66" s="382" t="s">
        <v>394</v>
      </c>
      <c r="C66" s="384">
        <v>955.5</v>
      </c>
      <c r="D66" s="383">
        <v>386</v>
      </c>
      <c r="E66" s="402">
        <f t="shared" si="0"/>
        <v>1.8387606943465251E-2</v>
      </c>
      <c r="F66" s="402">
        <f t="shared" si="1"/>
        <v>177.58410615270287</v>
      </c>
      <c r="G66" s="402">
        <f t="shared" si="2"/>
        <v>39.068503353594636</v>
      </c>
      <c r="H66" s="402">
        <f>F66*'92'!$C$20/100</f>
        <v>35.319145408928705</v>
      </c>
      <c r="I66" s="402">
        <f>E66*'мат тепло'!$F$39</f>
        <v>32.802494791765902</v>
      </c>
      <c r="J66" s="402">
        <f t="shared" si="3"/>
        <v>0.29803689137309486</v>
      </c>
    </row>
    <row r="67" spans="1:10" s="380" customFormat="1" ht="10.5" x14ac:dyDescent="0.2">
      <c r="A67" s="381">
        <v>65</v>
      </c>
      <c r="B67" s="382" t="s">
        <v>395</v>
      </c>
      <c r="C67" s="384">
        <v>1548.5</v>
      </c>
      <c r="D67" s="383">
        <v>1024</v>
      </c>
      <c r="E67" s="402">
        <f t="shared" ref="E67:E130" si="4">D67/$E$163</f>
        <v>4.8779558316343057E-2</v>
      </c>
      <c r="F67" s="402">
        <f t="shared" ref="F67:F130" si="5">E67*$F$163</f>
        <v>471.10395000095275</v>
      </c>
      <c r="G67" s="402">
        <f t="shared" si="2"/>
        <v>103.64286900020961</v>
      </c>
      <c r="H67" s="402">
        <f>F67*'92'!$C$20/100</f>
        <v>93.69638574803885</v>
      </c>
      <c r="I67" s="402">
        <f>E67*'мат тепло'!$F$39</f>
        <v>87.020089810280538</v>
      </c>
      <c r="J67" s="402">
        <f t="shared" si="3"/>
        <v>0.48786780404228725</v>
      </c>
    </row>
    <row r="68" spans="1:10" s="380" customFormat="1" ht="10.5" x14ac:dyDescent="0.2">
      <c r="A68" s="381">
        <v>66</v>
      </c>
      <c r="B68" s="382" t="s">
        <v>396</v>
      </c>
      <c r="C68" s="384">
        <v>1567.3</v>
      </c>
      <c r="D68" s="383">
        <v>1024</v>
      </c>
      <c r="E68" s="402">
        <f t="shared" si="4"/>
        <v>4.8779558316343057E-2</v>
      </c>
      <c r="F68" s="402">
        <f t="shared" si="5"/>
        <v>471.10395000095275</v>
      </c>
      <c r="G68" s="402">
        <f t="shared" ref="G68:G131" si="6">F68*22/100</f>
        <v>103.64286900020961</v>
      </c>
      <c r="H68" s="402">
        <f>F68*'92'!$C$20/100</f>
        <v>93.69638574803885</v>
      </c>
      <c r="I68" s="402">
        <f>E68*'мат тепло'!$F$39</f>
        <v>87.020089810280538</v>
      </c>
      <c r="J68" s="402">
        <f t="shared" ref="J68:J131" si="7">((F68+G68+H68+I68)/C68)</f>
        <v>0.48201575611528225</v>
      </c>
    </row>
    <row r="69" spans="1:10" s="380" customFormat="1" ht="10.5" x14ac:dyDescent="0.2">
      <c r="A69" s="381">
        <v>67</v>
      </c>
      <c r="B69" s="382" t="s">
        <v>397</v>
      </c>
      <c r="C69" s="384">
        <v>1558.46</v>
      </c>
      <c r="D69" s="383">
        <v>1028</v>
      </c>
      <c r="E69" s="402">
        <f t="shared" si="4"/>
        <v>4.8970103466016268E-2</v>
      </c>
      <c r="F69" s="402">
        <f t="shared" si="5"/>
        <v>472.9441998056439</v>
      </c>
      <c r="G69" s="402">
        <f t="shared" si="6"/>
        <v>104.04772395724166</v>
      </c>
      <c r="H69" s="402">
        <f>F69*'92'!$C$20/100</f>
        <v>94.062387254867119</v>
      </c>
      <c r="I69" s="402">
        <f>E69*'мат тепло'!$F$39</f>
        <v>87.360012036101935</v>
      </c>
      <c r="J69" s="402">
        <f t="shared" si="7"/>
        <v>0.48664343201227783</v>
      </c>
    </row>
    <row r="70" spans="1:10" s="380" customFormat="1" ht="10.5" x14ac:dyDescent="0.2">
      <c r="A70" s="381">
        <v>68</v>
      </c>
      <c r="B70" s="382" t="s">
        <v>398</v>
      </c>
      <c r="C70" s="384">
        <v>1575.7</v>
      </c>
      <c r="D70" s="383">
        <v>1023</v>
      </c>
      <c r="E70" s="402">
        <f t="shared" si="4"/>
        <v>4.8731922028924748E-2</v>
      </c>
      <c r="F70" s="402">
        <f t="shared" si="5"/>
        <v>470.64388754977989</v>
      </c>
      <c r="G70" s="402">
        <f t="shared" si="6"/>
        <v>103.54165526095157</v>
      </c>
      <c r="H70" s="402">
        <f>F70*'92'!$C$20/100</f>
        <v>93.604885371331761</v>
      </c>
      <c r="I70" s="402">
        <f>E70*'мат тепло'!$F$39</f>
        <v>86.935109253825175</v>
      </c>
      <c r="J70" s="402">
        <f t="shared" si="7"/>
        <v>0.47897793833590685</v>
      </c>
    </row>
    <row r="71" spans="1:10" s="380" customFormat="1" ht="10.5" x14ac:dyDescent="0.2">
      <c r="A71" s="381">
        <v>69</v>
      </c>
      <c r="B71" s="382" t="s">
        <v>399</v>
      </c>
      <c r="C71" s="384">
        <v>1546.3</v>
      </c>
      <c r="D71" s="383">
        <v>1024</v>
      </c>
      <c r="E71" s="402">
        <f t="shared" si="4"/>
        <v>4.8779558316343057E-2</v>
      </c>
      <c r="F71" s="402">
        <f t="shared" si="5"/>
        <v>471.10395000095275</v>
      </c>
      <c r="G71" s="402">
        <f t="shared" si="6"/>
        <v>103.64286900020961</v>
      </c>
      <c r="H71" s="402">
        <f>F71*'92'!$C$20/100</f>
        <v>93.69638574803885</v>
      </c>
      <c r="I71" s="402">
        <f>E71*'мат тепло'!$F$39</f>
        <v>87.020089810280538</v>
      </c>
      <c r="J71" s="402">
        <f t="shared" si="7"/>
        <v>0.48856191848896197</v>
      </c>
    </row>
    <row r="72" spans="1:10" s="380" customFormat="1" ht="10.5" x14ac:dyDescent="0.2">
      <c r="A72" s="381">
        <v>70</v>
      </c>
      <c r="B72" s="382" t="s">
        <v>400</v>
      </c>
      <c r="C72" s="384">
        <v>563.1</v>
      </c>
      <c r="D72" s="383">
        <v>180</v>
      </c>
      <c r="E72" s="402">
        <f t="shared" si="4"/>
        <v>8.5745317352946774E-3</v>
      </c>
      <c r="F72" s="402">
        <f t="shared" si="5"/>
        <v>82.811241211104971</v>
      </c>
      <c r="G72" s="402">
        <f t="shared" si="6"/>
        <v>18.218473066443092</v>
      </c>
      <c r="H72" s="402">
        <f>F72*'92'!$C$20/100</f>
        <v>16.470067807272454</v>
      </c>
      <c r="I72" s="402">
        <f>E72*'мат тепло'!$F$39</f>
        <v>15.296500161963374</v>
      </c>
      <c r="J72" s="402">
        <f t="shared" si="7"/>
        <v>0.23583072677461178</v>
      </c>
    </row>
    <row r="73" spans="1:10" s="380" customFormat="1" ht="10.5" x14ac:dyDescent="0.2">
      <c r="A73" s="381">
        <v>71</v>
      </c>
      <c r="B73" s="382" t="s">
        <v>401</v>
      </c>
      <c r="C73" s="384">
        <v>549.6</v>
      </c>
      <c r="D73" s="383">
        <v>320</v>
      </c>
      <c r="E73" s="402">
        <f t="shared" si="4"/>
        <v>1.5243611973857204E-2</v>
      </c>
      <c r="F73" s="402">
        <f t="shared" si="5"/>
        <v>147.21998437529771</v>
      </c>
      <c r="G73" s="402">
        <f t="shared" si="6"/>
        <v>32.388396562565497</v>
      </c>
      <c r="H73" s="402">
        <f>F73*'92'!$C$20/100</f>
        <v>29.280120546262136</v>
      </c>
      <c r="I73" s="402">
        <f>E73*'мат тепло'!$F$39</f>
        <v>27.193778065712667</v>
      </c>
      <c r="J73" s="402">
        <f t="shared" si="7"/>
        <v>0.42955291038907939</v>
      </c>
    </row>
    <row r="74" spans="1:10" s="380" customFormat="1" ht="10.5" x14ac:dyDescent="0.2">
      <c r="A74" s="381">
        <v>72</v>
      </c>
      <c r="B74" s="382" t="s">
        <v>402</v>
      </c>
      <c r="C74" s="384">
        <v>983</v>
      </c>
      <c r="D74" s="383">
        <v>322</v>
      </c>
      <c r="E74" s="402">
        <f t="shared" si="4"/>
        <v>1.5338884548693811E-2</v>
      </c>
      <c r="F74" s="402">
        <f t="shared" si="5"/>
        <v>148.14010927764332</v>
      </c>
      <c r="G74" s="402">
        <f t="shared" si="6"/>
        <v>32.590824041081532</v>
      </c>
      <c r="H74" s="402">
        <f>F74*'92'!$C$20/100</f>
        <v>29.463121299676274</v>
      </c>
      <c r="I74" s="402">
        <f>E74*'мат тепло'!$F$39</f>
        <v>27.363739178623369</v>
      </c>
      <c r="J74" s="402">
        <f t="shared" si="7"/>
        <v>0.24166611779961802</v>
      </c>
    </row>
    <row r="75" spans="1:10" s="380" customFormat="1" ht="10.5" x14ac:dyDescent="0.2">
      <c r="A75" s="381">
        <v>73</v>
      </c>
      <c r="B75" s="382" t="s">
        <v>403</v>
      </c>
      <c r="C75" s="384">
        <v>1093.5999999999999</v>
      </c>
      <c r="D75" s="383">
        <v>501</v>
      </c>
      <c r="E75" s="402">
        <f t="shared" si="4"/>
        <v>2.3865779996570184E-2</v>
      </c>
      <c r="F75" s="402">
        <f t="shared" si="5"/>
        <v>230.49128803757549</v>
      </c>
      <c r="G75" s="402">
        <f t="shared" si="6"/>
        <v>50.708083368266607</v>
      </c>
      <c r="H75" s="402">
        <f>F75*'92'!$C$20/100</f>
        <v>45.841688730241657</v>
      </c>
      <c r="I75" s="402">
        <f>E75*'мат тепло'!$F$39</f>
        <v>42.575258784131393</v>
      </c>
      <c r="J75" s="402">
        <f t="shared" si="7"/>
        <v>0.33798127187291072</v>
      </c>
    </row>
    <row r="76" spans="1:10" s="380" customFormat="1" ht="10.5" x14ac:dyDescent="0.2">
      <c r="A76" s="381">
        <v>74</v>
      </c>
      <c r="B76" s="382" t="s">
        <v>404</v>
      </c>
      <c r="C76" s="384">
        <v>773.53</v>
      </c>
      <c r="D76" s="383">
        <v>350</v>
      </c>
      <c r="E76" s="402">
        <f t="shared" si="4"/>
        <v>1.6672700596406319E-2</v>
      </c>
      <c r="F76" s="402">
        <f t="shared" si="5"/>
        <v>161.02185791048191</v>
      </c>
      <c r="G76" s="402">
        <f t="shared" si="6"/>
        <v>35.42480874030602</v>
      </c>
      <c r="H76" s="402">
        <f>F76*'92'!$C$20/100</f>
        <v>32.025131847474221</v>
      </c>
      <c r="I76" s="402">
        <f>E76*'мат тепло'!$F$39</f>
        <v>29.743194759373232</v>
      </c>
      <c r="J76" s="402">
        <f t="shared" si="7"/>
        <v>0.33381380587389681</v>
      </c>
    </row>
    <row r="77" spans="1:10" s="380" customFormat="1" ht="10.5" x14ac:dyDescent="0.2">
      <c r="A77" s="381">
        <v>75</v>
      </c>
      <c r="B77" s="382" t="s">
        <v>405</v>
      </c>
      <c r="C77" s="384">
        <v>1603.4</v>
      </c>
      <c r="D77" s="383">
        <v>828</v>
      </c>
      <c r="E77" s="402">
        <f t="shared" si="4"/>
        <v>3.9442845982355514E-2</v>
      </c>
      <c r="F77" s="402">
        <f t="shared" si="5"/>
        <v>380.93170957108282</v>
      </c>
      <c r="G77" s="402">
        <f t="shared" si="6"/>
        <v>83.804976105638218</v>
      </c>
      <c r="H77" s="402">
        <f>F77*'92'!$C$20/100</f>
        <v>75.762311913453274</v>
      </c>
      <c r="I77" s="402">
        <f>E77*'мат тепло'!$F$39</f>
        <v>70.363900745031515</v>
      </c>
      <c r="J77" s="402">
        <f t="shared" si="7"/>
        <v>0.38097972953424336</v>
      </c>
    </row>
    <row r="78" spans="1:10" s="380" customFormat="1" ht="10.5" x14ac:dyDescent="0.2">
      <c r="A78" s="381">
        <v>76</v>
      </c>
      <c r="B78" s="382" t="s">
        <v>406</v>
      </c>
      <c r="C78" s="384">
        <v>561.1</v>
      </c>
      <c r="D78" s="383">
        <v>210</v>
      </c>
      <c r="E78" s="402">
        <f t="shared" si="4"/>
        <v>1.0003620357843791E-2</v>
      </c>
      <c r="F78" s="402">
        <f t="shared" si="5"/>
        <v>96.613114746289128</v>
      </c>
      <c r="G78" s="402">
        <f t="shared" si="6"/>
        <v>21.254885244183605</v>
      </c>
      <c r="H78" s="402">
        <f>F78*'92'!$C$20/100</f>
        <v>19.215079108484527</v>
      </c>
      <c r="I78" s="402">
        <f>E78*'мат тепло'!$F$39</f>
        <v>17.845916855623937</v>
      </c>
      <c r="J78" s="402">
        <f t="shared" si="7"/>
        <v>0.27611654955370019</v>
      </c>
    </row>
    <row r="79" spans="1:10" s="380" customFormat="1" ht="10.5" x14ac:dyDescent="0.2">
      <c r="A79" s="381">
        <v>77</v>
      </c>
      <c r="B79" s="382" t="s">
        <v>407</v>
      </c>
      <c r="C79" s="384">
        <v>780.4</v>
      </c>
      <c r="D79" s="383">
        <v>430</v>
      </c>
      <c r="E79" s="402">
        <f t="shared" si="4"/>
        <v>2.0483603589870617E-2</v>
      </c>
      <c r="F79" s="402">
        <f t="shared" si="5"/>
        <v>197.82685400430631</v>
      </c>
      <c r="G79" s="402">
        <f t="shared" si="6"/>
        <v>43.521907880947396</v>
      </c>
      <c r="H79" s="402">
        <f>F79*'92'!$C$20/100</f>
        <v>39.345161984039748</v>
      </c>
      <c r="I79" s="402">
        <f>E79*'мат тепло'!$F$39</f>
        <v>36.541639275801394</v>
      </c>
      <c r="J79" s="402">
        <f t="shared" si="7"/>
        <v>0.40650379695681049</v>
      </c>
    </row>
    <row r="80" spans="1:10" s="380" customFormat="1" ht="10.5" x14ac:dyDescent="0.2">
      <c r="A80" s="381">
        <v>78</v>
      </c>
      <c r="B80" s="382" t="s">
        <v>408</v>
      </c>
      <c r="C80" s="384">
        <v>1890.1</v>
      </c>
      <c r="D80" s="400">
        <f>[5]Лист1!$D$35+[5]Лист1!$D$36</f>
        <v>761</v>
      </c>
      <c r="E80" s="402">
        <f t="shared" si="4"/>
        <v>3.6251214725329162E-2</v>
      </c>
      <c r="F80" s="402">
        <f t="shared" si="5"/>
        <v>350.10752534250486</v>
      </c>
      <c r="G80" s="402">
        <f t="shared" si="6"/>
        <v>77.023655575351071</v>
      </c>
      <c r="H80" s="402">
        <f>F80*'92'!$C$20/100</f>
        <v>69.631786674079635</v>
      </c>
      <c r="I80" s="402">
        <f>E80*'мат тепло'!$F$39</f>
        <v>64.670203462522935</v>
      </c>
      <c r="J80" s="402">
        <f t="shared" si="7"/>
        <v>0.29703887151709357</v>
      </c>
    </row>
    <row r="81" spans="1:10" s="380" customFormat="1" ht="10.5" x14ac:dyDescent="0.2">
      <c r="A81" s="381">
        <v>79</v>
      </c>
      <c r="B81" s="382" t="s">
        <v>409</v>
      </c>
      <c r="C81" s="384">
        <v>1734.5</v>
      </c>
      <c r="D81" s="383">
        <v>589</v>
      </c>
      <c r="E81" s="402">
        <f t="shared" si="4"/>
        <v>2.8057773289380916E-2</v>
      </c>
      <c r="F81" s="402">
        <f t="shared" si="5"/>
        <v>270.97678374078237</v>
      </c>
      <c r="G81" s="402">
        <f t="shared" si="6"/>
        <v>59.614892422972119</v>
      </c>
      <c r="H81" s="402">
        <f>F81*'92'!$C$20/100</f>
        <v>53.893721880463744</v>
      </c>
      <c r="I81" s="402">
        <f>E81*'мат тепло'!$F$39</f>
        <v>50.053547752202377</v>
      </c>
      <c r="J81" s="402">
        <f t="shared" si="7"/>
        <v>0.25052692176213348</v>
      </c>
    </row>
    <row r="82" spans="1:10" s="380" customFormat="1" ht="10.5" x14ac:dyDescent="0.2">
      <c r="A82" s="381">
        <v>80</v>
      </c>
      <c r="B82" s="382" t="s">
        <v>410</v>
      </c>
      <c r="C82" s="384">
        <v>1565.58</v>
      </c>
      <c r="D82" s="383">
        <v>675</v>
      </c>
      <c r="E82" s="402">
        <f t="shared" si="4"/>
        <v>3.2154494007355039E-2</v>
      </c>
      <c r="F82" s="402">
        <f t="shared" si="5"/>
        <v>310.54215454164364</v>
      </c>
      <c r="G82" s="402">
        <f t="shared" si="6"/>
        <v>68.319273999161595</v>
      </c>
      <c r="H82" s="402">
        <f>F82*'92'!$C$20/100</f>
        <v>61.762754277271696</v>
      </c>
      <c r="I82" s="402">
        <f>E82*'мат тепло'!$F$39</f>
        <v>57.361875607362656</v>
      </c>
      <c r="J82" s="402">
        <f t="shared" si="7"/>
        <v>0.31808407007335276</v>
      </c>
    </row>
    <row r="83" spans="1:10" s="380" customFormat="1" ht="10.5" x14ac:dyDescent="0.2">
      <c r="A83" s="381">
        <v>81</v>
      </c>
      <c r="B83" s="382" t="s">
        <v>411</v>
      </c>
      <c r="C83" s="384">
        <v>2043.8</v>
      </c>
      <c r="D83" s="383">
        <v>1358</v>
      </c>
      <c r="E83" s="402">
        <f t="shared" si="4"/>
        <v>6.4690078314056515E-2</v>
      </c>
      <c r="F83" s="402">
        <f t="shared" si="5"/>
        <v>624.7648086926697</v>
      </c>
      <c r="G83" s="402">
        <f t="shared" si="6"/>
        <v>137.44825791238733</v>
      </c>
      <c r="H83" s="402">
        <f>F83*'92'!$C$20/100</f>
        <v>124.25751156819996</v>
      </c>
      <c r="I83" s="402">
        <f>E83*'мат тепло'!$F$39</f>
        <v>115.40359566636813</v>
      </c>
      <c r="J83" s="402">
        <f t="shared" si="7"/>
        <v>0.49020167033938017</v>
      </c>
    </row>
    <row r="84" spans="1:10" s="380" customFormat="1" ht="10.5" x14ac:dyDescent="0.2">
      <c r="A84" s="381">
        <v>82</v>
      </c>
      <c r="B84" s="382" t="s">
        <v>412</v>
      </c>
      <c r="C84" s="384">
        <v>1277.5999999999999</v>
      </c>
      <c r="D84" s="383">
        <v>685</v>
      </c>
      <c r="E84" s="402">
        <f t="shared" si="4"/>
        <v>3.2630856881538078E-2</v>
      </c>
      <c r="F84" s="402">
        <f t="shared" si="5"/>
        <v>315.14277905337167</v>
      </c>
      <c r="G84" s="402">
        <f t="shared" si="6"/>
        <v>69.331411391741767</v>
      </c>
      <c r="H84" s="402">
        <f>F84*'92'!$C$20/100</f>
        <v>62.677758044342383</v>
      </c>
      <c r="I84" s="402">
        <f>E84*'мат тепло'!$F$39</f>
        <v>58.211681171916176</v>
      </c>
      <c r="J84" s="402">
        <f t="shared" si="7"/>
        <v>0.39555700505742958</v>
      </c>
    </row>
    <row r="85" spans="1:10" s="380" customFormat="1" ht="10.5" x14ac:dyDescent="0.2">
      <c r="A85" s="381">
        <v>83</v>
      </c>
      <c r="B85" s="382" t="s">
        <v>413</v>
      </c>
      <c r="C85" s="384">
        <v>1281.1500000000001</v>
      </c>
      <c r="D85" s="383">
        <v>685</v>
      </c>
      <c r="E85" s="402">
        <f t="shared" si="4"/>
        <v>3.2630856881538078E-2</v>
      </c>
      <c r="F85" s="402">
        <f t="shared" si="5"/>
        <v>315.14277905337167</v>
      </c>
      <c r="G85" s="402">
        <f t="shared" si="6"/>
        <v>69.331411391741767</v>
      </c>
      <c r="H85" s="402">
        <f>F85*'92'!$C$20/100</f>
        <v>62.677758044342383</v>
      </c>
      <c r="I85" s="402">
        <f>E85*'мат тепло'!$F$39</f>
        <v>58.211681171916176</v>
      </c>
      <c r="J85" s="402">
        <f t="shared" si="7"/>
        <v>0.39446093717470393</v>
      </c>
    </row>
    <row r="86" spans="1:10" s="380" customFormat="1" ht="10.5" x14ac:dyDescent="0.2">
      <c r="A86" s="381">
        <v>84</v>
      </c>
      <c r="B86" s="382" t="s">
        <v>414</v>
      </c>
      <c r="C86" s="384">
        <v>1492.3</v>
      </c>
      <c r="D86" s="383">
        <v>448</v>
      </c>
      <c r="E86" s="402">
        <f t="shared" si="4"/>
        <v>2.1341056763400087E-2</v>
      </c>
      <c r="F86" s="402">
        <f t="shared" si="5"/>
        <v>206.10797812541682</v>
      </c>
      <c r="G86" s="402">
        <f t="shared" si="6"/>
        <v>45.343755187591704</v>
      </c>
      <c r="H86" s="402">
        <f>F86*'92'!$C$20/100</f>
        <v>40.992168764766994</v>
      </c>
      <c r="I86" s="402">
        <f>E86*'мат тепло'!$F$39</f>
        <v>38.071289291997736</v>
      </c>
      <c r="J86" s="402">
        <f t="shared" si="7"/>
        <v>0.22148039360033056</v>
      </c>
    </row>
    <row r="87" spans="1:10" s="380" customFormat="1" ht="10.5" x14ac:dyDescent="0.2">
      <c r="A87" s="381">
        <v>85</v>
      </c>
      <c r="B87" s="382" t="s">
        <v>415</v>
      </c>
      <c r="C87" s="384">
        <v>4130.75</v>
      </c>
      <c r="D87" s="383">
        <v>2170</v>
      </c>
      <c r="E87" s="402">
        <f t="shared" si="4"/>
        <v>0.10337074369771916</v>
      </c>
      <c r="F87" s="402">
        <f t="shared" si="5"/>
        <v>998.33551904498768</v>
      </c>
      <c r="G87" s="402">
        <f t="shared" si="6"/>
        <v>219.63381418989727</v>
      </c>
      <c r="H87" s="402">
        <f>F87*'92'!$C$20/100</f>
        <v>198.55581745434012</v>
      </c>
      <c r="I87" s="402">
        <f>E87*'мат тепло'!$F$39</f>
        <v>184.40780750811402</v>
      </c>
      <c r="J87" s="402">
        <f t="shared" si="7"/>
        <v>0.38756471783509994</v>
      </c>
    </row>
    <row r="88" spans="1:10" s="380" customFormat="1" ht="10.5" x14ac:dyDescent="0.2">
      <c r="A88" s="381">
        <v>86</v>
      </c>
      <c r="B88" s="382" t="s">
        <v>416</v>
      </c>
      <c r="C88" s="384">
        <v>3262.1</v>
      </c>
      <c r="D88" s="383">
        <v>1818</v>
      </c>
      <c r="E88" s="402">
        <f t="shared" si="4"/>
        <v>8.6602770526476247E-2</v>
      </c>
      <c r="F88" s="402">
        <f t="shared" si="5"/>
        <v>836.39353623216027</v>
      </c>
      <c r="G88" s="402">
        <f t="shared" si="6"/>
        <v>184.00657797107527</v>
      </c>
      <c r="H88" s="402">
        <f>F88*'92'!$C$20/100</f>
        <v>166.3476848534518</v>
      </c>
      <c r="I88" s="402">
        <f>E88*'мат тепло'!$F$39</f>
        <v>154.49465163583011</v>
      </c>
      <c r="J88" s="402">
        <f t="shared" si="7"/>
        <v>0.41115920747141943</v>
      </c>
    </row>
    <row r="89" spans="1:10" s="380" customFormat="1" ht="10.5" x14ac:dyDescent="0.2">
      <c r="A89" s="381">
        <v>87</v>
      </c>
      <c r="B89" s="382" t="s">
        <v>417</v>
      </c>
      <c r="C89" s="384">
        <v>1516.8</v>
      </c>
      <c r="D89" s="383">
        <v>844</v>
      </c>
      <c r="E89" s="402">
        <f t="shared" si="4"/>
        <v>4.0205026581048374E-2</v>
      </c>
      <c r="F89" s="402">
        <f t="shared" si="5"/>
        <v>388.29270878984772</v>
      </c>
      <c r="G89" s="402">
        <f t="shared" si="6"/>
        <v>85.424395933766505</v>
      </c>
      <c r="H89" s="402">
        <f>F89*'92'!$C$20/100</f>
        <v>77.226317940766378</v>
      </c>
      <c r="I89" s="402">
        <f>E89*'мат тепло'!$F$39</f>
        <v>71.723589648317159</v>
      </c>
      <c r="J89" s="402">
        <f t="shared" si="7"/>
        <v>0.41051358934117738</v>
      </c>
    </row>
    <row r="90" spans="1:10" s="380" customFormat="1" ht="10.5" x14ac:dyDescent="0.2">
      <c r="A90" s="381">
        <v>88</v>
      </c>
      <c r="B90" s="382" t="s">
        <v>418</v>
      </c>
      <c r="C90" s="384">
        <v>752.42</v>
      </c>
      <c r="D90" s="383">
        <v>263</v>
      </c>
      <c r="E90" s="402">
        <f t="shared" si="4"/>
        <v>1.252834359101389E-2</v>
      </c>
      <c r="F90" s="402">
        <f t="shared" si="5"/>
        <v>120.99642465844782</v>
      </c>
      <c r="G90" s="402">
        <f t="shared" si="6"/>
        <v>26.619213424858522</v>
      </c>
      <c r="H90" s="402">
        <f>F90*'92'!$C$20/100</f>
        <v>24.064599073959194</v>
      </c>
      <c r="I90" s="402">
        <f>E90*'мат тепло'!$F$39</f>
        <v>22.349886347757597</v>
      </c>
      <c r="J90" s="402">
        <f t="shared" si="7"/>
        <v>0.25787475546240551</v>
      </c>
    </row>
    <row r="91" spans="1:10" s="380" customFormat="1" ht="10.5" x14ac:dyDescent="0.2">
      <c r="A91" s="381">
        <v>89</v>
      </c>
      <c r="B91" s="382" t="s">
        <v>419</v>
      </c>
      <c r="C91" s="384">
        <v>771.7</v>
      </c>
      <c r="D91" s="383">
        <v>263</v>
      </c>
      <c r="E91" s="402">
        <f t="shared" si="4"/>
        <v>1.252834359101389E-2</v>
      </c>
      <c r="F91" s="402">
        <f t="shared" si="5"/>
        <v>120.99642465844782</v>
      </c>
      <c r="G91" s="402">
        <f t="shared" si="6"/>
        <v>26.619213424858522</v>
      </c>
      <c r="H91" s="402">
        <f>F91*'92'!$C$20/100</f>
        <v>24.064599073959194</v>
      </c>
      <c r="I91" s="402">
        <f>E91*'мат тепло'!$F$39</f>
        <v>22.349886347757597</v>
      </c>
      <c r="J91" s="402">
        <f t="shared" si="7"/>
        <v>0.2514320636322705</v>
      </c>
    </row>
    <row r="92" spans="1:10" s="380" customFormat="1" ht="10.5" x14ac:dyDescent="0.2">
      <c r="A92" s="381">
        <v>90</v>
      </c>
      <c r="B92" s="382" t="s">
        <v>420</v>
      </c>
      <c r="C92" s="384">
        <v>1545</v>
      </c>
      <c r="D92" s="383">
        <v>597</v>
      </c>
      <c r="E92" s="402">
        <f t="shared" si="4"/>
        <v>2.8438863588727346E-2</v>
      </c>
      <c r="F92" s="402">
        <f t="shared" si="5"/>
        <v>274.65728335016479</v>
      </c>
      <c r="G92" s="402">
        <f t="shared" si="6"/>
        <v>60.424602337036248</v>
      </c>
      <c r="H92" s="402">
        <f>F92*'92'!$C$20/100</f>
        <v>54.625724894120296</v>
      </c>
      <c r="I92" s="402">
        <f>E92*'мат тепло'!$F$39</f>
        <v>50.733392203845192</v>
      </c>
      <c r="J92" s="402">
        <f t="shared" si="7"/>
        <v>0.28507508270884568</v>
      </c>
    </row>
    <row r="93" spans="1:10" s="380" customFormat="1" ht="10.5" x14ac:dyDescent="0.2">
      <c r="A93" s="381">
        <v>91</v>
      </c>
      <c r="B93" s="382" t="s">
        <v>421</v>
      </c>
      <c r="C93" s="384">
        <v>769.7</v>
      </c>
      <c r="D93" s="383">
        <v>365</v>
      </c>
      <c r="E93" s="402">
        <f t="shared" si="4"/>
        <v>1.7387244907680875E-2</v>
      </c>
      <c r="F93" s="402">
        <f t="shared" si="5"/>
        <v>167.92279467807398</v>
      </c>
      <c r="G93" s="402">
        <f t="shared" si="6"/>
        <v>36.943014829176278</v>
      </c>
      <c r="H93" s="402">
        <f>F93*'92'!$C$20/100</f>
        <v>33.39763749808025</v>
      </c>
      <c r="I93" s="402">
        <f>E93*'мат тепло'!$F$39</f>
        <v>31.017903106203512</v>
      </c>
      <c r="J93" s="402">
        <f t="shared" si="7"/>
        <v>0.34985234521441344</v>
      </c>
    </row>
    <row r="94" spans="1:10" s="380" customFormat="1" ht="10.5" x14ac:dyDescent="0.2">
      <c r="A94" s="381">
        <v>92</v>
      </c>
      <c r="B94" s="382" t="s">
        <v>422</v>
      </c>
      <c r="C94" s="384">
        <v>776.9</v>
      </c>
      <c r="D94" s="383">
        <v>265</v>
      </c>
      <c r="E94" s="402">
        <f t="shared" si="4"/>
        <v>1.2623616165850497E-2</v>
      </c>
      <c r="F94" s="402">
        <f t="shared" si="5"/>
        <v>121.91654956079343</v>
      </c>
      <c r="G94" s="402">
        <f t="shared" si="6"/>
        <v>26.821640903374554</v>
      </c>
      <c r="H94" s="402">
        <f>F94*'92'!$C$20/100</f>
        <v>24.247599827373332</v>
      </c>
      <c r="I94" s="402">
        <f>E94*'мат тепло'!$F$39</f>
        <v>22.519847460668302</v>
      </c>
      <c r="J94" s="402">
        <f t="shared" si="7"/>
        <v>0.25164839458387134</v>
      </c>
    </row>
    <row r="95" spans="1:10" s="380" customFormat="1" ht="10.5" x14ac:dyDescent="0.2">
      <c r="A95" s="381">
        <v>93</v>
      </c>
      <c r="B95" s="382" t="s">
        <v>423</v>
      </c>
      <c r="C95" s="384">
        <v>1935.6</v>
      </c>
      <c r="D95" s="383">
        <v>679</v>
      </c>
      <c r="E95" s="402">
        <f t="shared" si="4"/>
        <v>3.2345039157028257E-2</v>
      </c>
      <c r="F95" s="402">
        <f t="shared" si="5"/>
        <v>312.38240434633485</v>
      </c>
      <c r="G95" s="402">
        <f t="shared" si="6"/>
        <v>68.724128956193667</v>
      </c>
      <c r="H95" s="402">
        <f>F95*'92'!$C$20/100</f>
        <v>62.12875578409998</v>
      </c>
      <c r="I95" s="402">
        <f>E95*'мат тепло'!$F$39</f>
        <v>57.701797833184067</v>
      </c>
      <c r="J95" s="402">
        <f t="shared" si="7"/>
        <v>0.25880196679056244</v>
      </c>
    </row>
    <row r="96" spans="1:10" s="380" customFormat="1" ht="10.5" x14ac:dyDescent="0.2">
      <c r="A96" s="381">
        <v>94</v>
      </c>
      <c r="B96" s="382" t="s">
        <v>424</v>
      </c>
      <c r="C96" s="384">
        <v>1513.72</v>
      </c>
      <c r="D96" s="383">
        <v>400</v>
      </c>
      <c r="E96" s="402">
        <f t="shared" si="4"/>
        <v>1.9054514967321506E-2</v>
      </c>
      <c r="F96" s="402">
        <f t="shared" si="5"/>
        <v>184.02498046912217</v>
      </c>
      <c r="G96" s="402">
        <f t="shared" si="6"/>
        <v>40.48549570320688</v>
      </c>
      <c r="H96" s="402">
        <f>F96*'92'!$C$20/100</f>
        <v>36.600150682827675</v>
      </c>
      <c r="I96" s="402">
        <f>E96*'мат тепло'!$F$39</f>
        <v>33.992222582140833</v>
      </c>
      <c r="J96" s="402">
        <f t="shared" si="7"/>
        <v>0.19495207134562373</v>
      </c>
    </row>
    <row r="97" spans="1:10" s="380" customFormat="1" ht="10.5" x14ac:dyDescent="0.2">
      <c r="A97" s="381">
        <v>95</v>
      </c>
      <c r="B97" s="382" t="s">
        <v>425</v>
      </c>
      <c r="C97" s="384">
        <v>1500.3</v>
      </c>
      <c r="D97" s="383">
        <v>658</v>
      </c>
      <c r="E97" s="402">
        <f t="shared" si="4"/>
        <v>3.1344677121243877E-2</v>
      </c>
      <c r="F97" s="402">
        <f t="shared" si="5"/>
        <v>302.72109287170593</v>
      </c>
      <c r="G97" s="402">
        <f t="shared" si="6"/>
        <v>66.598640431775308</v>
      </c>
      <c r="H97" s="402">
        <f>F97*'92'!$C$20/100</f>
        <v>60.207247873251518</v>
      </c>
      <c r="I97" s="402">
        <f>E97*'мат тепло'!$F$39</f>
        <v>55.91720614762167</v>
      </c>
      <c r="J97" s="402">
        <f t="shared" si="7"/>
        <v>0.32356474526718282</v>
      </c>
    </row>
    <row r="98" spans="1:10" s="380" customFormat="1" ht="10.5" x14ac:dyDescent="0.2">
      <c r="A98" s="381">
        <v>96</v>
      </c>
      <c r="B98" s="382" t="s">
        <v>426</v>
      </c>
      <c r="C98" s="384">
        <v>735.9</v>
      </c>
      <c r="D98" s="383">
        <v>200</v>
      </c>
      <c r="E98" s="402">
        <f t="shared" si="4"/>
        <v>9.5272574836607529E-3</v>
      </c>
      <c r="F98" s="402">
        <f t="shared" si="5"/>
        <v>92.012490234561085</v>
      </c>
      <c r="G98" s="402">
        <f t="shared" si="6"/>
        <v>20.24274785160344</v>
      </c>
      <c r="H98" s="402">
        <f>F98*'92'!$C$20/100</f>
        <v>18.300075341413837</v>
      </c>
      <c r="I98" s="402">
        <f>E98*'мат тепло'!$F$39</f>
        <v>16.996111291070417</v>
      </c>
      <c r="J98" s="402">
        <f t="shared" si="7"/>
        <v>0.20050472172665956</v>
      </c>
    </row>
    <row r="99" spans="1:10" s="380" customFormat="1" ht="10.5" x14ac:dyDescent="0.2">
      <c r="A99" s="381">
        <v>97</v>
      </c>
      <c r="B99" s="382" t="s">
        <v>427</v>
      </c>
      <c r="C99" s="384">
        <v>757.7</v>
      </c>
      <c r="D99" s="383">
        <v>260</v>
      </c>
      <c r="E99" s="402">
        <f t="shared" si="4"/>
        <v>1.2385434728758979E-2</v>
      </c>
      <c r="F99" s="402">
        <f t="shared" si="5"/>
        <v>119.61623730492941</v>
      </c>
      <c r="G99" s="402">
        <f t="shared" si="6"/>
        <v>26.315572207084468</v>
      </c>
      <c r="H99" s="402">
        <f>F99*'92'!$C$20/100</f>
        <v>23.790097943837992</v>
      </c>
      <c r="I99" s="402">
        <f>E99*'мат тепло'!$F$39</f>
        <v>22.094944678391542</v>
      </c>
      <c r="J99" s="402">
        <f t="shared" si="7"/>
        <v>0.25315672711395459</v>
      </c>
    </row>
    <row r="100" spans="1:10" s="380" customFormat="1" ht="10.5" x14ac:dyDescent="0.2">
      <c r="A100" s="381">
        <v>98</v>
      </c>
      <c r="B100" s="382" t="s">
        <v>428</v>
      </c>
      <c r="C100" s="384">
        <v>1915.15</v>
      </c>
      <c r="D100" s="383">
        <v>642</v>
      </c>
      <c r="E100" s="402">
        <f t="shared" si="4"/>
        <v>3.0582496522551017E-2</v>
      </c>
      <c r="F100" s="402">
        <f t="shared" si="5"/>
        <v>295.36009365294109</v>
      </c>
      <c r="G100" s="402">
        <f t="shared" si="6"/>
        <v>64.979220603647036</v>
      </c>
      <c r="H100" s="402">
        <f>F100*'92'!$C$20/100</f>
        <v>58.743241845938421</v>
      </c>
      <c r="I100" s="402">
        <f>E100*'мат тепло'!$F$39</f>
        <v>54.55751724433604</v>
      </c>
      <c r="J100" s="402">
        <f t="shared" si="7"/>
        <v>0.24731225927309222</v>
      </c>
    </row>
    <row r="101" spans="1:10" s="380" customFormat="1" ht="10.5" x14ac:dyDescent="0.2">
      <c r="A101" s="381">
        <v>99</v>
      </c>
      <c r="B101" s="382" t="s">
        <v>429</v>
      </c>
      <c r="C101" s="384">
        <v>1544.5</v>
      </c>
      <c r="D101" s="383">
        <v>720</v>
      </c>
      <c r="E101" s="402">
        <f t="shared" si="4"/>
        <v>3.429812694117871E-2</v>
      </c>
      <c r="F101" s="402">
        <f t="shared" si="5"/>
        <v>331.24496484441988</v>
      </c>
      <c r="G101" s="402">
        <f t="shared" si="6"/>
        <v>72.873892265772369</v>
      </c>
      <c r="H101" s="402">
        <f>F101*'92'!$C$20/100</f>
        <v>65.880271229089814</v>
      </c>
      <c r="I101" s="402">
        <f>E101*'мат тепло'!$F$39</f>
        <v>61.186000647853497</v>
      </c>
      <c r="J101" s="402">
        <f t="shared" si="7"/>
        <v>0.34392044609073202</v>
      </c>
    </row>
    <row r="102" spans="1:10" s="380" customFormat="1" ht="10.5" x14ac:dyDescent="0.2">
      <c r="A102" s="381">
        <v>100</v>
      </c>
      <c r="B102" s="382" t="s">
        <v>430</v>
      </c>
      <c r="C102" s="384">
        <v>1552.3</v>
      </c>
      <c r="D102" s="383">
        <v>720</v>
      </c>
      <c r="E102" s="402">
        <f t="shared" si="4"/>
        <v>3.429812694117871E-2</v>
      </c>
      <c r="F102" s="402">
        <f t="shared" si="5"/>
        <v>331.24496484441988</v>
      </c>
      <c r="G102" s="402">
        <f t="shared" si="6"/>
        <v>72.873892265772369</v>
      </c>
      <c r="H102" s="402">
        <f>F102*'92'!$C$20/100</f>
        <v>65.880271229089814</v>
      </c>
      <c r="I102" s="402">
        <f>E102*'мат тепло'!$F$39</f>
        <v>61.186000647853497</v>
      </c>
      <c r="J102" s="402">
        <f t="shared" si="7"/>
        <v>0.34219231397741134</v>
      </c>
    </row>
    <row r="103" spans="1:10" s="380" customFormat="1" ht="10.5" x14ac:dyDescent="0.2">
      <c r="A103" s="381">
        <v>101</v>
      </c>
      <c r="B103" s="382" t="s">
        <v>431</v>
      </c>
      <c r="C103" s="384">
        <v>1287.0999999999999</v>
      </c>
      <c r="D103" s="383">
        <v>308</v>
      </c>
      <c r="E103" s="402">
        <f t="shared" si="4"/>
        <v>1.4671976524837559E-2</v>
      </c>
      <c r="F103" s="402">
        <f t="shared" si="5"/>
        <v>141.69923496122405</v>
      </c>
      <c r="G103" s="402">
        <f t="shared" si="6"/>
        <v>31.173831691469289</v>
      </c>
      <c r="H103" s="402">
        <f>F103*'92'!$C$20/100</f>
        <v>28.182116025777304</v>
      </c>
      <c r="I103" s="402">
        <f>E103*'мат тепло'!$F$39</f>
        <v>26.174011388248442</v>
      </c>
      <c r="J103" s="402">
        <f t="shared" si="7"/>
        <v>0.1765435429001003</v>
      </c>
    </row>
    <row r="104" spans="1:10" s="380" customFormat="1" ht="10.5" x14ac:dyDescent="0.2">
      <c r="A104" s="381">
        <v>102</v>
      </c>
      <c r="B104" s="382" t="s">
        <v>432</v>
      </c>
      <c r="C104" s="384">
        <v>3473.9</v>
      </c>
      <c r="D104" s="383">
        <v>938</v>
      </c>
      <c r="E104" s="402">
        <f t="shared" si="4"/>
        <v>4.4682837598368934E-2</v>
      </c>
      <c r="F104" s="402">
        <f t="shared" si="5"/>
        <v>431.53857920009148</v>
      </c>
      <c r="G104" s="402">
        <f t="shared" si="6"/>
        <v>94.938487424020138</v>
      </c>
      <c r="H104" s="402">
        <f>F104*'92'!$C$20/100</f>
        <v>85.827353351230897</v>
      </c>
      <c r="I104" s="402">
        <f>E104*'мат тепло'!$F$39</f>
        <v>79.711761955120267</v>
      </c>
      <c r="J104" s="402">
        <f t="shared" si="7"/>
        <v>0.19920440482756055</v>
      </c>
    </row>
    <row r="105" spans="1:10" s="380" customFormat="1" ht="10.5" x14ac:dyDescent="0.2">
      <c r="A105" s="381">
        <v>103</v>
      </c>
      <c r="B105" s="382" t="s">
        <v>433</v>
      </c>
      <c r="C105" s="384">
        <v>1838.18</v>
      </c>
      <c r="D105" s="383">
        <v>615</v>
      </c>
      <c r="E105" s="402">
        <f t="shared" si="4"/>
        <v>2.9296316762256816E-2</v>
      </c>
      <c r="F105" s="402">
        <f t="shared" si="5"/>
        <v>282.93840747127535</v>
      </c>
      <c r="G105" s="402">
        <f t="shared" si="6"/>
        <v>62.246449643680577</v>
      </c>
      <c r="H105" s="402">
        <f>F105*'92'!$C$20/100</f>
        <v>56.272731674847556</v>
      </c>
      <c r="I105" s="402">
        <f>E105*'мат тепло'!$F$39</f>
        <v>52.263042220041534</v>
      </c>
      <c r="J105" s="402">
        <f t="shared" si="7"/>
        <v>0.24683144795931031</v>
      </c>
    </row>
    <row r="106" spans="1:10" s="380" customFormat="1" ht="10.5" x14ac:dyDescent="0.2">
      <c r="A106" s="381">
        <v>104</v>
      </c>
      <c r="B106" s="382" t="s">
        <v>434</v>
      </c>
      <c r="C106" s="384">
        <v>4517.6000000000004</v>
      </c>
      <c r="D106" s="383">
        <v>2650</v>
      </c>
      <c r="E106" s="402">
        <f t="shared" si="4"/>
        <v>0.12623616165850499</v>
      </c>
      <c r="F106" s="402">
        <f t="shared" si="5"/>
        <v>1219.1654956079344</v>
      </c>
      <c r="G106" s="402">
        <f t="shared" si="6"/>
        <v>268.21640903374561</v>
      </c>
      <c r="H106" s="402">
        <f>F106*'92'!$C$20/100</f>
        <v>242.47599827373335</v>
      </c>
      <c r="I106" s="402">
        <f>E106*'мат тепло'!$F$39</f>
        <v>225.19847460668305</v>
      </c>
      <c r="J106" s="402">
        <f t="shared" si="7"/>
        <v>0.43276438319508065</v>
      </c>
    </row>
    <row r="107" spans="1:10" s="380" customFormat="1" ht="10.5" x14ac:dyDescent="0.2">
      <c r="A107" s="381">
        <v>105</v>
      </c>
      <c r="B107" s="382" t="s">
        <v>435</v>
      </c>
      <c r="C107" s="384">
        <v>4524.9399999999996</v>
      </c>
      <c r="D107" s="383">
        <v>2650</v>
      </c>
      <c r="E107" s="402">
        <f t="shared" si="4"/>
        <v>0.12623616165850499</v>
      </c>
      <c r="F107" s="402">
        <f t="shared" si="5"/>
        <v>1219.1654956079344</v>
      </c>
      <c r="G107" s="402">
        <f t="shared" si="6"/>
        <v>268.21640903374561</v>
      </c>
      <c r="H107" s="402">
        <f>F107*'92'!$C$20/100</f>
        <v>242.47599827373335</v>
      </c>
      <c r="I107" s="402">
        <f>E107*'мат тепло'!$F$39</f>
        <v>225.19847460668305</v>
      </c>
      <c r="J107" s="402">
        <f t="shared" si="7"/>
        <v>0.43206238701995975</v>
      </c>
    </row>
    <row r="108" spans="1:10" s="380" customFormat="1" ht="10.5" x14ac:dyDescent="0.2">
      <c r="A108" s="381">
        <v>106</v>
      </c>
      <c r="B108" s="382" t="s">
        <v>436</v>
      </c>
      <c r="C108" s="384">
        <v>4742.2700000000004</v>
      </c>
      <c r="D108" s="383">
        <v>2580</v>
      </c>
      <c r="E108" s="402">
        <f t="shared" si="4"/>
        <v>0.12290162153922371</v>
      </c>
      <c r="F108" s="402">
        <f t="shared" si="5"/>
        <v>1186.961124025838</v>
      </c>
      <c r="G108" s="402">
        <f t="shared" si="6"/>
        <v>261.13144728568437</v>
      </c>
      <c r="H108" s="402">
        <f>F108*'92'!$C$20/100</f>
        <v>236.07097190423849</v>
      </c>
      <c r="I108" s="402">
        <f>E108*'мат тепло'!$F$39</f>
        <v>219.24983565480838</v>
      </c>
      <c r="J108" s="402">
        <f t="shared" si="7"/>
        <v>0.40137178584740407</v>
      </c>
    </row>
    <row r="109" spans="1:10" s="380" customFormat="1" ht="10.5" x14ac:dyDescent="0.2">
      <c r="A109" s="381">
        <v>107</v>
      </c>
      <c r="B109" s="382" t="s">
        <v>437</v>
      </c>
      <c r="C109" s="384">
        <v>2538.3000000000002</v>
      </c>
      <c r="D109" s="383">
        <v>1480</v>
      </c>
      <c r="E109" s="402">
        <f t="shared" si="4"/>
        <v>7.0501705379089577E-2</v>
      </c>
      <c r="F109" s="402">
        <f t="shared" si="5"/>
        <v>680.89242773575199</v>
      </c>
      <c r="G109" s="402">
        <f t="shared" si="6"/>
        <v>149.79633410186543</v>
      </c>
      <c r="H109" s="402">
        <f>F109*'92'!$C$20/100</f>
        <v>135.4205575264624</v>
      </c>
      <c r="I109" s="402">
        <f>E109*'мат тепло'!$F$39</f>
        <v>125.77122355392109</v>
      </c>
      <c r="J109" s="402">
        <f t="shared" si="7"/>
        <v>0.43016213328526998</v>
      </c>
    </row>
    <row r="110" spans="1:10" s="380" customFormat="1" ht="10.5" x14ac:dyDescent="0.2">
      <c r="A110" s="381">
        <v>108</v>
      </c>
      <c r="B110" s="382" t="s">
        <v>438</v>
      </c>
      <c r="C110" s="384">
        <v>4452.8999999999996</v>
      </c>
      <c r="D110" s="383">
        <v>2650</v>
      </c>
      <c r="E110" s="402">
        <f t="shared" si="4"/>
        <v>0.12623616165850499</v>
      </c>
      <c r="F110" s="402">
        <f t="shared" si="5"/>
        <v>1219.1654956079344</v>
      </c>
      <c r="G110" s="402">
        <f t="shared" si="6"/>
        <v>268.21640903374561</v>
      </c>
      <c r="H110" s="402">
        <f>F110*'92'!$C$20/100</f>
        <v>242.47599827373335</v>
      </c>
      <c r="I110" s="402">
        <f>E110*'мат тепло'!$F$39</f>
        <v>225.19847460668305</v>
      </c>
      <c r="J110" s="402">
        <f t="shared" si="7"/>
        <v>0.43905238777473032</v>
      </c>
    </row>
    <row r="111" spans="1:10" s="380" customFormat="1" ht="10.5" x14ac:dyDescent="0.2">
      <c r="A111" s="381">
        <v>109</v>
      </c>
      <c r="B111" s="382" t="s">
        <v>439</v>
      </c>
      <c r="C111" s="384">
        <v>1573.08</v>
      </c>
      <c r="D111" s="383">
        <v>884</v>
      </c>
      <c r="E111" s="402">
        <f t="shared" si="4"/>
        <v>4.2110478077780525E-2</v>
      </c>
      <c r="F111" s="402">
        <f t="shared" si="5"/>
        <v>406.69520683675995</v>
      </c>
      <c r="G111" s="402">
        <f t="shared" si="6"/>
        <v>89.472945504087178</v>
      </c>
      <c r="H111" s="402">
        <f>F111*'92'!$C$20/100</f>
        <v>80.886333009049153</v>
      </c>
      <c r="I111" s="402">
        <f>E111*'мат тепло'!$F$39</f>
        <v>75.12281190653124</v>
      </c>
      <c r="J111" s="402">
        <f t="shared" si="7"/>
        <v>0.41458622400413675</v>
      </c>
    </row>
    <row r="112" spans="1:10" s="380" customFormat="1" ht="10.5" x14ac:dyDescent="0.2">
      <c r="A112" s="381">
        <v>110</v>
      </c>
      <c r="B112" s="382" t="s">
        <v>440</v>
      </c>
      <c r="C112" s="384">
        <v>3168.45</v>
      </c>
      <c r="D112" s="383">
        <v>1480</v>
      </c>
      <c r="E112" s="402">
        <f t="shared" si="4"/>
        <v>7.0501705379089577E-2</v>
      </c>
      <c r="F112" s="402">
        <f t="shared" si="5"/>
        <v>680.89242773575199</v>
      </c>
      <c r="G112" s="402">
        <f t="shared" si="6"/>
        <v>149.79633410186543</v>
      </c>
      <c r="H112" s="402">
        <f>F112*'92'!$C$20/100</f>
        <v>135.4205575264624</v>
      </c>
      <c r="I112" s="402">
        <f>E112*'мат тепло'!$F$39</f>
        <v>125.77122355392109</v>
      </c>
      <c r="J112" s="402">
        <f t="shared" si="7"/>
        <v>0.34461031195631964</v>
      </c>
    </row>
    <row r="113" spans="1:10" s="380" customFormat="1" ht="10.5" x14ac:dyDescent="0.2">
      <c r="A113" s="381">
        <v>111</v>
      </c>
      <c r="B113" s="382" t="s">
        <v>441</v>
      </c>
      <c r="C113" s="384">
        <v>3182.6</v>
      </c>
      <c r="D113" s="383">
        <v>1480</v>
      </c>
      <c r="E113" s="402">
        <f t="shared" si="4"/>
        <v>7.0501705379089577E-2</v>
      </c>
      <c r="F113" s="402">
        <f t="shared" si="5"/>
        <v>680.89242773575199</v>
      </c>
      <c r="G113" s="402">
        <f t="shared" si="6"/>
        <v>149.79633410186543</v>
      </c>
      <c r="H113" s="402">
        <f>F113*'92'!$C$20/100</f>
        <v>135.4205575264624</v>
      </c>
      <c r="I113" s="402">
        <f>E113*'мат тепло'!$F$39</f>
        <v>125.77122355392109</v>
      </c>
      <c r="J113" s="402">
        <f t="shared" si="7"/>
        <v>0.34307815714133127</v>
      </c>
    </row>
    <row r="114" spans="1:10" s="380" customFormat="1" ht="10.5" x14ac:dyDescent="0.2">
      <c r="A114" s="381">
        <v>112</v>
      </c>
      <c r="B114" s="382" t="s">
        <v>442</v>
      </c>
      <c r="C114" s="384">
        <v>2283.1999999999998</v>
      </c>
      <c r="D114" s="383">
        <v>1280</v>
      </c>
      <c r="E114" s="402">
        <f t="shared" si="4"/>
        <v>6.0974447895428815E-2</v>
      </c>
      <c r="F114" s="402">
        <f t="shared" si="5"/>
        <v>588.87993750119085</v>
      </c>
      <c r="G114" s="402">
        <f t="shared" si="6"/>
        <v>129.55358625026199</v>
      </c>
      <c r="H114" s="402">
        <f>F114*'92'!$C$20/100</f>
        <v>117.12048218504854</v>
      </c>
      <c r="I114" s="402">
        <f>E114*'мат тепло'!$F$39</f>
        <v>108.77511226285067</v>
      </c>
      <c r="J114" s="402">
        <f t="shared" si="7"/>
        <v>0.41359894805507719</v>
      </c>
    </row>
    <row r="115" spans="1:10" s="380" customFormat="1" ht="10.5" x14ac:dyDescent="0.2">
      <c r="A115" s="381">
        <v>113</v>
      </c>
      <c r="B115" s="382" t="s">
        <v>443</v>
      </c>
      <c r="C115" s="384">
        <v>1091.7</v>
      </c>
      <c r="D115" s="383">
        <v>590</v>
      </c>
      <c r="E115" s="402">
        <f t="shared" si="4"/>
        <v>2.8105409576799221E-2</v>
      </c>
      <c r="F115" s="402">
        <f t="shared" si="5"/>
        <v>271.43684619195517</v>
      </c>
      <c r="G115" s="402">
        <f t="shared" si="6"/>
        <v>59.716106162230133</v>
      </c>
      <c r="H115" s="402">
        <f>F115*'92'!$C$20/100</f>
        <v>53.985222257170818</v>
      </c>
      <c r="I115" s="402">
        <f>E115*'мат тепло'!$F$39</f>
        <v>50.138528308657733</v>
      </c>
      <c r="J115" s="402">
        <f t="shared" si="7"/>
        <v>0.39871457627554624</v>
      </c>
    </row>
    <row r="116" spans="1:10" s="380" customFormat="1" ht="10.5" x14ac:dyDescent="0.2">
      <c r="A116" s="381">
        <v>114</v>
      </c>
      <c r="B116" s="382" t="s">
        <v>444</v>
      </c>
      <c r="C116" s="384">
        <v>1733.3</v>
      </c>
      <c r="D116" s="383">
        <v>550</v>
      </c>
      <c r="E116" s="402">
        <f t="shared" si="4"/>
        <v>2.619995808006707E-2</v>
      </c>
      <c r="F116" s="402">
        <f t="shared" si="5"/>
        <v>253.03434814504297</v>
      </c>
      <c r="G116" s="402">
        <f t="shared" si="6"/>
        <v>55.667556591909452</v>
      </c>
      <c r="H116" s="402">
        <f>F116*'92'!$C$20/100</f>
        <v>50.325207188888051</v>
      </c>
      <c r="I116" s="402">
        <f>E116*'мат тепло'!$F$39</f>
        <v>46.739306050443645</v>
      </c>
      <c r="J116" s="402">
        <f t="shared" si="7"/>
        <v>0.23410051230386208</v>
      </c>
    </row>
    <row r="117" spans="1:10" s="380" customFormat="1" ht="10.5" x14ac:dyDescent="0.2">
      <c r="A117" s="381">
        <v>115</v>
      </c>
      <c r="B117" s="382" t="s">
        <v>445</v>
      </c>
      <c r="C117" s="384">
        <v>1752.82</v>
      </c>
      <c r="D117" s="383">
        <v>560</v>
      </c>
      <c r="E117" s="402">
        <f t="shared" si="4"/>
        <v>2.6676320954250109E-2</v>
      </c>
      <c r="F117" s="402">
        <f t="shared" si="5"/>
        <v>257.63497265677103</v>
      </c>
      <c r="G117" s="402">
        <f t="shared" si="6"/>
        <v>56.679693984489624</v>
      </c>
      <c r="H117" s="402">
        <f>F117*'92'!$C$20/100</f>
        <v>51.240210955958744</v>
      </c>
      <c r="I117" s="402">
        <f>E117*'мат тепло'!$F$39</f>
        <v>47.589111614997172</v>
      </c>
      <c r="J117" s="402">
        <f t="shared" si="7"/>
        <v>0.23570246186842722</v>
      </c>
    </row>
    <row r="118" spans="1:10" s="380" customFormat="1" ht="10.5" x14ac:dyDescent="0.2">
      <c r="A118" s="381">
        <v>116</v>
      </c>
      <c r="B118" s="382" t="s">
        <v>446</v>
      </c>
      <c r="C118" s="384">
        <v>3688.59</v>
      </c>
      <c r="D118" s="383">
        <v>1315</v>
      </c>
      <c r="E118" s="402">
        <f t="shared" si="4"/>
        <v>6.2641717955069454E-2</v>
      </c>
      <c r="F118" s="402">
        <f t="shared" si="5"/>
        <v>604.98212329223918</v>
      </c>
      <c r="G118" s="402">
        <f t="shared" si="6"/>
        <v>133.09606712429263</v>
      </c>
      <c r="H118" s="402">
        <f>F118*'92'!$C$20/100</f>
        <v>120.32299536979599</v>
      </c>
      <c r="I118" s="402">
        <f>E118*'мат тепло'!$F$39</f>
        <v>111.749431738788</v>
      </c>
      <c r="J118" s="402">
        <f t="shared" si="7"/>
        <v>0.26301394774835796</v>
      </c>
    </row>
    <row r="119" spans="1:10" s="380" customFormat="1" ht="10.5" x14ac:dyDescent="0.2">
      <c r="A119" s="381">
        <v>117</v>
      </c>
      <c r="B119" s="382" t="s">
        <v>447</v>
      </c>
      <c r="C119" s="384">
        <v>3868.13</v>
      </c>
      <c r="D119" s="383">
        <v>1066</v>
      </c>
      <c r="E119" s="402">
        <f t="shared" si="4"/>
        <v>5.078028238791181E-2</v>
      </c>
      <c r="F119" s="402">
        <f t="shared" si="5"/>
        <v>490.42657295021053</v>
      </c>
      <c r="G119" s="402">
        <f t="shared" si="6"/>
        <v>107.89384604904632</v>
      </c>
      <c r="H119" s="402">
        <f>F119*'92'!$C$20/100</f>
        <v>97.539401569735745</v>
      </c>
      <c r="I119" s="402">
        <f>E119*'мат тепло'!$F$39</f>
        <v>90.589273181405318</v>
      </c>
      <c r="J119" s="402">
        <f t="shared" si="7"/>
        <v>0.20331506276945138</v>
      </c>
    </row>
    <row r="120" spans="1:10" s="380" customFormat="1" ht="10.5" x14ac:dyDescent="0.2">
      <c r="A120" s="381">
        <v>118</v>
      </c>
      <c r="B120" s="382" t="s">
        <v>448</v>
      </c>
      <c r="C120" s="384">
        <v>2821.38</v>
      </c>
      <c r="D120" s="383">
        <v>896</v>
      </c>
      <c r="E120" s="402">
        <f t="shared" si="4"/>
        <v>4.2682113526800174E-2</v>
      </c>
      <c r="F120" s="402">
        <f t="shared" si="5"/>
        <v>412.21595625083364</v>
      </c>
      <c r="G120" s="402">
        <f t="shared" si="6"/>
        <v>90.687510375183408</v>
      </c>
      <c r="H120" s="402">
        <f>F120*'92'!$C$20/100</f>
        <v>81.984337529533988</v>
      </c>
      <c r="I120" s="402">
        <f>E120*'мат тепло'!$F$39</f>
        <v>76.142578583995473</v>
      </c>
      <c r="J120" s="402">
        <f t="shared" si="7"/>
        <v>0.23429328298192606</v>
      </c>
    </row>
    <row r="121" spans="1:10" s="380" customFormat="1" ht="10.5" x14ac:dyDescent="0.2">
      <c r="A121" s="381">
        <v>119</v>
      </c>
      <c r="B121" s="382" t="s">
        <v>449</v>
      </c>
      <c r="C121" s="384">
        <v>4277.29</v>
      </c>
      <c r="D121" s="383">
        <v>1204</v>
      </c>
      <c r="E121" s="402">
        <f t="shared" si="4"/>
        <v>5.7354090051637732E-2</v>
      </c>
      <c r="F121" s="402">
        <f t="shared" si="5"/>
        <v>553.91519121205772</v>
      </c>
      <c r="G121" s="402">
        <f t="shared" si="6"/>
        <v>121.86134206665271</v>
      </c>
      <c r="H121" s="402">
        <f>F121*'92'!$C$20/100</f>
        <v>110.16645355531129</v>
      </c>
      <c r="I121" s="402">
        <f>E121*'мат тепло'!$F$39</f>
        <v>102.3165899722439</v>
      </c>
      <c r="J121" s="402">
        <f t="shared" si="7"/>
        <v>0.20766877551119181</v>
      </c>
    </row>
    <row r="122" spans="1:10" s="380" customFormat="1" ht="10.5" x14ac:dyDescent="0.2">
      <c r="A122" s="381">
        <v>120</v>
      </c>
      <c r="B122" s="382" t="s">
        <v>450</v>
      </c>
      <c r="C122" s="384">
        <v>2171.3000000000002</v>
      </c>
      <c r="D122" s="383">
        <v>903</v>
      </c>
      <c r="E122" s="402">
        <f t="shared" si="4"/>
        <v>4.3015567538728296E-2</v>
      </c>
      <c r="F122" s="402">
        <f t="shared" si="5"/>
        <v>415.43639340904326</v>
      </c>
      <c r="G122" s="402">
        <f t="shared" si="6"/>
        <v>91.396006549989522</v>
      </c>
      <c r="H122" s="402">
        <f>F122*'92'!$C$20/100</f>
        <v>82.624840166483466</v>
      </c>
      <c r="I122" s="402">
        <f>E122*'мат тепло'!$F$39</f>
        <v>76.737442479182931</v>
      </c>
      <c r="J122" s="402">
        <f t="shared" si="7"/>
        <v>0.30681834965444627</v>
      </c>
    </row>
    <row r="123" spans="1:10" s="380" customFormat="1" ht="10.5" x14ac:dyDescent="0.2">
      <c r="A123" s="381">
        <v>121</v>
      </c>
      <c r="B123" s="382" t="s">
        <v>451</v>
      </c>
      <c r="C123" s="384">
        <v>5707.1</v>
      </c>
      <c r="D123" s="383">
        <v>1560</v>
      </c>
      <c r="E123" s="402">
        <f t="shared" si="4"/>
        <v>7.4312608372553865E-2</v>
      </c>
      <c r="F123" s="402">
        <f t="shared" si="5"/>
        <v>717.69742382957634</v>
      </c>
      <c r="G123" s="402">
        <f t="shared" si="6"/>
        <v>157.8934332425068</v>
      </c>
      <c r="H123" s="402">
        <f>F123*'92'!$C$20/100</f>
        <v>142.7405876630279</v>
      </c>
      <c r="I123" s="402">
        <f>E123*'мат тепло'!$F$39</f>
        <v>132.56966807034925</v>
      </c>
      <c r="J123" s="402">
        <f t="shared" si="7"/>
        <v>0.20166128380534076</v>
      </c>
    </row>
    <row r="124" spans="1:10" s="380" customFormat="1" ht="10.5" x14ac:dyDescent="0.2">
      <c r="A124" s="381">
        <v>122</v>
      </c>
      <c r="B124" s="382" t="s">
        <v>452</v>
      </c>
      <c r="C124" s="384">
        <v>1727.35</v>
      </c>
      <c r="D124" s="383">
        <v>652</v>
      </c>
      <c r="E124" s="402">
        <f t="shared" si="4"/>
        <v>3.1058859396734053E-2</v>
      </c>
      <c r="F124" s="402">
        <f t="shared" si="5"/>
        <v>299.96071816466912</v>
      </c>
      <c r="G124" s="402">
        <f t="shared" si="6"/>
        <v>65.991357996227208</v>
      </c>
      <c r="H124" s="402">
        <f>F124*'92'!$C$20/100</f>
        <v>59.6582456130091</v>
      </c>
      <c r="I124" s="402">
        <f>E124*'мат тепло'!$F$39</f>
        <v>55.40732280888956</v>
      </c>
      <c r="J124" s="402">
        <f t="shared" si="7"/>
        <v>0.2784714415623904</v>
      </c>
    </row>
    <row r="125" spans="1:10" s="380" customFormat="1" ht="10.5" x14ac:dyDescent="0.2">
      <c r="A125" s="381">
        <v>123</v>
      </c>
      <c r="B125" s="382" t="s">
        <v>453</v>
      </c>
      <c r="C125" s="384">
        <v>2522.5500000000002</v>
      </c>
      <c r="D125" s="383">
        <v>649</v>
      </c>
      <c r="E125" s="402">
        <f t="shared" si="4"/>
        <v>3.0915950534479143E-2</v>
      </c>
      <c r="F125" s="402">
        <f t="shared" si="5"/>
        <v>298.58053081115071</v>
      </c>
      <c r="G125" s="402">
        <f t="shared" si="6"/>
        <v>65.687716778453165</v>
      </c>
      <c r="H125" s="402">
        <f>F125*'92'!$C$20/100</f>
        <v>59.383744482887899</v>
      </c>
      <c r="I125" s="402">
        <f>E125*'мат тепло'!$F$39</f>
        <v>55.152381139523506</v>
      </c>
      <c r="J125" s="402">
        <f t="shared" si="7"/>
        <v>0.18980966609661465</v>
      </c>
    </row>
    <row r="126" spans="1:10" s="380" customFormat="1" ht="10.5" x14ac:dyDescent="0.2">
      <c r="A126" s="381">
        <v>124</v>
      </c>
      <c r="B126" s="382" t="s">
        <v>454</v>
      </c>
      <c r="C126" s="384">
        <v>2516.6999999999998</v>
      </c>
      <c r="D126" s="383">
        <v>844</v>
      </c>
      <c r="E126" s="402">
        <f t="shared" si="4"/>
        <v>4.0205026581048374E-2</v>
      </c>
      <c r="F126" s="402">
        <f t="shared" si="5"/>
        <v>388.29270878984772</v>
      </c>
      <c r="G126" s="402">
        <f t="shared" si="6"/>
        <v>85.424395933766505</v>
      </c>
      <c r="H126" s="402">
        <f>F126*'92'!$C$20/100</f>
        <v>77.226317940766378</v>
      </c>
      <c r="I126" s="402">
        <f>E126*'мат тепло'!$F$39</f>
        <v>71.723589648317159</v>
      </c>
      <c r="J126" s="402">
        <f t="shared" si="7"/>
        <v>0.24741407887817293</v>
      </c>
    </row>
    <row r="127" spans="1:10" s="380" customFormat="1" ht="10.5" x14ac:dyDescent="0.2">
      <c r="A127" s="381">
        <v>125</v>
      </c>
      <c r="B127" s="382" t="s">
        <v>455</v>
      </c>
      <c r="C127" s="384">
        <v>1774.47</v>
      </c>
      <c r="D127" s="383">
        <v>652</v>
      </c>
      <c r="E127" s="402">
        <f t="shared" si="4"/>
        <v>3.1058859396734053E-2</v>
      </c>
      <c r="F127" s="402">
        <f t="shared" si="5"/>
        <v>299.96071816466912</v>
      </c>
      <c r="G127" s="402">
        <f t="shared" si="6"/>
        <v>65.991357996227208</v>
      </c>
      <c r="H127" s="402">
        <f>F127*'92'!$C$20/100</f>
        <v>59.6582456130091</v>
      </c>
      <c r="I127" s="402">
        <f>E127*'мат тепло'!$F$39</f>
        <v>55.40732280888956</v>
      </c>
      <c r="J127" s="402">
        <f t="shared" si="7"/>
        <v>0.27107679734388013</v>
      </c>
    </row>
    <row r="128" spans="1:10" s="380" customFormat="1" ht="10.5" x14ac:dyDescent="0.2">
      <c r="A128" s="381">
        <v>126</v>
      </c>
      <c r="B128" s="382" t="s">
        <v>456</v>
      </c>
      <c r="C128" s="384">
        <v>1727.7</v>
      </c>
      <c r="D128" s="383">
        <v>650</v>
      </c>
      <c r="E128" s="402">
        <f t="shared" si="4"/>
        <v>3.0963586821897447E-2</v>
      </c>
      <c r="F128" s="402">
        <f t="shared" si="5"/>
        <v>299.04059326232351</v>
      </c>
      <c r="G128" s="402">
        <f t="shared" si="6"/>
        <v>65.788930517711165</v>
      </c>
      <c r="H128" s="402">
        <f>F128*'92'!$C$20/100</f>
        <v>59.475244859594966</v>
      </c>
      <c r="I128" s="402">
        <f>E128*'мат тепло'!$F$39</f>
        <v>55.237361695978855</v>
      </c>
      <c r="J128" s="402">
        <f t="shared" si="7"/>
        <v>0.27756099457985095</v>
      </c>
    </row>
    <row r="129" spans="1:10" s="380" customFormat="1" ht="10.5" x14ac:dyDescent="0.2">
      <c r="A129" s="381">
        <v>127</v>
      </c>
      <c r="B129" s="382" t="s">
        <v>457</v>
      </c>
      <c r="C129" s="384">
        <v>3216.3</v>
      </c>
      <c r="D129" s="383">
        <v>904</v>
      </c>
      <c r="E129" s="402">
        <f t="shared" si="4"/>
        <v>4.3063203826146604E-2</v>
      </c>
      <c r="F129" s="402">
        <f t="shared" si="5"/>
        <v>415.89645586021607</v>
      </c>
      <c r="G129" s="402">
        <f t="shared" si="6"/>
        <v>91.497220289247522</v>
      </c>
      <c r="H129" s="402">
        <f>F129*'92'!$C$20/100</f>
        <v>82.71634054319054</v>
      </c>
      <c r="I129" s="402">
        <f>E129*'мат тепло'!$F$39</f>
        <v>76.82242303563828</v>
      </c>
      <c r="J129" s="402">
        <f t="shared" si="7"/>
        <v>0.20736014666800126</v>
      </c>
    </row>
    <row r="130" spans="1:10" s="380" customFormat="1" ht="10.5" x14ac:dyDescent="0.2">
      <c r="A130" s="381">
        <v>128</v>
      </c>
      <c r="B130" s="382" t="s">
        <v>458</v>
      </c>
      <c r="C130" s="384">
        <v>3895.1</v>
      </c>
      <c r="D130" s="383">
        <v>1190</v>
      </c>
      <c r="E130" s="402">
        <f t="shared" si="4"/>
        <v>5.6687182027781481E-2</v>
      </c>
      <c r="F130" s="402">
        <f t="shared" si="5"/>
        <v>547.47431689563848</v>
      </c>
      <c r="G130" s="402">
        <f t="shared" si="6"/>
        <v>120.44434971704045</v>
      </c>
      <c r="H130" s="402">
        <f>F130*'92'!$C$20/100</f>
        <v>108.88544828141234</v>
      </c>
      <c r="I130" s="402">
        <f>E130*'мат тепло'!$F$39</f>
        <v>101.12686218186899</v>
      </c>
      <c r="J130" s="402">
        <f t="shared" si="7"/>
        <v>0.22539369389128913</v>
      </c>
    </row>
    <row r="131" spans="1:10" s="380" customFormat="1" ht="10.5" x14ac:dyDescent="0.2">
      <c r="A131" s="381">
        <v>129</v>
      </c>
      <c r="B131" s="382" t="s">
        <v>459</v>
      </c>
      <c r="C131" s="384">
        <v>4002.8</v>
      </c>
      <c r="D131" s="383">
        <v>1200</v>
      </c>
      <c r="E131" s="402">
        <f t="shared" ref="E131:E160" si="8">D131/$E$163</f>
        <v>5.7163544901964514E-2</v>
      </c>
      <c r="F131" s="402">
        <f t="shared" ref="F131:F160" si="9">E131*$F$163</f>
        <v>552.0749414073664</v>
      </c>
      <c r="G131" s="402">
        <f t="shared" si="6"/>
        <v>121.45648710962061</v>
      </c>
      <c r="H131" s="402">
        <f>F131*'92'!$C$20/100</f>
        <v>109.80045204848301</v>
      </c>
      <c r="I131" s="402">
        <f>E131*'мат тепло'!$F$39</f>
        <v>101.97666774642249</v>
      </c>
      <c r="J131" s="402">
        <f t="shared" si="7"/>
        <v>0.2211723164564536</v>
      </c>
    </row>
    <row r="132" spans="1:10" s="380" customFormat="1" ht="10.5" x14ac:dyDescent="0.2">
      <c r="A132" s="381">
        <v>130</v>
      </c>
      <c r="B132" s="382" t="s">
        <v>460</v>
      </c>
      <c r="C132" s="384">
        <v>3852.63</v>
      </c>
      <c r="D132" s="383">
        <v>1200</v>
      </c>
      <c r="E132" s="402">
        <f t="shared" si="8"/>
        <v>5.7163544901964514E-2</v>
      </c>
      <c r="F132" s="402">
        <f t="shared" si="9"/>
        <v>552.0749414073664</v>
      </c>
      <c r="G132" s="402">
        <f t="shared" ref="G132:G160" si="10">F132*22/100</f>
        <v>121.45648710962061</v>
      </c>
      <c r="H132" s="402">
        <f>F132*'92'!$C$20/100</f>
        <v>109.80045204848301</v>
      </c>
      <c r="I132" s="402">
        <f>E132*'мат тепло'!$F$39</f>
        <v>101.97666774642249</v>
      </c>
      <c r="J132" s="402">
        <f>((F132+G132+H132+I132)/C132)*10/100</f>
        <v>2.2979329660826307E-2</v>
      </c>
    </row>
    <row r="133" spans="1:10" s="380" customFormat="1" ht="10.5" x14ac:dyDescent="0.2">
      <c r="A133" s="381">
        <v>131</v>
      </c>
      <c r="B133" s="382" t="s">
        <v>461</v>
      </c>
      <c r="C133" s="384">
        <v>3560.4</v>
      </c>
      <c r="D133" s="383">
        <v>1020</v>
      </c>
      <c r="E133" s="402">
        <f t="shared" si="8"/>
        <v>4.8589013166669838E-2</v>
      </c>
      <c r="F133" s="402">
        <f t="shared" si="9"/>
        <v>469.26370019626148</v>
      </c>
      <c r="G133" s="402">
        <f t="shared" si="10"/>
        <v>103.23801404317751</v>
      </c>
      <c r="H133" s="402">
        <f>F133*'92'!$C$20/100</f>
        <v>93.330384241210552</v>
      </c>
      <c r="I133" s="402">
        <f>E133*'мат тепло'!$F$39</f>
        <v>86.680167584459127</v>
      </c>
      <c r="J133" s="402">
        <f>((F133+G133+H133+I133)/C133)*10/100</f>
        <v>2.1135610214164387E-2</v>
      </c>
    </row>
    <row r="134" spans="1:10" s="380" customFormat="1" ht="10.5" x14ac:dyDescent="0.2">
      <c r="A134" s="381">
        <v>132</v>
      </c>
      <c r="B134" s="382" t="s">
        <v>462</v>
      </c>
      <c r="C134" s="384">
        <v>944.7</v>
      </c>
      <c r="D134" s="383">
        <v>380</v>
      </c>
      <c r="E134" s="402">
        <f t="shared" si="8"/>
        <v>1.810178921895543E-2</v>
      </c>
      <c r="F134" s="402">
        <f t="shared" si="9"/>
        <v>174.82373144566606</v>
      </c>
      <c r="G134" s="402">
        <f t="shared" si="10"/>
        <v>38.461220918046536</v>
      </c>
      <c r="H134" s="402">
        <f>F134*'92'!$C$20/100</f>
        <v>34.770143148686287</v>
      </c>
      <c r="I134" s="402">
        <f>E134*'мат тепло'!$F$39</f>
        <v>32.292611453033793</v>
      </c>
      <c r="J134" s="402">
        <f t="shared" ref="J134:J161" si="11">((F134+G134+H134+I134)/C134)</f>
        <v>0.29675844920655514</v>
      </c>
    </row>
    <row r="135" spans="1:10" s="380" customFormat="1" ht="10.5" x14ac:dyDescent="0.2">
      <c r="A135" s="381">
        <v>133</v>
      </c>
      <c r="B135" s="382" t="s">
        <v>463</v>
      </c>
      <c r="C135" s="384">
        <v>2428.5</v>
      </c>
      <c r="D135" s="383">
        <v>760</v>
      </c>
      <c r="E135" s="402">
        <f t="shared" si="8"/>
        <v>3.620357843791086E-2</v>
      </c>
      <c r="F135" s="402">
        <f t="shared" si="9"/>
        <v>349.64746289133211</v>
      </c>
      <c r="G135" s="402">
        <f t="shared" si="10"/>
        <v>76.922441836093071</v>
      </c>
      <c r="H135" s="402">
        <f>F135*'92'!$C$20/100</f>
        <v>69.540286297372575</v>
      </c>
      <c r="I135" s="402">
        <f>E135*'мат тепло'!$F$39</f>
        <v>64.585222906067585</v>
      </c>
      <c r="J135" s="402">
        <f t="shared" si="11"/>
        <v>0.23088137283543972</v>
      </c>
    </row>
    <row r="136" spans="1:10" s="380" customFormat="1" ht="10.5" x14ac:dyDescent="0.2">
      <c r="A136" s="381">
        <v>134</v>
      </c>
      <c r="B136" s="382" t="s">
        <v>464</v>
      </c>
      <c r="C136" s="384">
        <v>4861.91</v>
      </c>
      <c r="D136" s="383">
        <v>790</v>
      </c>
      <c r="E136" s="402">
        <f t="shared" si="8"/>
        <v>3.7632667060459972E-2</v>
      </c>
      <c r="F136" s="402">
        <f t="shared" si="9"/>
        <v>363.44933642651625</v>
      </c>
      <c r="G136" s="402">
        <f t="shared" si="10"/>
        <v>79.958854013833573</v>
      </c>
      <c r="H136" s="402">
        <f>F136*'92'!$C$20/100</f>
        <v>72.285297598584648</v>
      </c>
      <c r="I136" s="402">
        <f>E136*'мат тепло'!$F$39</f>
        <v>67.134639599728146</v>
      </c>
      <c r="J136" s="402">
        <f t="shared" si="11"/>
        <v>0.11987637114604398</v>
      </c>
    </row>
    <row r="137" spans="1:10" s="380" customFormat="1" ht="10.5" x14ac:dyDescent="0.2">
      <c r="A137" s="381">
        <v>135</v>
      </c>
      <c r="B137" s="382" t="s">
        <v>465</v>
      </c>
      <c r="C137" s="384">
        <v>3078.77</v>
      </c>
      <c r="D137" s="383">
        <v>900</v>
      </c>
      <c r="E137" s="402">
        <f t="shared" si="8"/>
        <v>4.2872658676473385E-2</v>
      </c>
      <c r="F137" s="402">
        <f t="shared" si="9"/>
        <v>414.05620605552485</v>
      </c>
      <c r="G137" s="402">
        <f t="shared" si="10"/>
        <v>91.092365332215465</v>
      </c>
      <c r="H137" s="402">
        <f>F137*'92'!$C$20/100</f>
        <v>82.350339036362257</v>
      </c>
      <c r="I137" s="402">
        <f>E137*'мат тепло'!$F$39</f>
        <v>76.482500809816869</v>
      </c>
      <c r="J137" s="402">
        <f t="shared" si="11"/>
        <v>0.21566450603127857</v>
      </c>
    </row>
    <row r="138" spans="1:10" s="380" customFormat="1" ht="10.5" x14ac:dyDescent="0.2">
      <c r="A138" s="381">
        <v>136</v>
      </c>
      <c r="B138" s="382" t="s">
        <v>466</v>
      </c>
      <c r="C138" s="384">
        <v>3188.68</v>
      </c>
      <c r="D138" s="383">
        <v>1358</v>
      </c>
      <c r="E138" s="402">
        <f t="shared" si="8"/>
        <v>6.4690078314056515E-2</v>
      </c>
      <c r="F138" s="402">
        <f t="shared" si="9"/>
        <v>624.7648086926697</v>
      </c>
      <c r="G138" s="402">
        <f t="shared" si="10"/>
        <v>137.44825791238733</v>
      </c>
      <c r="H138" s="402">
        <f>F138*'92'!$C$20/100</f>
        <v>124.25751156819996</v>
      </c>
      <c r="I138" s="402">
        <f>E138*'мат тепло'!$F$39</f>
        <v>115.40359566636813</v>
      </c>
      <c r="J138" s="402">
        <f t="shared" si="11"/>
        <v>0.31419715174919566</v>
      </c>
    </row>
    <row r="139" spans="1:10" s="380" customFormat="1" ht="10.5" x14ac:dyDescent="0.2">
      <c r="A139" s="381">
        <v>137</v>
      </c>
      <c r="B139" s="382" t="s">
        <v>467</v>
      </c>
      <c r="C139" s="384">
        <v>2782.65</v>
      </c>
      <c r="D139" s="383">
        <v>720</v>
      </c>
      <c r="E139" s="402">
        <f t="shared" si="8"/>
        <v>3.429812694117871E-2</v>
      </c>
      <c r="F139" s="402">
        <f t="shared" si="9"/>
        <v>331.24496484441988</v>
      </c>
      <c r="G139" s="402">
        <f t="shared" si="10"/>
        <v>72.873892265772369</v>
      </c>
      <c r="H139" s="402">
        <f>F139*'92'!$C$20/100</f>
        <v>65.880271229089814</v>
      </c>
      <c r="I139" s="402">
        <f>E139*'мат тепло'!$F$39</f>
        <v>61.186000647853497</v>
      </c>
      <c r="J139" s="402">
        <f t="shared" si="11"/>
        <v>0.19089182217926637</v>
      </c>
    </row>
    <row r="140" spans="1:10" s="380" customFormat="1" ht="10.5" x14ac:dyDescent="0.2">
      <c r="A140" s="381">
        <v>138</v>
      </c>
      <c r="B140" s="382" t="s">
        <v>468</v>
      </c>
      <c r="C140" s="384">
        <v>2258.6</v>
      </c>
      <c r="D140" s="383">
        <v>754</v>
      </c>
      <c r="E140" s="402">
        <f t="shared" si="8"/>
        <v>3.591776071340104E-2</v>
      </c>
      <c r="F140" s="402">
        <f t="shared" si="9"/>
        <v>346.88708818429529</v>
      </c>
      <c r="G140" s="402">
        <f t="shared" si="10"/>
        <v>76.315159400544957</v>
      </c>
      <c r="H140" s="402">
        <f>F140*'92'!$C$20/100</f>
        <v>68.991284037130171</v>
      </c>
      <c r="I140" s="402">
        <f>E140*'мат тепло'!$F$39</f>
        <v>64.075339567335476</v>
      </c>
      <c r="J140" s="402">
        <f t="shared" si="11"/>
        <v>0.24628923722186574</v>
      </c>
    </row>
    <row r="141" spans="1:10" s="380" customFormat="1" ht="10.5" x14ac:dyDescent="0.2">
      <c r="A141" s="381">
        <v>139</v>
      </c>
      <c r="B141" s="382" t="s">
        <v>469</v>
      </c>
      <c r="C141" s="384">
        <v>1910</v>
      </c>
      <c r="D141" s="383">
        <v>600</v>
      </c>
      <c r="E141" s="402">
        <f t="shared" si="8"/>
        <v>2.8581772450982257E-2</v>
      </c>
      <c r="F141" s="402">
        <f t="shared" si="9"/>
        <v>276.0374707036832</v>
      </c>
      <c r="G141" s="402">
        <f t="shared" si="10"/>
        <v>60.728243554810305</v>
      </c>
      <c r="H141" s="402">
        <f>F141*'92'!$C$20/100</f>
        <v>54.900226024241505</v>
      </c>
      <c r="I141" s="402">
        <f>E141*'мат тепло'!$F$39</f>
        <v>50.988333873211246</v>
      </c>
      <c r="J141" s="402">
        <f t="shared" si="11"/>
        <v>0.23175616447955302</v>
      </c>
    </row>
    <row r="142" spans="1:10" s="380" customFormat="1" ht="10.5" x14ac:dyDescent="0.2">
      <c r="A142" s="381">
        <v>140</v>
      </c>
      <c r="B142" s="382" t="s">
        <v>470</v>
      </c>
      <c r="C142" s="384">
        <v>2522.5</v>
      </c>
      <c r="D142" s="383">
        <v>378</v>
      </c>
      <c r="E142" s="402">
        <f t="shared" si="8"/>
        <v>1.8006516644118824E-2</v>
      </c>
      <c r="F142" s="402">
        <f t="shared" si="9"/>
        <v>173.90360654332045</v>
      </c>
      <c r="G142" s="402">
        <f t="shared" si="10"/>
        <v>38.2587934395305</v>
      </c>
      <c r="H142" s="402">
        <f>F142*'92'!$C$20/100</f>
        <v>34.587142395272153</v>
      </c>
      <c r="I142" s="402">
        <f>E142*'мат тепло'!$F$39</f>
        <v>32.122650340123094</v>
      </c>
      <c r="J142" s="402">
        <f t="shared" si="11"/>
        <v>0.11055389205876956</v>
      </c>
    </row>
    <row r="143" spans="1:10" s="380" customFormat="1" ht="10.5" x14ac:dyDescent="0.2">
      <c r="A143" s="381">
        <v>141</v>
      </c>
      <c r="B143" s="382" t="s">
        <v>471</v>
      </c>
      <c r="C143" s="384">
        <v>3459.82</v>
      </c>
      <c r="D143" s="383">
        <v>1045</v>
      </c>
      <c r="E143" s="402">
        <f t="shared" si="8"/>
        <v>4.977992035212743E-2</v>
      </c>
      <c r="F143" s="402">
        <f t="shared" si="9"/>
        <v>480.76526147558161</v>
      </c>
      <c r="G143" s="402">
        <f t="shared" si="10"/>
        <v>105.76835752462796</v>
      </c>
      <c r="H143" s="402">
        <f>F143*'92'!$C$20/100</f>
        <v>95.617893658887297</v>
      </c>
      <c r="I143" s="402">
        <f>E143*'мат тепло'!$F$39</f>
        <v>88.804681495842928</v>
      </c>
      <c r="J143" s="402">
        <f t="shared" si="11"/>
        <v>0.22283130167319101</v>
      </c>
    </row>
    <row r="144" spans="1:10" s="380" customFormat="1" ht="10.5" x14ac:dyDescent="0.2">
      <c r="A144" s="381">
        <v>142</v>
      </c>
      <c r="B144" s="382" t="s">
        <v>472</v>
      </c>
      <c r="C144" s="384">
        <v>1752.03</v>
      </c>
      <c r="D144" s="383">
        <v>540</v>
      </c>
      <c r="E144" s="402">
        <f t="shared" si="8"/>
        <v>2.5723595205884034E-2</v>
      </c>
      <c r="F144" s="402">
        <f t="shared" si="9"/>
        <v>248.43372363331491</v>
      </c>
      <c r="G144" s="402">
        <f t="shared" si="10"/>
        <v>54.65541919932928</v>
      </c>
      <c r="H144" s="402">
        <f>F144*'92'!$C$20/100</f>
        <v>49.410203421817357</v>
      </c>
      <c r="I144" s="402">
        <f>E144*'мат тепло'!$F$39</f>
        <v>45.889500485890125</v>
      </c>
      <c r="J144" s="402">
        <f t="shared" si="11"/>
        <v>0.22738700064516687</v>
      </c>
    </row>
    <row r="145" spans="1:10" s="380" customFormat="1" ht="10.5" x14ac:dyDescent="0.2">
      <c r="A145" s="381">
        <v>143</v>
      </c>
      <c r="B145" s="382" t="s">
        <v>473</v>
      </c>
      <c r="C145" s="384">
        <v>4953.7</v>
      </c>
      <c r="D145" s="383">
        <v>1812</v>
      </c>
      <c r="E145" s="402">
        <f t="shared" si="8"/>
        <v>8.6316952801966426E-2</v>
      </c>
      <c r="F145" s="402">
        <f t="shared" si="9"/>
        <v>833.63316152512346</v>
      </c>
      <c r="G145" s="402">
        <f t="shared" si="10"/>
        <v>183.39929553552716</v>
      </c>
      <c r="H145" s="402">
        <f>F145*'92'!$C$20/100</f>
        <v>165.79868259320938</v>
      </c>
      <c r="I145" s="402">
        <f>E145*'мат тепло'!$F$39</f>
        <v>153.98476829709799</v>
      </c>
      <c r="J145" s="402">
        <f t="shared" si="11"/>
        <v>0.26986210467952398</v>
      </c>
    </row>
    <row r="146" spans="1:10" s="380" customFormat="1" ht="10.5" x14ac:dyDescent="0.2">
      <c r="A146" s="381">
        <v>144</v>
      </c>
      <c r="B146" s="382" t="s">
        <v>474</v>
      </c>
      <c r="C146" s="384">
        <v>1706.17</v>
      </c>
      <c r="D146" s="383">
        <v>570</v>
      </c>
      <c r="E146" s="402">
        <f t="shared" si="8"/>
        <v>2.7152683828433145E-2</v>
      </c>
      <c r="F146" s="402">
        <f t="shared" si="9"/>
        <v>262.23559716849905</v>
      </c>
      <c r="G146" s="402">
        <f t="shared" si="10"/>
        <v>57.691831377069796</v>
      </c>
      <c r="H146" s="402">
        <f>F146*'92'!$C$20/100</f>
        <v>52.155214723029431</v>
      </c>
      <c r="I146" s="402">
        <f>E146*'мат тепло'!$F$39</f>
        <v>48.438917179550685</v>
      </c>
      <c r="J146" s="402">
        <f t="shared" si="11"/>
        <v>0.24647107876011706</v>
      </c>
    </row>
    <row r="147" spans="1:10" s="380" customFormat="1" ht="10.5" x14ac:dyDescent="0.2">
      <c r="A147" s="381">
        <v>145</v>
      </c>
      <c r="B147" s="382" t="s">
        <v>475</v>
      </c>
      <c r="C147" s="384">
        <v>1135.3399999999999</v>
      </c>
      <c r="D147" s="383">
        <v>550</v>
      </c>
      <c r="E147" s="402">
        <f t="shared" si="8"/>
        <v>2.619995808006707E-2</v>
      </c>
      <c r="F147" s="402">
        <f t="shared" si="9"/>
        <v>253.03434814504297</v>
      </c>
      <c r="G147" s="402">
        <f t="shared" si="10"/>
        <v>55.667556591909452</v>
      </c>
      <c r="H147" s="402">
        <f>F147*'92'!$C$20/100</f>
        <v>50.325207188888051</v>
      </c>
      <c r="I147" s="402">
        <f>E147*'мат тепло'!$F$39</f>
        <v>46.739306050443645</v>
      </c>
      <c r="J147" s="402">
        <f t="shared" si="11"/>
        <v>0.35739639048768135</v>
      </c>
    </row>
    <row r="148" spans="1:10" s="380" customFormat="1" ht="10.5" x14ac:dyDescent="0.2">
      <c r="A148" s="381">
        <v>146</v>
      </c>
      <c r="B148" s="382" t="s">
        <v>476</v>
      </c>
      <c r="C148" s="384">
        <v>1716.28</v>
      </c>
      <c r="D148" s="383">
        <v>500</v>
      </c>
      <c r="E148" s="402">
        <f t="shared" si="8"/>
        <v>2.3818143709151883E-2</v>
      </c>
      <c r="F148" s="402">
        <f t="shared" si="9"/>
        <v>230.03122558640271</v>
      </c>
      <c r="G148" s="402">
        <f t="shared" si="10"/>
        <v>50.6068696290086</v>
      </c>
      <c r="H148" s="402">
        <f>F148*'92'!$C$20/100</f>
        <v>45.750188353534597</v>
      </c>
      <c r="I148" s="402">
        <f>E148*'мат тепло'!$F$39</f>
        <v>42.490278227676043</v>
      </c>
      <c r="J148" s="402">
        <f t="shared" si="11"/>
        <v>0.21492912683048335</v>
      </c>
    </row>
    <row r="149" spans="1:10" s="380" customFormat="1" ht="10.5" x14ac:dyDescent="0.2">
      <c r="A149" s="381">
        <v>147</v>
      </c>
      <c r="B149" s="382" t="s">
        <v>477</v>
      </c>
      <c r="C149" s="384">
        <v>2696.17</v>
      </c>
      <c r="D149" s="383">
        <v>1024</v>
      </c>
      <c r="E149" s="402">
        <f t="shared" si="8"/>
        <v>4.8779558316343057E-2</v>
      </c>
      <c r="F149" s="402">
        <f t="shared" si="9"/>
        <v>471.10395000095275</v>
      </c>
      <c r="G149" s="402">
        <f t="shared" si="10"/>
        <v>103.64286900020961</v>
      </c>
      <c r="H149" s="402">
        <f>F149*'92'!$C$20/100</f>
        <v>93.69638574803885</v>
      </c>
      <c r="I149" s="402">
        <f>E149*'мат тепло'!$F$39</f>
        <v>87.020089810280538</v>
      </c>
      <c r="J149" s="402">
        <f t="shared" si="11"/>
        <v>0.28019868723392138</v>
      </c>
    </row>
    <row r="150" spans="1:10" s="380" customFormat="1" ht="10.5" x14ac:dyDescent="0.2">
      <c r="A150" s="381">
        <v>148</v>
      </c>
      <c r="B150" s="382" t="s">
        <v>478</v>
      </c>
      <c r="C150" s="384">
        <v>1747.74</v>
      </c>
      <c r="D150" s="383">
        <v>538</v>
      </c>
      <c r="E150" s="402">
        <f t="shared" si="8"/>
        <v>2.5628322631047425E-2</v>
      </c>
      <c r="F150" s="402">
        <f t="shared" si="9"/>
        <v>247.51359873096931</v>
      </c>
      <c r="G150" s="402">
        <f t="shared" si="10"/>
        <v>54.452991720813245</v>
      </c>
      <c r="H150" s="402">
        <f>F150*'92'!$C$20/100</f>
        <v>49.227202668403223</v>
      </c>
      <c r="I150" s="402">
        <f>E150*'мат тепло'!$F$39</f>
        <v>45.719539372979419</v>
      </c>
      <c r="J150" s="402">
        <f t="shared" si="11"/>
        <v>0.2271009031624642</v>
      </c>
    </row>
    <row r="151" spans="1:10" s="380" customFormat="1" ht="10.5" x14ac:dyDescent="0.2">
      <c r="A151" s="381">
        <v>149</v>
      </c>
      <c r="B151" s="382" t="s">
        <v>479</v>
      </c>
      <c r="C151" s="384">
        <v>1129.0999999999999</v>
      </c>
      <c r="D151" s="383">
        <v>311</v>
      </c>
      <c r="E151" s="402">
        <f t="shared" si="8"/>
        <v>1.4814885387092471E-2</v>
      </c>
      <c r="F151" s="402">
        <f t="shared" si="9"/>
        <v>143.07942231474249</v>
      </c>
      <c r="G151" s="402">
        <f t="shared" si="10"/>
        <v>31.477472909243346</v>
      </c>
      <c r="H151" s="402">
        <f>F151*'92'!$C$20/100</f>
        <v>28.456617155898517</v>
      </c>
      <c r="I151" s="402">
        <f>E151*'мат тепло'!$F$39</f>
        <v>26.4289530576145</v>
      </c>
      <c r="J151" s="402">
        <f t="shared" si="11"/>
        <v>0.20320827689088555</v>
      </c>
    </row>
    <row r="152" spans="1:10" s="380" customFormat="1" ht="10.5" x14ac:dyDescent="0.2">
      <c r="A152" s="381">
        <v>150</v>
      </c>
      <c r="B152" s="382" t="s">
        <v>480</v>
      </c>
      <c r="C152" s="384">
        <v>1724</v>
      </c>
      <c r="D152" s="383">
        <v>666</v>
      </c>
      <c r="E152" s="402">
        <f t="shared" si="8"/>
        <v>3.1725767420590308E-2</v>
      </c>
      <c r="F152" s="402">
        <f t="shared" si="9"/>
        <v>306.40159248108841</v>
      </c>
      <c r="G152" s="402">
        <f t="shared" si="10"/>
        <v>67.408350345839452</v>
      </c>
      <c r="H152" s="402">
        <f>F152*'92'!$C$20/100</f>
        <v>60.939250886908077</v>
      </c>
      <c r="I152" s="402">
        <f>E152*'мат тепло'!$F$39</f>
        <v>56.597050599264492</v>
      </c>
      <c r="J152" s="402">
        <f t="shared" si="11"/>
        <v>0.28500362199135759</v>
      </c>
    </row>
    <row r="153" spans="1:10" s="380" customFormat="1" ht="10.5" x14ac:dyDescent="0.2">
      <c r="A153" s="381">
        <v>151</v>
      </c>
      <c r="B153" s="382" t="s">
        <v>481</v>
      </c>
      <c r="C153" s="384">
        <v>1775.1</v>
      </c>
      <c r="D153" s="383">
        <v>664</v>
      </c>
      <c r="E153" s="402">
        <f t="shared" si="8"/>
        <v>3.1630494845753698E-2</v>
      </c>
      <c r="F153" s="402">
        <f t="shared" si="9"/>
        <v>305.48146757874275</v>
      </c>
      <c r="G153" s="402">
        <f t="shared" si="10"/>
        <v>67.205922867323409</v>
      </c>
      <c r="H153" s="402">
        <f>F153*'92'!$C$20/100</f>
        <v>60.756250133493928</v>
      </c>
      <c r="I153" s="402">
        <f>E153*'мат тепло'!$F$39</f>
        <v>56.427089486353779</v>
      </c>
      <c r="J153" s="402">
        <f t="shared" si="11"/>
        <v>0.2759679624054498</v>
      </c>
    </row>
    <row r="154" spans="1:10" s="380" customFormat="1" ht="10.5" x14ac:dyDescent="0.2">
      <c r="A154" s="381">
        <v>152</v>
      </c>
      <c r="B154" s="382" t="s">
        <v>482</v>
      </c>
      <c r="C154" s="384">
        <v>3140.4</v>
      </c>
      <c r="D154" s="383">
        <v>1359</v>
      </c>
      <c r="E154" s="402">
        <f t="shared" si="8"/>
        <v>6.4737714601474816E-2</v>
      </c>
      <c r="F154" s="402">
        <f t="shared" si="9"/>
        <v>625.22487114384251</v>
      </c>
      <c r="G154" s="402">
        <f t="shared" si="10"/>
        <v>137.54947165164535</v>
      </c>
      <c r="H154" s="402">
        <f>F154*'92'!$C$20/100</f>
        <v>124.34901194490702</v>
      </c>
      <c r="I154" s="402">
        <f>E154*'мат тепло'!$F$39</f>
        <v>115.48857622282348</v>
      </c>
      <c r="J154" s="402">
        <f t="shared" si="11"/>
        <v>0.319262492345949</v>
      </c>
    </row>
    <row r="155" spans="1:10" s="380" customFormat="1" ht="10.5" x14ac:dyDescent="0.2">
      <c r="A155" s="381">
        <v>153</v>
      </c>
      <c r="B155" s="382" t="s">
        <v>483</v>
      </c>
      <c r="C155" s="384">
        <v>6074.77</v>
      </c>
      <c r="D155" s="383">
        <v>1530</v>
      </c>
      <c r="E155" s="402">
        <f t="shared" si="8"/>
        <v>7.288351975000476E-2</v>
      </c>
      <c r="F155" s="402">
        <f t="shared" si="9"/>
        <v>703.89555029439225</v>
      </c>
      <c r="G155" s="402">
        <f t="shared" si="10"/>
        <v>154.85702106476631</v>
      </c>
      <c r="H155" s="402">
        <f>F155*'92'!$C$20/100</f>
        <v>139.99557636181584</v>
      </c>
      <c r="I155" s="402">
        <f>E155*'мат тепло'!$F$39</f>
        <v>130.02025137668869</v>
      </c>
      <c r="J155" s="402">
        <f t="shared" si="11"/>
        <v>0.18581253267163417</v>
      </c>
    </row>
    <row r="156" spans="1:10" s="380" customFormat="1" ht="10.5" x14ac:dyDescent="0.2">
      <c r="A156" s="381">
        <v>154</v>
      </c>
      <c r="B156" s="382" t="s">
        <v>484</v>
      </c>
      <c r="C156" s="384">
        <v>1960.16</v>
      </c>
      <c r="D156" s="383">
        <v>310</v>
      </c>
      <c r="E156" s="402">
        <f t="shared" si="8"/>
        <v>1.4767249099674166E-2</v>
      </c>
      <c r="F156" s="402">
        <f t="shared" si="9"/>
        <v>142.61935986356966</v>
      </c>
      <c r="G156" s="402">
        <f t="shared" si="10"/>
        <v>31.376259169985325</v>
      </c>
      <c r="H156" s="402">
        <f>F156*'92'!$C$20/100</f>
        <v>28.365116779191442</v>
      </c>
      <c r="I156" s="402">
        <f>E156*'мат тепло'!$F$39</f>
        <v>26.343972501159143</v>
      </c>
      <c r="J156" s="402">
        <f t="shared" si="11"/>
        <v>0.11667655105394743</v>
      </c>
    </row>
    <row r="157" spans="1:10" s="380" customFormat="1" ht="10.5" x14ac:dyDescent="0.2">
      <c r="A157" s="381">
        <v>155</v>
      </c>
      <c r="B157" s="382" t="s">
        <v>485</v>
      </c>
      <c r="C157" s="384">
        <v>5972.33</v>
      </c>
      <c r="D157" s="383">
        <v>570</v>
      </c>
      <c r="E157" s="402">
        <f t="shared" si="8"/>
        <v>2.7152683828433145E-2</v>
      </c>
      <c r="F157" s="402">
        <f t="shared" si="9"/>
        <v>262.23559716849905</v>
      </c>
      <c r="G157" s="402">
        <f t="shared" si="10"/>
        <v>57.691831377069796</v>
      </c>
      <c r="H157" s="402">
        <f>F157*'92'!$C$20/100</f>
        <v>52.155214723029431</v>
      </c>
      <c r="I157" s="402">
        <f>E157*'мат тепло'!$F$39</f>
        <v>48.438917179550685</v>
      </c>
      <c r="J157" s="402">
        <f t="shared" si="11"/>
        <v>7.0411641762620103E-2</v>
      </c>
    </row>
    <row r="158" spans="1:10" s="380" customFormat="1" ht="10.5" x14ac:dyDescent="0.2">
      <c r="A158" s="381">
        <v>156</v>
      </c>
      <c r="B158" s="382" t="s">
        <v>486</v>
      </c>
      <c r="C158" s="384">
        <v>2589.9</v>
      </c>
      <c r="D158" s="383">
        <v>310</v>
      </c>
      <c r="E158" s="402">
        <f t="shared" si="8"/>
        <v>1.4767249099674166E-2</v>
      </c>
      <c r="F158" s="402">
        <f t="shared" si="9"/>
        <v>142.61935986356966</v>
      </c>
      <c r="G158" s="402">
        <f t="shared" si="10"/>
        <v>31.376259169985325</v>
      </c>
      <c r="H158" s="402">
        <f>F158*'92'!$C$20/100</f>
        <v>28.365116779191442</v>
      </c>
      <c r="I158" s="402">
        <f>E158*'мат тепло'!$F$39</f>
        <v>26.343972501159143</v>
      </c>
      <c r="J158" s="402">
        <f t="shared" si="11"/>
        <v>8.8306385695936365E-2</v>
      </c>
    </row>
    <row r="159" spans="1:10" s="380" customFormat="1" ht="10.5" x14ac:dyDescent="0.2">
      <c r="A159" s="381">
        <v>157</v>
      </c>
      <c r="B159" s="382" t="s">
        <v>487</v>
      </c>
      <c r="C159" s="384">
        <v>3904.03</v>
      </c>
      <c r="D159" s="383">
        <v>1336</v>
      </c>
      <c r="E159" s="402">
        <f t="shared" si="8"/>
        <v>6.3642079990853834E-2</v>
      </c>
      <c r="F159" s="402">
        <f t="shared" si="9"/>
        <v>614.64343476686804</v>
      </c>
      <c r="G159" s="402">
        <f t="shared" si="10"/>
        <v>135.22155564871096</v>
      </c>
      <c r="H159" s="402">
        <f>F159*'92'!$C$20/100</f>
        <v>122.24450328064444</v>
      </c>
      <c r="I159" s="402">
        <f>E159*'мат тепло'!$F$39</f>
        <v>113.53402342435039</v>
      </c>
      <c r="J159" s="402">
        <f t="shared" si="11"/>
        <v>0.25246822312343237</v>
      </c>
    </row>
    <row r="160" spans="1:10" s="380" customFormat="1" ht="10.5" x14ac:dyDescent="0.2">
      <c r="A160" s="381">
        <v>158</v>
      </c>
      <c r="B160" s="382" t="s">
        <v>488</v>
      </c>
      <c r="C160" s="384">
        <v>3894.85</v>
      </c>
      <c r="D160" s="383">
        <v>1200</v>
      </c>
      <c r="E160" s="402">
        <f t="shared" si="8"/>
        <v>5.7163544901964514E-2</v>
      </c>
      <c r="F160" s="402">
        <f t="shared" si="9"/>
        <v>552.0749414073664</v>
      </c>
      <c r="G160" s="402">
        <f t="shared" si="10"/>
        <v>121.45648710962061</v>
      </c>
      <c r="H160" s="402">
        <f>F160*'92'!$C$20/100</f>
        <v>109.80045204848301</v>
      </c>
      <c r="I160" s="402">
        <f>E160*'мат тепло'!$F$39</f>
        <v>101.97666774642249</v>
      </c>
      <c r="J160" s="402">
        <f t="shared" si="11"/>
        <v>0.22730234753890202</v>
      </c>
    </row>
    <row r="161" spans="1:23" s="443" customFormat="1" ht="10.5" x14ac:dyDescent="0.2">
      <c r="A161" s="385">
        <v>159</v>
      </c>
      <c r="B161" s="427" t="s">
        <v>22</v>
      </c>
      <c r="C161" s="387">
        <f>SUM(C3:C160)</f>
        <v>264830.12</v>
      </c>
      <c r="D161" s="429">
        <f>SUM(D3:D160)</f>
        <v>104962</v>
      </c>
      <c r="E161" s="405">
        <f>'мат тепло'!D3</f>
        <v>5</v>
      </c>
      <c r="F161" s="405">
        <f>E161*ЗП!M52</f>
        <v>48289.075000000004</v>
      </c>
      <c r="G161" s="405">
        <f>F161*22/100</f>
        <v>10623.596500000001</v>
      </c>
      <c r="H161" s="405">
        <f>F161*'92'!$C$20/100</f>
        <v>9604.0625399273958</v>
      </c>
      <c r="I161" s="405">
        <f>'мат тепло'!F38/12</f>
        <v>8919.7291666666661</v>
      </c>
      <c r="J161" s="405">
        <f t="shared" si="11"/>
        <v>0.29240051398456518</v>
      </c>
    </row>
    <row r="162" spans="1:23" s="380" customFormat="1" ht="10.5" x14ac:dyDescent="0.2">
      <c r="A162" s="430"/>
      <c r="B162" s="431"/>
      <c r="C162" s="432"/>
      <c r="D162" s="470"/>
      <c r="E162" s="406"/>
      <c r="F162" s="406"/>
      <c r="G162" s="406"/>
      <c r="H162" s="452"/>
      <c r="I162" s="452"/>
      <c r="J162" s="406"/>
    </row>
    <row r="163" spans="1:23" s="380" customFormat="1" ht="10.5" x14ac:dyDescent="0.2">
      <c r="A163" s="430"/>
      <c r="B163" s="431"/>
      <c r="C163" s="432"/>
      <c r="D163" s="470"/>
      <c r="E163" s="406">
        <f>D161/E161</f>
        <v>20992.400000000001</v>
      </c>
      <c r="F163" s="406">
        <f>F161/E161</f>
        <v>9657.8150000000005</v>
      </c>
      <c r="G163" s="406"/>
      <c r="H163" s="452"/>
      <c r="I163" s="406"/>
      <c r="J163" s="406"/>
    </row>
    <row r="164" spans="1:23" s="380" customFormat="1" ht="10.5" x14ac:dyDescent="0.2">
      <c r="A164" s="430"/>
      <c r="B164" s="431"/>
      <c r="C164" s="432"/>
      <c r="D164" s="470"/>
      <c r="E164" s="406"/>
      <c r="F164" s="406"/>
      <c r="G164" s="406"/>
      <c r="H164" s="452"/>
      <c r="I164" s="452"/>
      <c r="J164" s="406"/>
    </row>
    <row r="166" spans="1:23" s="370" customFormat="1" ht="15.75" customHeight="1" x14ac:dyDescent="0.2">
      <c r="A166" s="422"/>
      <c r="B166" s="364" t="s">
        <v>234</v>
      </c>
      <c r="C166" s="421"/>
      <c r="D166" s="458"/>
      <c r="E166" s="511" t="s">
        <v>648</v>
      </c>
      <c r="F166" s="511"/>
      <c r="G166" s="366"/>
      <c r="H166" s="503"/>
      <c r="I166" s="503"/>
      <c r="J166" s="503"/>
      <c r="K166" s="503"/>
      <c r="L166" s="503"/>
      <c r="M166" s="421"/>
      <c r="N166" s="368"/>
      <c r="O166" s="368"/>
      <c r="P166" s="369"/>
      <c r="Q166" s="369"/>
      <c r="R166" s="369"/>
      <c r="S166" s="369"/>
      <c r="T166" s="369"/>
      <c r="U166" s="368"/>
      <c r="V166" s="368"/>
      <c r="W166" s="369"/>
    </row>
  </sheetData>
  <mergeCells count="3">
    <mergeCell ref="A1:J1"/>
    <mergeCell ref="E166:F166"/>
    <mergeCell ref="H166:L166"/>
  </mergeCells>
  <phoneticPr fontId="2" type="noConversion"/>
  <pageMargins left="0.78740157480314965" right="0.15748031496062992" top="0.15748031496062992" bottom="0.19685039370078741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F23" sqref="F23"/>
    </sheetView>
  </sheetViews>
  <sheetFormatPr defaultRowHeight="12.75" x14ac:dyDescent="0.2"/>
  <cols>
    <col min="1" max="1" width="5.85546875" style="62" customWidth="1"/>
    <col min="2" max="2" width="35.5703125" style="32" customWidth="1"/>
    <col min="3" max="3" width="9.140625" style="31"/>
    <col min="4" max="4" width="9.42578125" style="35" bestFit="1" customWidth="1"/>
    <col min="5" max="5" width="9.140625" style="31"/>
    <col min="6" max="6" width="9.140625" style="35"/>
  </cols>
  <sheetData>
    <row r="1" spans="1:6" ht="42.75" customHeight="1" x14ac:dyDescent="0.2">
      <c r="A1" s="505" t="s">
        <v>620</v>
      </c>
      <c r="B1" s="505"/>
      <c r="C1" s="505"/>
      <c r="D1" s="505"/>
      <c r="E1" s="505"/>
      <c r="F1" s="505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37" t="s">
        <v>96</v>
      </c>
      <c r="F2" s="36" t="s">
        <v>97</v>
      </c>
    </row>
    <row r="3" spans="1:6" ht="25.5" x14ac:dyDescent="0.2">
      <c r="A3" s="67" t="s">
        <v>99</v>
      </c>
      <c r="B3" s="60" t="s">
        <v>279</v>
      </c>
      <c r="C3" s="37" t="s">
        <v>110</v>
      </c>
      <c r="D3" s="36">
        <f>F6</f>
        <v>2.000572013487476</v>
      </c>
      <c r="E3" s="37"/>
      <c r="F3" s="36"/>
    </row>
    <row r="4" spans="1:6" x14ac:dyDescent="0.2">
      <c r="A4" s="67" t="s">
        <v>100</v>
      </c>
      <c r="B4" s="60" t="s">
        <v>280</v>
      </c>
      <c r="C4" s="37" t="s">
        <v>110</v>
      </c>
      <c r="D4" s="36">
        <v>5</v>
      </c>
      <c r="E4" s="37"/>
      <c r="F4" s="36"/>
    </row>
    <row r="5" spans="1:6" x14ac:dyDescent="0.2">
      <c r="A5" s="67" t="s">
        <v>219</v>
      </c>
      <c r="B5" s="61" t="s">
        <v>306</v>
      </c>
      <c r="C5" s="37" t="s">
        <v>307</v>
      </c>
      <c r="D5" s="36">
        <f>'ПР елект'!D161</f>
        <v>6041</v>
      </c>
      <c r="E5" s="59"/>
      <c r="F5" s="36"/>
    </row>
    <row r="6" spans="1:6" ht="25.5" x14ac:dyDescent="0.2">
      <c r="A6" s="67" t="s">
        <v>281</v>
      </c>
      <c r="B6" s="60" t="s">
        <v>308</v>
      </c>
      <c r="C6" s="37" t="s">
        <v>101</v>
      </c>
      <c r="D6" s="36">
        <v>5.5</v>
      </c>
      <c r="E6" s="59"/>
      <c r="F6" s="36">
        <f>(D5*D6/D7)/100</f>
        <v>2.000572013487476</v>
      </c>
    </row>
    <row r="7" spans="1:6" x14ac:dyDescent="0.2">
      <c r="A7" s="67" t="s">
        <v>297</v>
      </c>
      <c r="B7" s="50" t="s">
        <v>298</v>
      </c>
      <c r="C7" s="37" t="s">
        <v>107</v>
      </c>
      <c r="D7" s="36">
        <v>166.08</v>
      </c>
      <c r="E7" s="59"/>
      <c r="F7" s="78"/>
    </row>
    <row r="8" spans="1:6" x14ac:dyDescent="0.2">
      <c r="A8" s="67" t="s">
        <v>309</v>
      </c>
      <c r="B8" s="61" t="s">
        <v>220</v>
      </c>
      <c r="C8" s="37" t="s">
        <v>17</v>
      </c>
      <c r="D8" s="36">
        <v>10</v>
      </c>
      <c r="E8" s="59"/>
      <c r="F8" s="36"/>
    </row>
    <row r="9" spans="1:6" x14ac:dyDescent="0.2">
      <c r="A9" s="68" t="s">
        <v>3</v>
      </c>
      <c r="B9" s="63" t="s">
        <v>134</v>
      </c>
      <c r="C9" s="37" t="s">
        <v>103</v>
      </c>
      <c r="D9" s="36"/>
      <c r="E9" s="37"/>
      <c r="F9" s="64">
        <f>SUM(F10:F13)</f>
        <v>2858.3895411849712</v>
      </c>
    </row>
    <row r="10" spans="1:6" x14ac:dyDescent="0.2">
      <c r="A10" s="67" t="s">
        <v>171</v>
      </c>
      <c r="B10" s="482" t="s">
        <v>630</v>
      </c>
      <c r="C10" s="66" t="s">
        <v>120</v>
      </c>
      <c r="D10" s="93">
        <f>$D$3</f>
        <v>2.000572013487476</v>
      </c>
      <c r="E10" s="483">
        <v>468</v>
      </c>
      <c r="F10" s="36">
        <f>D10*E10</f>
        <v>936.26770231213879</v>
      </c>
    </row>
    <row r="11" spans="1:6" x14ac:dyDescent="0.2">
      <c r="A11" s="67" t="s">
        <v>172</v>
      </c>
      <c r="B11" s="486" t="s">
        <v>135</v>
      </c>
      <c r="C11" s="66" t="s">
        <v>120</v>
      </c>
      <c r="D11" s="93">
        <f>$D$3*4</f>
        <v>8.0022880539499042</v>
      </c>
      <c r="E11" s="37">
        <v>17</v>
      </c>
      <c r="F11" s="36">
        <f>D11*E11</f>
        <v>136.03889691714838</v>
      </c>
    </row>
    <row r="12" spans="1:6" x14ac:dyDescent="0.2">
      <c r="A12" s="67" t="s">
        <v>173</v>
      </c>
      <c r="B12" s="65" t="s">
        <v>179</v>
      </c>
      <c r="C12" s="66" t="s">
        <v>120</v>
      </c>
      <c r="D12" s="75">
        <f>D3</f>
        <v>2.000572013487476</v>
      </c>
      <c r="E12" s="37">
        <v>145</v>
      </c>
      <c r="F12" s="36">
        <f>D12*E12</f>
        <v>290.08294195568402</v>
      </c>
    </row>
    <row r="13" spans="1:6" x14ac:dyDescent="0.2">
      <c r="A13" s="67" t="s">
        <v>174</v>
      </c>
      <c r="B13" s="65" t="s">
        <v>638</v>
      </c>
      <c r="C13" s="66" t="s">
        <v>120</v>
      </c>
      <c r="D13" s="75">
        <v>2</v>
      </c>
      <c r="E13" s="37">
        <v>748</v>
      </c>
      <c r="F13" s="36">
        <f>D13*E13</f>
        <v>1496</v>
      </c>
    </row>
    <row r="14" spans="1:6" x14ac:dyDescent="0.2">
      <c r="A14" s="68" t="s">
        <v>4</v>
      </c>
      <c r="B14" s="63" t="s">
        <v>118</v>
      </c>
      <c r="C14" s="37" t="s">
        <v>103</v>
      </c>
      <c r="D14" s="36"/>
      <c r="E14" s="37"/>
      <c r="F14" s="64">
        <f>SUM(F15:F22)</f>
        <v>5552.1558342365124</v>
      </c>
    </row>
    <row r="15" spans="1:6" x14ac:dyDescent="0.2">
      <c r="A15" s="67" t="s">
        <v>104</v>
      </c>
      <c r="B15" s="50" t="s">
        <v>142</v>
      </c>
      <c r="C15" s="37" t="s">
        <v>120</v>
      </c>
      <c r="D15" s="36">
        <f>D3</f>
        <v>2.000572013487476</v>
      </c>
      <c r="E15" s="37">
        <v>248</v>
      </c>
      <c r="F15" s="36">
        <f t="shared" ref="F15:F22" si="0">D15*E15</f>
        <v>496.14185934489404</v>
      </c>
    </row>
    <row r="16" spans="1:6" x14ac:dyDescent="0.2">
      <c r="A16" s="67" t="s">
        <v>106</v>
      </c>
      <c r="B16" s="50" t="s">
        <v>143</v>
      </c>
      <c r="C16" s="37" t="s">
        <v>120</v>
      </c>
      <c r="D16" s="36">
        <f>D3</f>
        <v>2.000572013487476</v>
      </c>
      <c r="E16" s="37">
        <v>166.66</v>
      </c>
      <c r="F16" s="36">
        <f t="shared" si="0"/>
        <v>333.41533176782275</v>
      </c>
    </row>
    <row r="17" spans="1:23" x14ac:dyDescent="0.2">
      <c r="A17" s="67" t="s">
        <v>108</v>
      </c>
      <c r="B17" s="50" t="s">
        <v>144</v>
      </c>
      <c r="C17" s="37" t="s">
        <v>120</v>
      </c>
      <c r="D17" s="36">
        <f>D3</f>
        <v>2.000572013487476</v>
      </c>
      <c r="E17" s="37">
        <v>272.8</v>
      </c>
      <c r="F17" s="36">
        <f t="shared" si="0"/>
        <v>545.75604527938344</v>
      </c>
    </row>
    <row r="18" spans="1:23" x14ac:dyDescent="0.2">
      <c r="A18" s="67" t="s">
        <v>180</v>
      </c>
      <c r="B18" s="50" t="s">
        <v>145</v>
      </c>
      <c r="C18" s="37" t="s">
        <v>120</v>
      </c>
      <c r="D18" s="36">
        <f>D3</f>
        <v>2.000572013487476</v>
      </c>
      <c r="E18" s="37">
        <v>480</v>
      </c>
      <c r="F18" s="36">
        <f t="shared" si="0"/>
        <v>960.27456647398844</v>
      </c>
    </row>
    <row r="19" spans="1:23" x14ac:dyDescent="0.2">
      <c r="A19" s="67" t="s">
        <v>181</v>
      </c>
      <c r="B19" s="50" t="s">
        <v>146</v>
      </c>
      <c r="C19" s="37" t="s">
        <v>120</v>
      </c>
      <c r="D19" s="36">
        <f>D3</f>
        <v>2.000572013487476</v>
      </c>
      <c r="E19" s="37">
        <v>350.95</v>
      </c>
      <c r="F19" s="36">
        <f t="shared" si="0"/>
        <v>702.10074813342965</v>
      </c>
    </row>
    <row r="20" spans="1:23" x14ac:dyDescent="0.2">
      <c r="A20" s="67" t="s">
        <v>182</v>
      </c>
      <c r="B20" s="50" t="s">
        <v>147</v>
      </c>
      <c r="C20" s="37" t="s">
        <v>120</v>
      </c>
      <c r="D20" s="36">
        <f>D3</f>
        <v>2.000572013487476</v>
      </c>
      <c r="E20" s="37">
        <v>240</v>
      </c>
      <c r="F20" s="36">
        <f t="shared" si="0"/>
        <v>480.13728323699422</v>
      </c>
    </row>
    <row r="21" spans="1:23" x14ac:dyDescent="0.2">
      <c r="A21" s="67" t="s">
        <v>183</v>
      </c>
      <c r="B21" s="50" t="s">
        <v>310</v>
      </c>
      <c r="C21" s="37" t="s">
        <v>120</v>
      </c>
      <c r="D21" s="36">
        <v>1</v>
      </c>
      <c r="E21" s="37">
        <v>1814.33</v>
      </c>
      <c r="F21" s="36">
        <f t="shared" si="0"/>
        <v>1814.33</v>
      </c>
    </row>
    <row r="22" spans="1:23" x14ac:dyDescent="0.2">
      <c r="A22" s="67" t="s">
        <v>184</v>
      </c>
      <c r="B22" s="50" t="s">
        <v>311</v>
      </c>
      <c r="C22" s="37" t="s">
        <v>120</v>
      </c>
      <c r="D22" s="36">
        <v>1</v>
      </c>
      <c r="E22" s="37">
        <v>220</v>
      </c>
      <c r="F22" s="36">
        <f t="shared" si="0"/>
        <v>220</v>
      </c>
    </row>
    <row r="23" spans="1:23" x14ac:dyDescent="0.2">
      <c r="A23" s="68" t="s">
        <v>5</v>
      </c>
      <c r="B23" s="63" t="s">
        <v>646</v>
      </c>
      <c r="C23" s="37" t="s">
        <v>103</v>
      </c>
      <c r="D23" s="36"/>
      <c r="E23" s="37"/>
      <c r="F23" s="64">
        <v>44000</v>
      </c>
    </row>
    <row r="24" spans="1:23" x14ac:dyDescent="0.2">
      <c r="A24" s="68" t="s">
        <v>6</v>
      </c>
      <c r="B24" s="63" t="s">
        <v>137</v>
      </c>
      <c r="C24" s="37" t="s">
        <v>103</v>
      </c>
      <c r="D24" s="64"/>
      <c r="E24" s="71"/>
      <c r="F24" s="64">
        <f>F9+F14+F23</f>
        <v>52410.545375421483</v>
      </c>
    </row>
    <row r="25" spans="1:23" x14ac:dyDescent="0.2">
      <c r="A25" s="72"/>
      <c r="B25" s="73" t="s">
        <v>138</v>
      </c>
      <c r="C25" s="69"/>
      <c r="D25" s="74"/>
      <c r="E25" s="69"/>
      <c r="F25" s="74">
        <f>F24/D3/12</f>
        <v>2183.1483288312688</v>
      </c>
    </row>
    <row r="27" spans="1:23" x14ac:dyDescent="0.2">
      <c r="D27" s="236"/>
      <c r="F27" s="236"/>
    </row>
    <row r="28" spans="1:23" x14ac:dyDescent="0.2">
      <c r="D28" s="236"/>
      <c r="F28" s="236"/>
    </row>
    <row r="29" spans="1:23" s="370" customFormat="1" ht="15.75" customHeight="1" x14ac:dyDescent="0.2">
      <c r="A29" s="422"/>
      <c r="B29" s="364" t="s">
        <v>234</v>
      </c>
      <c r="C29" s="421"/>
      <c r="D29" s="421"/>
      <c r="E29" s="511" t="s">
        <v>615</v>
      </c>
      <c r="F29" s="511"/>
      <c r="G29" s="366"/>
      <c r="H29" s="503"/>
      <c r="I29" s="503"/>
      <c r="J29" s="503"/>
      <c r="K29" s="503"/>
      <c r="L29" s="503"/>
      <c r="M29" s="421"/>
      <c r="N29" s="368"/>
      <c r="O29" s="368"/>
      <c r="P29" s="369"/>
      <c r="Q29" s="369"/>
      <c r="R29" s="369"/>
      <c r="S29" s="369"/>
      <c r="T29" s="369"/>
      <c r="U29" s="368"/>
      <c r="V29" s="368"/>
      <c r="W29" s="369"/>
    </row>
  </sheetData>
  <mergeCells count="3">
    <mergeCell ref="A1:F1"/>
    <mergeCell ref="E29:F29"/>
    <mergeCell ref="H29:L29"/>
  </mergeCells>
  <phoneticPr fontId="2" type="noConversion"/>
  <pageMargins left="0.86614173228346458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opLeftCell="A139" zoomScale="120" zoomScaleNormal="120" workbookViewId="0">
      <selection activeCell="F166" sqref="F166:H166"/>
    </sheetView>
  </sheetViews>
  <sheetFormatPr defaultRowHeight="12.75" x14ac:dyDescent="0.2"/>
  <cols>
    <col min="1" max="1" width="4.42578125" style="51" bestFit="1" customWidth="1"/>
    <col min="2" max="2" width="15.7109375" style="52" bestFit="1" customWidth="1"/>
    <col min="3" max="3" width="8.85546875" style="52" customWidth="1"/>
    <col min="4" max="4" width="10.5703125" style="264" customWidth="1"/>
    <col min="5" max="5" width="10.140625" style="54" customWidth="1"/>
    <col min="6" max="6" width="7.5703125" style="54" customWidth="1"/>
    <col min="7" max="7" width="6.85546875" style="54" customWidth="1"/>
    <col min="8" max="8" width="7.5703125" style="55" customWidth="1"/>
    <col min="9" max="9" width="9" style="77" customWidth="1"/>
    <col min="10" max="10" width="9" style="472" customWidth="1"/>
  </cols>
  <sheetData>
    <row r="1" spans="1:10" ht="33" customHeight="1" x14ac:dyDescent="0.2">
      <c r="A1" s="508" t="s">
        <v>621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380" customFormat="1" ht="42" x14ac:dyDescent="0.2">
      <c r="A2" s="375" t="s">
        <v>1</v>
      </c>
      <c r="B2" s="450" t="s">
        <v>0</v>
      </c>
      <c r="C2" s="375" t="s">
        <v>72</v>
      </c>
      <c r="D2" s="426" t="s">
        <v>217</v>
      </c>
      <c r="E2" s="377" t="s">
        <v>85</v>
      </c>
      <c r="F2" s="377" t="s">
        <v>86</v>
      </c>
      <c r="G2" s="377" t="s">
        <v>276</v>
      </c>
      <c r="H2" s="375" t="s">
        <v>75</v>
      </c>
      <c r="I2" s="400" t="s">
        <v>81</v>
      </c>
      <c r="J2" s="402" t="s">
        <v>237</v>
      </c>
    </row>
    <row r="3" spans="1:10" s="380" customFormat="1" ht="10.5" x14ac:dyDescent="0.2">
      <c r="A3" s="381">
        <v>1</v>
      </c>
      <c r="B3" s="382" t="s">
        <v>331</v>
      </c>
      <c r="C3" s="489">
        <v>394.86</v>
      </c>
      <c r="D3" s="451">
        <f>[7]Лист1!F2</f>
        <v>7</v>
      </c>
      <c r="E3" s="377">
        <f t="shared" ref="E3:E34" si="0">D3/$E$163</f>
        <v>2.3181599229287093E-3</v>
      </c>
      <c r="F3" s="377">
        <f t="shared" ref="F3:F34" si="1">E3*$F$163</f>
        <v>21.783605069845862</v>
      </c>
      <c r="G3" s="377">
        <f>F3*22/100</f>
        <v>4.7923931153660897</v>
      </c>
      <c r="H3" s="377">
        <f>F3*'92'!$C$20/100</f>
        <v>4.332472830259829</v>
      </c>
      <c r="I3" s="402">
        <f>E3*'мат елкт'!$F$25</f>
        <v>5.0608869617054344</v>
      </c>
      <c r="J3" s="402">
        <f t="shared" ref="J3:J67" si="2">((F3+G3+H3+I3)/C3)</f>
        <v>9.1093952229086783E-2</v>
      </c>
    </row>
    <row r="4" spans="1:10" s="380" customFormat="1" ht="10.5" x14ac:dyDescent="0.2">
      <c r="A4" s="381">
        <v>2</v>
      </c>
      <c r="B4" s="382" t="s">
        <v>332</v>
      </c>
      <c r="C4" s="490">
        <v>326.89999999999998</v>
      </c>
      <c r="D4" s="451">
        <f>[7]Лист1!F3</f>
        <v>7</v>
      </c>
      <c r="E4" s="377">
        <f t="shared" si="0"/>
        <v>2.3181599229287093E-3</v>
      </c>
      <c r="F4" s="377">
        <f t="shared" si="1"/>
        <v>21.783605069845862</v>
      </c>
      <c r="G4" s="377">
        <f t="shared" ref="G4:G67" si="3">F4*22/100</f>
        <v>4.7923931153660897</v>
      </c>
      <c r="H4" s="377">
        <f>F4*'92'!$C$20/100</f>
        <v>4.332472830259829</v>
      </c>
      <c r="I4" s="402">
        <f>E4*'мат елкт'!$F$25</f>
        <v>5.0608869617054344</v>
      </c>
      <c r="J4" s="402">
        <f>((F4+G4+H4+I4)/C4)*10/100</f>
        <v>1.1003168546092755E-2</v>
      </c>
    </row>
    <row r="5" spans="1:10" s="380" customFormat="1" ht="10.5" x14ac:dyDescent="0.2">
      <c r="A5" s="381">
        <v>3</v>
      </c>
      <c r="B5" s="382" t="s">
        <v>333</v>
      </c>
      <c r="C5" s="490">
        <v>490.6</v>
      </c>
      <c r="D5" s="451">
        <f>[7]Лист1!F4</f>
        <v>14</v>
      </c>
      <c r="E5" s="377">
        <f t="shared" si="0"/>
        <v>4.6363198458574187E-3</v>
      </c>
      <c r="F5" s="377">
        <f t="shared" si="1"/>
        <v>43.567210139691724</v>
      </c>
      <c r="G5" s="377">
        <f t="shared" si="3"/>
        <v>9.5847862307321794</v>
      </c>
      <c r="H5" s="377">
        <f>F5*'92'!$C$20/100</f>
        <v>8.664945660519658</v>
      </c>
      <c r="I5" s="402">
        <f>E5*'мат елкт'!$F$25</f>
        <v>10.121773923410869</v>
      </c>
      <c r="J5" s="402">
        <f t="shared" si="2"/>
        <v>0.14663415400398372</v>
      </c>
    </row>
    <row r="6" spans="1:10" s="380" customFormat="1" ht="10.5" x14ac:dyDescent="0.2">
      <c r="A6" s="381">
        <v>4</v>
      </c>
      <c r="B6" s="382" t="s">
        <v>334</v>
      </c>
      <c r="C6" s="490">
        <v>341.5</v>
      </c>
      <c r="D6" s="451">
        <f>[7]Лист1!F5</f>
        <v>7</v>
      </c>
      <c r="E6" s="377">
        <f t="shared" si="0"/>
        <v>2.3181599229287093E-3</v>
      </c>
      <c r="F6" s="377">
        <f t="shared" si="1"/>
        <v>21.783605069845862</v>
      </c>
      <c r="G6" s="377">
        <f t="shared" si="3"/>
        <v>4.7923931153660897</v>
      </c>
      <c r="H6" s="377">
        <f>F6*'92'!$C$20/100</f>
        <v>4.332472830259829</v>
      </c>
      <c r="I6" s="402">
        <f>E6*'мат елкт'!$F$25</f>
        <v>5.0608869617054344</v>
      </c>
      <c r="J6" s="402">
        <f t="shared" si="2"/>
        <v>0.10532754898148525</v>
      </c>
    </row>
    <row r="7" spans="1:10" s="380" customFormat="1" ht="10.5" x14ac:dyDescent="0.2">
      <c r="A7" s="381">
        <v>5</v>
      </c>
      <c r="B7" s="382" t="s">
        <v>335</v>
      </c>
      <c r="C7" s="490">
        <v>375.1</v>
      </c>
      <c r="D7" s="451">
        <f>[7]Лист1!F6</f>
        <v>7</v>
      </c>
      <c r="E7" s="377">
        <f t="shared" si="0"/>
        <v>2.3181599229287093E-3</v>
      </c>
      <c r="F7" s="377">
        <f t="shared" si="1"/>
        <v>21.783605069845862</v>
      </c>
      <c r="G7" s="377">
        <f t="shared" si="3"/>
        <v>4.7923931153660897</v>
      </c>
      <c r="H7" s="377">
        <f>F7*'92'!$C$20/100</f>
        <v>4.332472830259829</v>
      </c>
      <c r="I7" s="402">
        <f>E7*'мат елкт'!$F$25</f>
        <v>5.0608869617054344</v>
      </c>
      <c r="J7" s="402">
        <f t="shared" si="2"/>
        <v>9.5892716548059739E-2</v>
      </c>
    </row>
    <row r="8" spans="1:10" s="380" customFormat="1" ht="10.5" x14ac:dyDescent="0.2">
      <c r="A8" s="381">
        <v>6</v>
      </c>
      <c r="B8" s="382" t="s">
        <v>336</v>
      </c>
      <c r="C8" s="490">
        <v>386.23</v>
      </c>
      <c r="D8" s="451">
        <f>[7]Лист1!F7</f>
        <v>28</v>
      </c>
      <c r="E8" s="377">
        <f t="shared" si="0"/>
        <v>9.2726396917148374E-3</v>
      </c>
      <c r="F8" s="377">
        <f t="shared" si="1"/>
        <v>87.134420279383448</v>
      </c>
      <c r="G8" s="377">
        <f t="shared" si="3"/>
        <v>19.169572461464359</v>
      </c>
      <c r="H8" s="377">
        <f>F8*'92'!$C$20/100</f>
        <v>17.329891321039316</v>
      </c>
      <c r="I8" s="402">
        <f>E8*'мат елкт'!$F$25</f>
        <v>20.243547846821738</v>
      </c>
      <c r="J8" s="402">
        <f t="shared" si="2"/>
        <v>0.37251749452064531</v>
      </c>
    </row>
    <row r="9" spans="1:10" s="380" customFormat="1" ht="10.5" x14ac:dyDescent="0.2">
      <c r="A9" s="381">
        <v>7</v>
      </c>
      <c r="B9" s="382" t="s">
        <v>337</v>
      </c>
      <c r="C9" s="490">
        <v>917</v>
      </c>
      <c r="D9" s="451">
        <f>[7]Лист1!F8</f>
        <v>14</v>
      </c>
      <c r="E9" s="377">
        <f t="shared" si="0"/>
        <v>4.6363198458574187E-3</v>
      </c>
      <c r="F9" s="377">
        <f t="shared" si="1"/>
        <v>43.567210139691724</v>
      </c>
      <c r="G9" s="377">
        <f t="shared" si="3"/>
        <v>9.5847862307321794</v>
      </c>
      <c r="H9" s="377">
        <f>F9*'92'!$C$20/100</f>
        <v>8.664945660519658</v>
      </c>
      <c r="I9" s="402">
        <f>E9*'мат елкт'!$F$25</f>
        <v>10.121773923410869</v>
      </c>
      <c r="J9" s="402">
        <f t="shared" si="2"/>
        <v>7.8450071924050624E-2</v>
      </c>
    </row>
    <row r="10" spans="1:10" s="380" customFormat="1" ht="10.5" x14ac:dyDescent="0.2">
      <c r="A10" s="381">
        <v>8</v>
      </c>
      <c r="B10" s="382" t="s">
        <v>338</v>
      </c>
      <c r="C10" s="490">
        <v>354.4</v>
      </c>
      <c r="D10" s="451">
        <f>[7]Лист1!F9</f>
        <v>14</v>
      </c>
      <c r="E10" s="377">
        <f t="shared" si="0"/>
        <v>4.6363198458574187E-3</v>
      </c>
      <c r="F10" s="377">
        <f t="shared" si="1"/>
        <v>43.567210139691724</v>
      </c>
      <c r="G10" s="377">
        <f t="shared" si="3"/>
        <v>9.5847862307321794</v>
      </c>
      <c r="H10" s="377">
        <f>F10*'92'!$C$20/100</f>
        <v>8.664945660519658</v>
      </c>
      <c r="I10" s="402">
        <f>E10*'мат елкт'!$F$25</f>
        <v>10.121773923410869</v>
      </c>
      <c r="J10" s="402">
        <f t="shared" si="2"/>
        <v>0.20298734750100009</v>
      </c>
    </row>
    <row r="11" spans="1:10" s="380" customFormat="1" ht="10.5" x14ac:dyDescent="0.2">
      <c r="A11" s="381">
        <v>9</v>
      </c>
      <c r="B11" s="382" t="s">
        <v>339</v>
      </c>
      <c r="C11" s="490">
        <v>634.4</v>
      </c>
      <c r="D11" s="451">
        <f>[7]Лист1!F10</f>
        <v>14</v>
      </c>
      <c r="E11" s="377">
        <f t="shared" si="0"/>
        <v>4.6363198458574187E-3</v>
      </c>
      <c r="F11" s="377">
        <f t="shared" si="1"/>
        <v>43.567210139691724</v>
      </c>
      <c r="G11" s="377">
        <f t="shared" si="3"/>
        <v>9.5847862307321794</v>
      </c>
      <c r="H11" s="377">
        <f>F11*'92'!$C$20/100</f>
        <v>8.664945660519658</v>
      </c>
      <c r="I11" s="402">
        <f>E11*'мат елкт'!$F$25</f>
        <v>10.121773923410869</v>
      </c>
      <c r="J11" s="402">
        <f t="shared" si="2"/>
        <v>0.11339646272754481</v>
      </c>
    </row>
    <row r="12" spans="1:10" s="380" customFormat="1" ht="10.5" x14ac:dyDescent="0.2">
      <c r="A12" s="381">
        <v>10</v>
      </c>
      <c r="B12" s="382" t="s">
        <v>340</v>
      </c>
      <c r="C12" s="490">
        <v>637.20000000000005</v>
      </c>
      <c r="D12" s="451">
        <f>[7]Лист1!F11</f>
        <v>14</v>
      </c>
      <c r="E12" s="377">
        <f t="shared" si="0"/>
        <v>4.6363198458574187E-3</v>
      </c>
      <c r="F12" s="377">
        <f t="shared" si="1"/>
        <v>43.567210139691724</v>
      </c>
      <c r="G12" s="377">
        <f t="shared" si="3"/>
        <v>9.5847862307321794</v>
      </c>
      <c r="H12" s="377">
        <f>F12*'92'!$C$20/100</f>
        <v>8.664945660519658</v>
      </c>
      <c r="I12" s="402">
        <f>E12*'мат елкт'!$F$25</f>
        <v>10.121773923410869</v>
      </c>
      <c r="J12" s="402">
        <f t="shared" si="2"/>
        <v>0.11289817318636915</v>
      </c>
    </row>
    <row r="13" spans="1:10" s="380" customFormat="1" ht="10.5" x14ac:dyDescent="0.2">
      <c r="A13" s="381">
        <v>11</v>
      </c>
      <c r="B13" s="382" t="s">
        <v>341</v>
      </c>
      <c r="C13" s="490">
        <v>463.8</v>
      </c>
      <c r="D13" s="451">
        <f>[7]Лист1!F12</f>
        <v>14</v>
      </c>
      <c r="E13" s="377">
        <f t="shared" si="0"/>
        <v>4.6363198458574187E-3</v>
      </c>
      <c r="F13" s="377">
        <f t="shared" si="1"/>
        <v>43.567210139691724</v>
      </c>
      <c r="G13" s="377">
        <f t="shared" si="3"/>
        <v>9.5847862307321794</v>
      </c>
      <c r="H13" s="377">
        <f>F13*'92'!$C$20/100</f>
        <v>8.664945660519658</v>
      </c>
      <c r="I13" s="402">
        <f>E13*'мат елкт'!$F$25</f>
        <v>10.121773923410869</v>
      </c>
      <c r="J13" s="402">
        <f t="shared" si="2"/>
        <v>0.15510719265708153</v>
      </c>
    </row>
    <row r="14" spans="1:10" s="380" customFormat="1" ht="10.5" x14ac:dyDescent="0.2">
      <c r="A14" s="381">
        <v>12</v>
      </c>
      <c r="B14" s="382" t="s">
        <v>342</v>
      </c>
      <c r="C14" s="490">
        <v>633.29999999999995</v>
      </c>
      <c r="D14" s="451">
        <f>[7]Лист1!F13</f>
        <v>14</v>
      </c>
      <c r="E14" s="377">
        <f t="shared" si="0"/>
        <v>4.6363198458574187E-3</v>
      </c>
      <c r="F14" s="377">
        <f t="shared" si="1"/>
        <v>43.567210139691724</v>
      </c>
      <c r="G14" s="377">
        <f t="shared" si="3"/>
        <v>9.5847862307321794</v>
      </c>
      <c r="H14" s="377">
        <f>F14*'92'!$C$20/100</f>
        <v>8.664945660519658</v>
      </c>
      <c r="I14" s="402">
        <f>E14*'мат елкт'!$F$25</f>
        <v>10.121773923410869</v>
      </c>
      <c r="J14" s="402">
        <f t="shared" si="2"/>
        <v>0.11359342484502515</v>
      </c>
    </row>
    <row r="15" spans="1:10" s="380" customFormat="1" ht="10.5" x14ac:dyDescent="0.2">
      <c r="A15" s="381">
        <v>13</v>
      </c>
      <c r="B15" s="382" t="s">
        <v>343</v>
      </c>
      <c r="C15" s="490">
        <v>379.5</v>
      </c>
      <c r="D15" s="451">
        <f>[7]Лист1!F15</f>
        <v>7</v>
      </c>
      <c r="E15" s="377">
        <f t="shared" si="0"/>
        <v>2.3181599229287093E-3</v>
      </c>
      <c r="F15" s="377">
        <f t="shared" si="1"/>
        <v>21.783605069845862</v>
      </c>
      <c r="G15" s="377">
        <f t="shared" si="3"/>
        <v>4.7923931153660897</v>
      </c>
      <c r="H15" s="377">
        <f>F15*'92'!$C$20/100</f>
        <v>4.332472830259829</v>
      </c>
      <c r="I15" s="402">
        <f>E15*'мат елкт'!$F$25</f>
        <v>5.0608869617054344</v>
      </c>
      <c r="J15" s="402">
        <f t="shared" si="2"/>
        <v>9.478091693590833E-2</v>
      </c>
    </row>
    <row r="16" spans="1:10" s="380" customFormat="1" ht="10.5" x14ac:dyDescent="0.2">
      <c r="A16" s="381">
        <v>14</v>
      </c>
      <c r="B16" s="382" t="s">
        <v>344</v>
      </c>
      <c r="C16" s="490">
        <v>916.4</v>
      </c>
      <c r="D16" s="451">
        <f>[7]Лист1!F16</f>
        <v>21</v>
      </c>
      <c r="E16" s="377">
        <f t="shared" si="0"/>
        <v>6.9544797687861272E-3</v>
      </c>
      <c r="F16" s="377">
        <f t="shared" si="1"/>
        <v>65.350815209537572</v>
      </c>
      <c r="G16" s="377">
        <f t="shared" si="3"/>
        <v>14.377179346098266</v>
      </c>
      <c r="H16" s="377">
        <f>F16*'92'!$C$20/100</f>
        <v>12.997418490779483</v>
      </c>
      <c r="I16" s="402">
        <f>E16*'мат елкт'!$F$25</f>
        <v>15.182660885116302</v>
      </c>
      <c r="J16" s="402">
        <f t="shared" si="2"/>
        <v>0.11775215400647274</v>
      </c>
    </row>
    <row r="17" spans="1:10" s="380" customFormat="1" ht="10.5" x14ac:dyDescent="0.2">
      <c r="A17" s="381">
        <v>15</v>
      </c>
      <c r="B17" s="382" t="s">
        <v>345</v>
      </c>
      <c r="C17" s="490">
        <v>922.1</v>
      </c>
      <c r="D17" s="451">
        <f>[7]Лист1!F17</f>
        <v>21</v>
      </c>
      <c r="E17" s="377">
        <f t="shared" si="0"/>
        <v>6.9544797687861272E-3</v>
      </c>
      <c r="F17" s="377">
        <f t="shared" si="1"/>
        <v>65.350815209537572</v>
      </c>
      <c r="G17" s="377">
        <f t="shared" si="3"/>
        <v>14.377179346098266</v>
      </c>
      <c r="H17" s="377">
        <f>F17*'92'!$C$20/100</f>
        <v>12.997418490779483</v>
      </c>
      <c r="I17" s="402">
        <f>E17*'мат елкт'!$F$25</f>
        <v>15.182660885116302</v>
      </c>
      <c r="J17" s="402">
        <f t="shared" si="2"/>
        <v>0.11702426410533739</v>
      </c>
    </row>
    <row r="18" spans="1:10" s="380" customFormat="1" ht="10.5" x14ac:dyDescent="0.2">
      <c r="A18" s="381">
        <v>16</v>
      </c>
      <c r="B18" s="382" t="s">
        <v>346</v>
      </c>
      <c r="C18" s="490">
        <v>490.3</v>
      </c>
      <c r="D18" s="451">
        <f>[7]Лист1!F18</f>
        <v>14</v>
      </c>
      <c r="E18" s="377">
        <f t="shared" si="0"/>
        <v>4.6363198458574187E-3</v>
      </c>
      <c r="F18" s="377">
        <f t="shared" si="1"/>
        <v>43.567210139691724</v>
      </c>
      <c r="G18" s="377">
        <f t="shared" si="3"/>
        <v>9.5847862307321794</v>
      </c>
      <c r="H18" s="377">
        <f>F18*'92'!$C$20/100</f>
        <v>8.664945660519658</v>
      </c>
      <c r="I18" s="402">
        <f>E18*'мат елкт'!$F$25</f>
        <v>10.121773923410869</v>
      </c>
      <c r="J18" s="402">
        <f t="shared" si="2"/>
        <v>0.14672387508536491</v>
      </c>
    </row>
    <row r="19" spans="1:10" s="380" customFormat="1" ht="10.5" x14ac:dyDescent="0.2">
      <c r="A19" s="381">
        <v>17</v>
      </c>
      <c r="B19" s="382" t="s">
        <v>347</v>
      </c>
      <c r="C19" s="490">
        <v>502.4</v>
      </c>
      <c r="D19" s="451">
        <f>[7]Лист1!F19</f>
        <v>14</v>
      </c>
      <c r="E19" s="377">
        <f t="shared" si="0"/>
        <v>4.6363198458574187E-3</v>
      </c>
      <c r="F19" s="377">
        <f t="shared" si="1"/>
        <v>43.567210139691724</v>
      </c>
      <c r="G19" s="377">
        <f t="shared" si="3"/>
        <v>9.5847862307321794</v>
      </c>
      <c r="H19" s="377">
        <f>F19*'92'!$C$20/100</f>
        <v>8.664945660519658</v>
      </c>
      <c r="I19" s="402">
        <f>E19*'мат елкт'!$F$25</f>
        <v>10.121773923410869</v>
      </c>
      <c r="J19" s="402">
        <f t="shared" si="2"/>
        <v>0.14319011933589654</v>
      </c>
    </row>
    <row r="20" spans="1:10" s="380" customFormat="1" ht="10.5" x14ac:dyDescent="0.2">
      <c r="A20" s="381">
        <v>18</v>
      </c>
      <c r="B20" s="382" t="s">
        <v>348</v>
      </c>
      <c r="C20" s="490">
        <v>655.29999999999995</v>
      </c>
      <c r="D20" s="451">
        <f>[7]Лист1!F20</f>
        <v>21</v>
      </c>
      <c r="E20" s="377">
        <f t="shared" si="0"/>
        <v>6.9544797687861272E-3</v>
      </c>
      <c r="F20" s="377">
        <f t="shared" si="1"/>
        <v>65.350815209537572</v>
      </c>
      <c r="G20" s="377">
        <f t="shared" si="3"/>
        <v>14.377179346098266</v>
      </c>
      <c r="H20" s="377">
        <f>F20*'92'!$C$20/100</f>
        <v>12.997418490779483</v>
      </c>
      <c r="I20" s="402">
        <f>E20*'мат елкт'!$F$25</f>
        <v>15.182660885116302</v>
      </c>
      <c r="J20" s="402">
        <f t="shared" si="2"/>
        <v>0.16466972979022071</v>
      </c>
    </row>
    <row r="21" spans="1:10" s="380" customFormat="1" ht="10.5" x14ac:dyDescent="0.2">
      <c r="A21" s="381">
        <v>19</v>
      </c>
      <c r="B21" s="382" t="s">
        <v>349</v>
      </c>
      <c r="C21" s="490">
        <v>663.8</v>
      </c>
      <c r="D21" s="451">
        <f>[7]Лист1!F21</f>
        <v>21</v>
      </c>
      <c r="E21" s="377">
        <f t="shared" si="0"/>
        <v>6.9544797687861272E-3</v>
      </c>
      <c r="F21" s="377">
        <f t="shared" si="1"/>
        <v>65.350815209537572</v>
      </c>
      <c r="G21" s="377">
        <f t="shared" si="3"/>
        <v>14.377179346098266</v>
      </c>
      <c r="H21" s="377">
        <f>F21*'92'!$C$20/100</f>
        <v>12.997418490779483</v>
      </c>
      <c r="I21" s="402">
        <f>E21*'мат елкт'!$F$25</f>
        <v>15.182660885116302</v>
      </c>
      <c r="J21" s="402">
        <f t="shared" si="2"/>
        <v>0.16256112372933357</v>
      </c>
    </row>
    <row r="22" spans="1:10" s="380" customFormat="1" ht="10.5" x14ac:dyDescent="0.2">
      <c r="A22" s="381">
        <v>20</v>
      </c>
      <c r="B22" s="382" t="s">
        <v>350</v>
      </c>
      <c r="C22" s="490">
        <v>679.3</v>
      </c>
      <c r="D22" s="451">
        <f>[7]Лист1!F22</f>
        <v>21</v>
      </c>
      <c r="E22" s="377">
        <f t="shared" si="0"/>
        <v>6.9544797687861272E-3</v>
      </c>
      <c r="F22" s="377">
        <f t="shared" si="1"/>
        <v>65.350815209537572</v>
      </c>
      <c r="G22" s="377">
        <f t="shared" si="3"/>
        <v>14.377179346098266</v>
      </c>
      <c r="H22" s="377">
        <f>F22*'92'!$C$20/100</f>
        <v>12.997418490779483</v>
      </c>
      <c r="I22" s="402">
        <f>E22*'мат елкт'!$F$25</f>
        <v>15.182660885116302</v>
      </c>
      <c r="J22" s="402">
        <f t="shared" si="2"/>
        <v>0.15885186799872167</v>
      </c>
    </row>
    <row r="23" spans="1:10" s="380" customFormat="1" ht="10.5" x14ac:dyDescent="0.2">
      <c r="A23" s="381">
        <v>21</v>
      </c>
      <c r="B23" s="382" t="s">
        <v>351</v>
      </c>
      <c r="C23" s="490">
        <v>828.8</v>
      </c>
      <c r="D23" s="451">
        <f>[7]Лист1!F23</f>
        <v>21</v>
      </c>
      <c r="E23" s="377">
        <f t="shared" si="0"/>
        <v>6.9544797687861272E-3</v>
      </c>
      <c r="F23" s="377">
        <f t="shared" si="1"/>
        <v>65.350815209537572</v>
      </c>
      <c r="G23" s="377">
        <f t="shared" si="3"/>
        <v>14.377179346098266</v>
      </c>
      <c r="H23" s="377">
        <f>F23*'92'!$C$20/100</f>
        <v>12.997418490779483</v>
      </c>
      <c r="I23" s="402">
        <f>E23*'мат елкт'!$F$25</f>
        <v>15.182660885116302</v>
      </c>
      <c r="J23" s="402">
        <f t="shared" si="2"/>
        <v>0.13019796565097927</v>
      </c>
    </row>
    <row r="24" spans="1:10" s="380" customFormat="1" ht="10.5" x14ac:dyDescent="0.2">
      <c r="A24" s="381">
        <v>22</v>
      </c>
      <c r="B24" s="382" t="s">
        <v>352</v>
      </c>
      <c r="C24" s="490">
        <v>1413.6</v>
      </c>
      <c r="D24" s="451">
        <f>[7]Лист1!F24</f>
        <v>28</v>
      </c>
      <c r="E24" s="377">
        <f t="shared" si="0"/>
        <v>9.2726396917148374E-3</v>
      </c>
      <c r="F24" s="377">
        <f t="shared" si="1"/>
        <v>87.134420279383448</v>
      </c>
      <c r="G24" s="377">
        <f t="shared" si="3"/>
        <v>19.169572461464359</v>
      </c>
      <c r="H24" s="377">
        <f>F24*'92'!$C$20/100</f>
        <v>17.329891321039316</v>
      </c>
      <c r="I24" s="402">
        <f>E24*'мат елкт'!$F$25</f>
        <v>20.243547846821738</v>
      </c>
      <c r="J24" s="402">
        <f t="shared" si="2"/>
        <v>0.10178086580978273</v>
      </c>
    </row>
    <row r="25" spans="1:10" s="380" customFormat="1" ht="10.5" x14ac:dyDescent="0.2">
      <c r="A25" s="381">
        <v>23</v>
      </c>
      <c r="B25" s="382" t="s">
        <v>353</v>
      </c>
      <c r="C25" s="490">
        <v>1478</v>
      </c>
      <c r="D25" s="451">
        <f>[7]Лист1!F25</f>
        <v>28</v>
      </c>
      <c r="E25" s="377">
        <f t="shared" si="0"/>
        <v>9.2726396917148374E-3</v>
      </c>
      <c r="F25" s="377">
        <f t="shared" si="1"/>
        <v>87.134420279383448</v>
      </c>
      <c r="G25" s="377">
        <f t="shared" si="3"/>
        <v>19.169572461464359</v>
      </c>
      <c r="H25" s="377">
        <f>F25*'92'!$C$20/100</f>
        <v>17.329891321039316</v>
      </c>
      <c r="I25" s="402">
        <f>E25*'мат елкт'!$F$25</f>
        <v>20.243547846821738</v>
      </c>
      <c r="J25" s="402">
        <f t="shared" si="2"/>
        <v>9.7346029708192727E-2</v>
      </c>
    </row>
    <row r="26" spans="1:10" s="380" customFormat="1" ht="10.5" x14ac:dyDescent="0.2">
      <c r="A26" s="381">
        <v>24</v>
      </c>
      <c r="B26" s="382" t="s">
        <v>354</v>
      </c>
      <c r="C26" s="490">
        <v>848.6</v>
      </c>
      <c r="D26" s="451">
        <f>[7]Лист1!F26</f>
        <v>21</v>
      </c>
      <c r="E26" s="377">
        <f t="shared" si="0"/>
        <v>6.9544797687861272E-3</v>
      </c>
      <c r="F26" s="377">
        <f t="shared" si="1"/>
        <v>65.350815209537572</v>
      </c>
      <c r="G26" s="377">
        <f t="shared" si="3"/>
        <v>14.377179346098266</v>
      </c>
      <c r="H26" s="377">
        <f>F26*'92'!$C$20/100</f>
        <v>12.997418490779483</v>
      </c>
      <c r="I26" s="402">
        <f>E26*'мат елкт'!$F$25</f>
        <v>15.182660885116302</v>
      </c>
      <c r="J26" s="402">
        <f t="shared" si="2"/>
        <v>0.12716011540364319</v>
      </c>
    </row>
    <row r="27" spans="1:10" s="380" customFormat="1" ht="10.5" x14ac:dyDescent="0.2">
      <c r="A27" s="381">
        <v>25</v>
      </c>
      <c r="B27" s="382" t="s">
        <v>355</v>
      </c>
      <c r="C27" s="489">
        <v>834.8</v>
      </c>
      <c r="D27" s="451">
        <v>21</v>
      </c>
      <c r="E27" s="377">
        <f t="shared" si="0"/>
        <v>6.9544797687861272E-3</v>
      </c>
      <c r="F27" s="377">
        <f t="shared" si="1"/>
        <v>65.350815209537572</v>
      </c>
      <c r="G27" s="377">
        <f t="shared" si="3"/>
        <v>14.377179346098266</v>
      </c>
      <c r="H27" s="377">
        <f>F27*'92'!$C$20/100</f>
        <v>12.997418490779483</v>
      </c>
      <c r="I27" s="402">
        <f>E27*'мат елкт'!$F$25</f>
        <v>15.182660885116302</v>
      </c>
      <c r="J27" s="402">
        <f t="shared" si="2"/>
        <v>0.12926218726824584</v>
      </c>
    </row>
    <row r="28" spans="1:10" s="380" customFormat="1" ht="10.5" x14ac:dyDescent="0.2">
      <c r="A28" s="381">
        <v>26</v>
      </c>
      <c r="B28" s="382" t="s">
        <v>356</v>
      </c>
      <c r="C28" s="490">
        <v>848.8</v>
      </c>
      <c r="D28" s="451">
        <f>[7]Лист1!F27</f>
        <v>21</v>
      </c>
      <c r="E28" s="377">
        <f t="shared" si="0"/>
        <v>6.9544797687861272E-3</v>
      </c>
      <c r="F28" s="377">
        <f t="shared" si="1"/>
        <v>65.350815209537572</v>
      </c>
      <c r="G28" s="377">
        <f t="shared" si="3"/>
        <v>14.377179346098266</v>
      </c>
      <c r="H28" s="377">
        <f>F28*'92'!$C$20/100</f>
        <v>12.997418490779483</v>
      </c>
      <c r="I28" s="402">
        <f>E28*'мат елкт'!$F$25</f>
        <v>15.182660885116302</v>
      </c>
      <c r="J28" s="402">
        <f t="shared" si="2"/>
        <v>0.12713015307673378</v>
      </c>
    </row>
    <row r="29" spans="1:10" s="380" customFormat="1" ht="10.5" x14ac:dyDescent="0.2">
      <c r="A29" s="381">
        <v>27</v>
      </c>
      <c r="B29" s="382" t="s">
        <v>357</v>
      </c>
      <c r="C29" s="490">
        <v>646.76</v>
      </c>
      <c r="D29" s="451">
        <f>[7]Лист1!F28</f>
        <v>21</v>
      </c>
      <c r="E29" s="377">
        <f t="shared" si="0"/>
        <v>6.9544797687861272E-3</v>
      </c>
      <c r="F29" s="377">
        <f t="shared" si="1"/>
        <v>65.350815209537572</v>
      </c>
      <c r="G29" s="377">
        <f t="shared" si="3"/>
        <v>14.377179346098266</v>
      </c>
      <c r="H29" s="377">
        <f>F29*'92'!$C$20/100</f>
        <v>12.997418490779483</v>
      </c>
      <c r="I29" s="402">
        <f>E29*'мат елкт'!$F$25</f>
        <v>15.182660885116302</v>
      </c>
      <c r="J29" s="402">
        <f t="shared" si="2"/>
        <v>0.16684407497608328</v>
      </c>
    </row>
    <row r="30" spans="1:10" s="380" customFormat="1" ht="10.5" x14ac:dyDescent="0.2">
      <c r="A30" s="381">
        <v>28</v>
      </c>
      <c r="B30" s="382" t="s">
        <v>358</v>
      </c>
      <c r="C30" s="490">
        <v>638.20000000000005</v>
      </c>
      <c r="D30" s="451">
        <f>[7]Лист1!F29</f>
        <v>21</v>
      </c>
      <c r="E30" s="377">
        <f t="shared" si="0"/>
        <v>6.9544797687861272E-3</v>
      </c>
      <c r="F30" s="377">
        <f t="shared" si="1"/>
        <v>65.350815209537572</v>
      </c>
      <c r="G30" s="377">
        <f t="shared" si="3"/>
        <v>14.377179346098266</v>
      </c>
      <c r="H30" s="377">
        <f>F30*'92'!$C$20/100</f>
        <v>12.997418490779483</v>
      </c>
      <c r="I30" s="402">
        <f>E30*'мат елкт'!$F$25</f>
        <v>15.182660885116302</v>
      </c>
      <c r="J30" s="402">
        <f t="shared" si="2"/>
        <v>0.16908190838535195</v>
      </c>
    </row>
    <row r="31" spans="1:10" s="380" customFormat="1" ht="10.5" x14ac:dyDescent="0.2">
      <c r="A31" s="381">
        <v>29</v>
      </c>
      <c r="B31" s="382" t="s">
        <v>359</v>
      </c>
      <c r="C31" s="490">
        <v>385.2</v>
      </c>
      <c r="D31" s="451">
        <f>[7]Лист1!F30</f>
        <v>14</v>
      </c>
      <c r="E31" s="377">
        <f t="shared" si="0"/>
        <v>4.6363198458574187E-3</v>
      </c>
      <c r="F31" s="377">
        <f t="shared" si="1"/>
        <v>43.567210139691724</v>
      </c>
      <c r="G31" s="377">
        <f t="shared" si="3"/>
        <v>9.5847862307321794</v>
      </c>
      <c r="H31" s="377">
        <f>F31*'92'!$C$20/100</f>
        <v>8.664945660519658</v>
      </c>
      <c r="I31" s="402">
        <f>E31*'мат елкт'!$F$25</f>
        <v>10.121773923410869</v>
      </c>
      <c r="J31" s="402">
        <f t="shared" si="2"/>
        <v>0.18675679115876018</v>
      </c>
    </row>
    <row r="32" spans="1:10" s="380" customFormat="1" ht="10.5" x14ac:dyDescent="0.2">
      <c r="A32" s="381">
        <v>30</v>
      </c>
      <c r="B32" s="382" t="s">
        <v>360</v>
      </c>
      <c r="C32" s="490">
        <v>398.4</v>
      </c>
      <c r="D32" s="451">
        <f>[7]Лист1!F31</f>
        <v>14</v>
      </c>
      <c r="E32" s="377">
        <f t="shared" si="0"/>
        <v>4.6363198458574187E-3</v>
      </c>
      <c r="F32" s="377">
        <f t="shared" si="1"/>
        <v>43.567210139691724</v>
      </c>
      <c r="G32" s="377">
        <f t="shared" si="3"/>
        <v>9.5847862307321794</v>
      </c>
      <c r="H32" s="377">
        <f>F32*'92'!$C$20/100</f>
        <v>8.664945660519658</v>
      </c>
      <c r="I32" s="402">
        <f>E32*'мат елкт'!$F$25</f>
        <v>10.121773923410869</v>
      </c>
      <c r="J32" s="402">
        <f t="shared" si="2"/>
        <v>0.18056906615048801</v>
      </c>
    </row>
    <row r="33" spans="1:10" s="380" customFormat="1" ht="10.5" x14ac:dyDescent="0.2">
      <c r="A33" s="381">
        <v>31</v>
      </c>
      <c r="B33" s="382" t="s">
        <v>361</v>
      </c>
      <c r="C33" s="490">
        <v>977.25</v>
      </c>
      <c r="D33" s="451">
        <f>[7]Лист1!F32</f>
        <v>21</v>
      </c>
      <c r="E33" s="377">
        <f t="shared" si="0"/>
        <v>6.9544797687861272E-3</v>
      </c>
      <c r="F33" s="377">
        <f t="shared" si="1"/>
        <v>65.350815209537572</v>
      </c>
      <c r="G33" s="377">
        <f t="shared" si="3"/>
        <v>14.377179346098266</v>
      </c>
      <c r="H33" s="377">
        <f>F33*'92'!$C$20/100</f>
        <v>12.997418490779483</v>
      </c>
      <c r="I33" s="402">
        <f>E33*'мат елкт'!$F$25</f>
        <v>15.182660885116302</v>
      </c>
      <c r="J33" s="402">
        <f t="shared" si="2"/>
        <v>0.11042013193300754</v>
      </c>
    </row>
    <row r="34" spans="1:10" s="380" customFormat="1" ht="10.5" x14ac:dyDescent="0.2">
      <c r="A34" s="381">
        <v>32</v>
      </c>
      <c r="B34" s="382" t="s">
        <v>362</v>
      </c>
      <c r="C34" s="490">
        <v>796.2</v>
      </c>
      <c r="D34" s="451">
        <f>[7]Лист1!F33</f>
        <v>14</v>
      </c>
      <c r="E34" s="377">
        <f t="shared" si="0"/>
        <v>4.6363198458574187E-3</v>
      </c>
      <c r="F34" s="377">
        <f t="shared" si="1"/>
        <v>43.567210139691724</v>
      </c>
      <c r="G34" s="377">
        <f t="shared" si="3"/>
        <v>9.5847862307321794</v>
      </c>
      <c r="H34" s="377">
        <f>F34*'92'!$C$20/100</f>
        <v>8.664945660519658</v>
      </c>
      <c r="I34" s="402">
        <f>E34*'мат елкт'!$F$25</f>
        <v>10.121773923410869</v>
      </c>
      <c r="J34" s="402">
        <f t="shared" si="2"/>
        <v>9.0352569648774708E-2</v>
      </c>
    </row>
    <row r="35" spans="1:10" s="380" customFormat="1" ht="10.5" x14ac:dyDescent="0.2">
      <c r="A35" s="381">
        <v>33</v>
      </c>
      <c r="B35" s="382" t="s">
        <v>363</v>
      </c>
      <c r="C35" s="490">
        <v>394.3</v>
      </c>
      <c r="D35" s="451">
        <f>[7]Лист1!F34</f>
        <v>7</v>
      </c>
      <c r="E35" s="377">
        <f t="shared" ref="E35:E66" si="4">D35/$E$163</f>
        <v>2.3181599229287093E-3</v>
      </c>
      <c r="F35" s="377">
        <f t="shared" ref="F35:F66" si="5">E35*$F$163</f>
        <v>21.783605069845862</v>
      </c>
      <c r="G35" s="377">
        <f t="shared" si="3"/>
        <v>4.7923931153660897</v>
      </c>
      <c r="H35" s="377">
        <f>F35*'92'!$C$20/100</f>
        <v>4.332472830259829</v>
      </c>
      <c r="I35" s="402">
        <f>E35*'мат елкт'!$F$25</f>
        <v>5.0608869617054344</v>
      </c>
      <c r="J35" s="402">
        <f t="shared" si="2"/>
        <v>9.1223327357791553E-2</v>
      </c>
    </row>
    <row r="36" spans="1:10" s="380" customFormat="1" ht="10.5" x14ac:dyDescent="0.2">
      <c r="A36" s="381">
        <v>34</v>
      </c>
      <c r="B36" s="382" t="s">
        <v>364</v>
      </c>
      <c r="C36" s="490">
        <v>462.9</v>
      </c>
      <c r="D36" s="451">
        <f>[7]Лист1!F35</f>
        <v>14</v>
      </c>
      <c r="E36" s="377">
        <f t="shared" si="4"/>
        <v>4.6363198458574187E-3</v>
      </c>
      <c r="F36" s="377">
        <f t="shared" si="5"/>
        <v>43.567210139691724</v>
      </c>
      <c r="G36" s="377">
        <f t="shared" si="3"/>
        <v>9.5847862307321794</v>
      </c>
      <c r="H36" s="377">
        <f>F36*'92'!$C$20/100</f>
        <v>8.664945660519658</v>
      </c>
      <c r="I36" s="402">
        <f>E36*'мат елкт'!$F$25</f>
        <v>10.121773923410869</v>
      </c>
      <c r="J36" s="402">
        <f t="shared" si="2"/>
        <v>0.15540876205304477</v>
      </c>
    </row>
    <row r="37" spans="1:10" s="380" customFormat="1" ht="10.5" x14ac:dyDescent="0.2">
      <c r="A37" s="381">
        <v>35</v>
      </c>
      <c r="B37" s="382" t="s">
        <v>365</v>
      </c>
      <c r="C37" s="490">
        <v>411.79</v>
      </c>
      <c r="D37" s="451">
        <f>[7]Лист1!F36</f>
        <v>7</v>
      </c>
      <c r="E37" s="377">
        <f t="shared" si="4"/>
        <v>2.3181599229287093E-3</v>
      </c>
      <c r="F37" s="377">
        <f t="shared" si="5"/>
        <v>21.783605069845862</v>
      </c>
      <c r="G37" s="377">
        <f t="shared" si="3"/>
        <v>4.7923931153660897</v>
      </c>
      <c r="H37" s="377">
        <f>F37*'92'!$C$20/100</f>
        <v>4.332472830259829</v>
      </c>
      <c r="I37" s="402">
        <f>E37*'мат елкт'!$F$25</f>
        <v>5.0608869617054344</v>
      </c>
      <c r="J37" s="402">
        <f t="shared" si="2"/>
        <v>8.734878937608298E-2</v>
      </c>
    </row>
    <row r="38" spans="1:10" s="380" customFormat="1" ht="10.5" x14ac:dyDescent="0.2">
      <c r="A38" s="381">
        <v>36</v>
      </c>
      <c r="B38" s="382" t="s">
        <v>366</v>
      </c>
      <c r="C38" s="490">
        <v>674.2</v>
      </c>
      <c r="D38" s="451">
        <f>[7]Лист1!F37</f>
        <v>21</v>
      </c>
      <c r="E38" s="377">
        <f t="shared" si="4"/>
        <v>6.9544797687861272E-3</v>
      </c>
      <c r="F38" s="377">
        <f t="shared" si="5"/>
        <v>65.350815209537572</v>
      </c>
      <c r="G38" s="377">
        <f t="shared" si="3"/>
        <v>14.377179346098266</v>
      </c>
      <c r="H38" s="377">
        <f>F38*'92'!$C$20/100</f>
        <v>12.997418490779483</v>
      </c>
      <c r="I38" s="402">
        <f>E38*'мат елкт'!$F$25</f>
        <v>15.182660885116302</v>
      </c>
      <c r="J38" s="402">
        <f t="shared" si="2"/>
        <v>0.16005350627637438</v>
      </c>
    </row>
    <row r="39" spans="1:10" s="380" customFormat="1" ht="10.5" x14ac:dyDescent="0.2">
      <c r="A39" s="381">
        <v>37</v>
      </c>
      <c r="B39" s="382" t="s">
        <v>367</v>
      </c>
      <c r="C39" s="490">
        <v>169</v>
      </c>
      <c r="D39" s="451">
        <f>[7]Лист1!F38</f>
        <v>7</v>
      </c>
      <c r="E39" s="377">
        <f t="shared" si="4"/>
        <v>2.3181599229287093E-3</v>
      </c>
      <c r="F39" s="377">
        <f t="shared" si="5"/>
        <v>21.783605069845862</v>
      </c>
      <c r="G39" s="377">
        <f t="shared" si="3"/>
        <v>4.7923931153660897</v>
      </c>
      <c r="H39" s="377">
        <f>F39*'92'!$C$20/100</f>
        <v>4.332472830259829</v>
      </c>
      <c r="I39" s="402">
        <f>E39*'мат елкт'!$F$25</f>
        <v>5.0608869617054344</v>
      </c>
      <c r="J39" s="402">
        <f t="shared" si="2"/>
        <v>0.2128364377347764</v>
      </c>
    </row>
    <row r="40" spans="1:10" s="380" customFormat="1" ht="10.5" x14ac:dyDescent="0.2">
      <c r="A40" s="381">
        <v>38</v>
      </c>
      <c r="B40" s="382" t="s">
        <v>368</v>
      </c>
      <c r="C40" s="490">
        <v>175.4</v>
      </c>
      <c r="D40" s="451">
        <f>[7]Лист1!F39</f>
        <v>7</v>
      </c>
      <c r="E40" s="377">
        <f t="shared" si="4"/>
        <v>2.3181599229287093E-3</v>
      </c>
      <c r="F40" s="377">
        <f t="shared" si="5"/>
        <v>21.783605069845862</v>
      </c>
      <c r="G40" s="377">
        <f t="shared" si="3"/>
        <v>4.7923931153660897</v>
      </c>
      <c r="H40" s="377">
        <f>F40*'92'!$C$20/100</f>
        <v>4.332472830259829</v>
      </c>
      <c r="I40" s="402">
        <f>E40*'мат елкт'!$F$25</f>
        <v>5.0608869617054344</v>
      </c>
      <c r="J40" s="402">
        <f t="shared" si="2"/>
        <v>0.20507045597022355</v>
      </c>
    </row>
    <row r="41" spans="1:10" s="380" customFormat="1" ht="10.5" x14ac:dyDescent="0.2">
      <c r="A41" s="381">
        <v>39</v>
      </c>
      <c r="B41" s="382" t="s">
        <v>369</v>
      </c>
      <c r="C41" s="490">
        <v>173.5</v>
      </c>
      <c r="D41" s="451">
        <f>[7]Лист1!F40</f>
        <v>7</v>
      </c>
      <c r="E41" s="377">
        <f t="shared" si="4"/>
        <v>2.3181599229287093E-3</v>
      </c>
      <c r="F41" s="377">
        <f t="shared" si="5"/>
        <v>21.783605069845862</v>
      </c>
      <c r="G41" s="377">
        <f t="shared" si="3"/>
        <v>4.7923931153660897</v>
      </c>
      <c r="H41" s="377">
        <f>F41*'92'!$C$20/100</f>
        <v>4.332472830259829</v>
      </c>
      <c r="I41" s="402">
        <f>E41*'мат елкт'!$F$25</f>
        <v>5.0608869617054344</v>
      </c>
      <c r="J41" s="402">
        <f t="shared" si="2"/>
        <v>0.2073161843064969</v>
      </c>
    </row>
    <row r="42" spans="1:10" s="380" customFormat="1" ht="10.5" x14ac:dyDescent="0.2">
      <c r="A42" s="381">
        <v>40</v>
      </c>
      <c r="B42" s="382" t="s">
        <v>370</v>
      </c>
      <c r="C42" s="490">
        <v>182</v>
      </c>
      <c r="D42" s="451">
        <f>[7]Лист1!F41</f>
        <v>7</v>
      </c>
      <c r="E42" s="377">
        <f t="shared" si="4"/>
        <v>2.3181599229287093E-3</v>
      </c>
      <c r="F42" s="377">
        <f t="shared" si="5"/>
        <v>21.783605069845862</v>
      </c>
      <c r="G42" s="377">
        <f t="shared" si="3"/>
        <v>4.7923931153660897</v>
      </c>
      <c r="H42" s="377">
        <f>F42*'92'!$C$20/100</f>
        <v>4.332472830259829</v>
      </c>
      <c r="I42" s="402">
        <f>E42*'мат елкт'!$F$25</f>
        <v>5.0608869617054344</v>
      </c>
      <c r="J42" s="402">
        <f t="shared" si="2"/>
        <v>0.19763383503943521</v>
      </c>
    </row>
    <row r="43" spans="1:10" s="380" customFormat="1" ht="10.5" x14ac:dyDescent="0.2">
      <c r="A43" s="381">
        <v>41</v>
      </c>
      <c r="B43" s="382" t="s">
        <v>371</v>
      </c>
      <c r="C43" s="490">
        <v>629.6</v>
      </c>
      <c r="D43" s="451">
        <f>[7]Лист1!F42</f>
        <v>14</v>
      </c>
      <c r="E43" s="377">
        <f t="shared" si="4"/>
        <v>4.6363198458574187E-3</v>
      </c>
      <c r="F43" s="377">
        <f t="shared" si="5"/>
        <v>43.567210139691724</v>
      </c>
      <c r="G43" s="377">
        <f t="shared" si="3"/>
        <v>9.5847862307321794</v>
      </c>
      <c r="H43" s="377">
        <f>F43*'92'!$C$20/100</f>
        <v>8.664945660519658</v>
      </c>
      <c r="I43" s="402">
        <f>E43*'мат елкт'!$F$25</f>
        <v>10.121773923410869</v>
      </c>
      <c r="J43" s="402">
        <f t="shared" si="2"/>
        <v>0.1142609846797243</v>
      </c>
    </row>
    <row r="44" spans="1:10" s="380" customFormat="1" ht="10.5" x14ac:dyDescent="0.2">
      <c r="A44" s="381">
        <v>42</v>
      </c>
      <c r="B44" s="382" t="s">
        <v>372</v>
      </c>
      <c r="C44" s="490">
        <v>628.9</v>
      </c>
      <c r="D44" s="451">
        <f>[7]Лист1!F43</f>
        <v>14</v>
      </c>
      <c r="E44" s="377">
        <f t="shared" si="4"/>
        <v>4.6363198458574187E-3</v>
      </c>
      <c r="F44" s="377">
        <f t="shared" si="5"/>
        <v>43.567210139691724</v>
      </c>
      <c r="G44" s="377">
        <f t="shared" si="3"/>
        <v>9.5847862307321794</v>
      </c>
      <c r="H44" s="377">
        <f>F44*'92'!$C$20/100</f>
        <v>8.664945660519658</v>
      </c>
      <c r="I44" s="402">
        <f>E44*'мат елкт'!$F$25</f>
        <v>10.121773923410869</v>
      </c>
      <c r="J44" s="402">
        <f t="shared" si="2"/>
        <v>0.11438816338742952</v>
      </c>
    </row>
    <row r="45" spans="1:10" s="380" customFormat="1" ht="10.5" x14ac:dyDescent="0.2">
      <c r="A45" s="381">
        <v>43</v>
      </c>
      <c r="B45" s="382" t="s">
        <v>373</v>
      </c>
      <c r="C45" s="490">
        <v>509.3</v>
      </c>
      <c r="D45" s="451">
        <f>[7]Лист1!F44</f>
        <v>14</v>
      </c>
      <c r="E45" s="377">
        <f t="shared" si="4"/>
        <v>4.6363198458574187E-3</v>
      </c>
      <c r="F45" s="377">
        <f t="shared" si="5"/>
        <v>43.567210139691724</v>
      </c>
      <c r="G45" s="377">
        <f t="shared" si="3"/>
        <v>9.5847862307321794</v>
      </c>
      <c r="H45" s="377">
        <f>F45*'92'!$C$20/100</f>
        <v>8.664945660519658</v>
      </c>
      <c r="I45" s="402">
        <f>E45*'мат елкт'!$F$25</f>
        <v>10.121773923410869</v>
      </c>
      <c r="J45" s="402">
        <f>((F45+G45+H45+I45)/C45)*86/100</f>
        <v>0.12147515358481212</v>
      </c>
    </row>
    <row r="46" spans="1:10" s="380" customFormat="1" ht="10.5" x14ac:dyDescent="0.2">
      <c r="A46" s="381">
        <v>44</v>
      </c>
      <c r="B46" s="382" t="s">
        <v>374</v>
      </c>
      <c r="C46" s="490">
        <v>404.4</v>
      </c>
      <c r="D46" s="451">
        <f>[7]Лист1!F45</f>
        <v>14</v>
      </c>
      <c r="E46" s="377">
        <f t="shared" si="4"/>
        <v>4.6363198458574187E-3</v>
      </c>
      <c r="F46" s="377">
        <f t="shared" si="5"/>
        <v>43.567210139691724</v>
      </c>
      <c r="G46" s="377">
        <f t="shared" si="3"/>
        <v>9.5847862307321794</v>
      </c>
      <c r="H46" s="377">
        <f>F46*'92'!$C$20/100</f>
        <v>8.664945660519658</v>
      </c>
      <c r="I46" s="402">
        <f>E46*'мат елкт'!$F$25</f>
        <v>10.121773923410869</v>
      </c>
      <c r="J46" s="402">
        <f t="shared" si="2"/>
        <v>0.17788999988712767</v>
      </c>
    </row>
    <row r="47" spans="1:10" s="380" customFormat="1" ht="10.5" x14ac:dyDescent="0.2">
      <c r="A47" s="381">
        <v>45</v>
      </c>
      <c r="B47" s="382" t="s">
        <v>375</v>
      </c>
      <c r="C47" s="490">
        <v>409.8</v>
      </c>
      <c r="D47" s="451">
        <f>[7]Лист1!F46</f>
        <v>28</v>
      </c>
      <c r="E47" s="377">
        <f t="shared" si="4"/>
        <v>9.2726396917148374E-3</v>
      </c>
      <c r="F47" s="377">
        <f t="shared" si="5"/>
        <v>87.134420279383448</v>
      </c>
      <c r="G47" s="377">
        <f t="shared" si="3"/>
        <v>19.169572461464359</v>
      </c>
      <c r="H47" s="377">
        <f>F47*'92'!$C$20/100</f>
        <v>17.329891321039316</v>
      </c>
      <c r="I47" s="402">
        <f>E47*'мат елкт'!$F$25</f>
        <v>20.243547846821738</v>
      </c>
      <c r="J47" s="402">
        <f t="shared" si="2"/>
        <v>0.35109182993828414</v>
      </c>
    </row>
    <row r="48" spans="1:10" s="380" customFormat="1" ht="10.5" x14ac:dyDescent="0.2">
      <c r="A48" s="381">
        <v>46</v>
      </c>
      <c r="B48" s="382" t="s">
        <v>376</v>
      </c>
      <c r="C48" s="490">
        <v>374.7</v>
      </c>
      <c r="D48" s="451">
        <f>[7]Лист1!F47</f>
        <v>7</v>
      </c>
      <c r="E48" s="377">
        <f t="shared" si="4"/>
        <v>2.3181599229287093E-3</v>
      </c>
      <c r="F48" s="377">
        <f t="shared" si="5"/>
        <v>21.783605069845862</v>
      </c>
      <c r="G48" s="377">
        <f t="shared" si="3"/>
        <v>4.7923931153660897</v>
      </c>
      <c r="H48" s="377">
        <f>F48*'92'!$C$20/100</f>
        <v>4.332472830259829</v>
      </c>
      <c r="I48" s="402">
        <f>E48*'мат елкт'!$F$25</f>
        <v>5.0608869617054344</v>
      </c>
      <c r="J48" s="402">
        <f t="shared" si="2"/>
        <v>9.5995084006344308E-2</v>
      </c>
    </row>
    <row r="49" spans="1:10" s="380" customFormat="1" ht="10.5" x14ac:dyDescent="0.2">
      <c r="A49" s="381">
        <v>47</v>
      </c>
      <c r="B49" s="382" t="s">
        <v>377</v>
      </c>
      <c r="C49" s="490">
        <v>618.4</v>
      </c>
      <c r="D49" s="451">
        <f>[7]Лист1!F48</f>
        <v>14</v>
      </c>
      <c r="E49" s="377">
        <f t="shared" si="4"/>
        <v>4.6363198458574187E-3</v>
      </c>
      <c r="F49" s="377">
        <f t="shared" si="5"/>
        <v>43.567210139691724</v>
      </c>
      <c r="G49" s="377">
        <f t="shared" si="3"/>
        <v>9.5847862307321794</v>
      </c>
      <c r="H49" s="377">
        <f>F49*'92'!$C$20/100</f>
        <v>8.664945660519658</v>
      </c>
      <c r="I49" s="402">
        <f>E49*'мат елкт'!$F$25</f>
        <v>10.121773923410869</v>
      </c>
      <c r="J49" s="402">
        <f t="shared" si="2"/>
        <v>0.11633039449281117</v>
      </c>
    </row>
    <row r="50" spans="1:10" s="380" customFormat="1" ht="10.5" x14ac:dyDescent="0.2">
      <c r="A50" s="381">
        <v>48</v>
      </c>
      <c r="B50" s="382" t="s">
        <v>378</v>
      </c>
      <c r="C50" s="490">
        <v>1126.3</v>
      </c>
      <c r="D50" s="451">
        <f>[7]Лист1!F49</f>
        <v>21</v>
      </c>
      <c r="E50" s="377">
        <f t="shared" si="4"/>
        <v>6.9544797687861272E-3</v>
      </c>
      <c r="F50" s="377">
        <f t="shared" si="5"/>
        <v>65.350815209537572</v>
      </c>
      <c r="G50" s="377">
        <f t="shared" si="3"/>
        <v>14.377179346098266</v>
      </c>
      <c r="H50" s="377">
        <f>F50*'92'!$C$20/100</f>
        <v>12.997418490779483</v>
      </c>
      <c r="I50" s="402">
        <f>E50*'мат елкт'!$F$25</f>
        <v>15.182660885116302</v>
      </c>
      <c r="J50" s="402">
        <f t="shared" si="2"/>
        <v>9.5807576961317253E-2</v>
      </c>
    </row>
    <row r="51" spans="1:10" s="380" customFormat="1" ht="10.5" x14ac:dyDescent="0.2">
      <c r="A51" s="381">
        <v>49</v>
      </c>
      <c r="B51" s="382" t="s">
        <v>379</v>
      </c>
      <c r="C51" s="490">
        <v>617</v>
      </c>
      <c r="D51" s="451">
        <f>[7]Лист1!F50</f>
        <v>31.5</v>
      </c>
      <c r="E51" s="377">
        <f t="shared" si="4"/>
        <v>1.0431719653179192E-2</v>
      </c>
      <c r="F51" s="377">
        <f t="shared" si="5"/>
        <v>98.026222814306365</v>
      </c>
      <c r="G51" s="377">
        <f t="shared" si="3"/>
        <v>21.5657690191474</v>
      </c>
      <c r="H51" s="377">
        <f>F51*'92'!$C$20/100</f>
        <v>19.496127736169225</v>
      </c>
      <c r="I51" s="402">
        <f>E51*'мат елкт'!$F$25</f>
        <v>22.773991327674455</v>
      </c>
      <c r="J51" s="402">
        <f t="shared" si="2"/>
        <v>0.26233729480923412</v>
      </c>
    </row>
    <row r="52" spans="1:10" s="380" customFormat="1" ht="10.5" x14ac:dyDescent="0.2">
      <c r="A52" s="381">
        <v>50</v>
      </c>
      <c r="B52" s="382" t="s">
        <v>380</v>
      </c>
      <c r="C52" s="490">
        <v>452</v>
      </c>
      <c r="D52" s="451">
        <f>[7]Лист1!F51</f>
        <v>10.5</v>
      </c>
      <c r="E52" s="377">
        <f t="shared" si="4"/>
        <v>3.4772398843930636E-3</v>
      </c>
      <c r="F52" s="377">
        <f t="shared" si="5"/>
        <v>32.675407604768786</v>
      </c>
      <c r="G52" s="377">
        <f t="shared" si="3"/>
        <v>7.1885896730491332</v>
      </c>
      <c r="H52" s="377">
        <f>F52*'92'!$C$20/100</f>
        <v>6.4987092453897413</v>
      </c>
      <c r="I52" s="402">
        <f>E52*'мат елкт'!$F$25</f>
        <v>7.5913304425581511</v>
      </c>
      <c r="J52" s="402">
        <f t="shared" si="2"/>
        <v>0.11936733841983586</v>
      </c>
    </row>
    <row r="53" spans="1:10" s="380" customFormat="1" ht="10.5" x14ac:dyDescent="0.2">
      <c r="A53" s="381">
        <v>51</v>
      </c>
      <c r="B53" s="382" t="s">
        <v>381</v>
      </c>
      <c r="C53" s="490">
        <v>1245.5999999999999</v>
      </c>
      <c r="D53" s="451">
        <f>[7]Лист1!F52</f>
        <v>31.5</v>
      </c>
      <c r="E53" s="377">
        <f t="shared" si="4"/>
        <v>1.0431719653179192E-2</v>
      </c>
      <c r="F53" s="377">
        <f t="shared" si="5"/>
        <v>98.026222814306365</v>
      </c>
      <c r="G53" s="377">
        <f t="shared" si="3"/>
        <v>21.5657690191474</v>
      </c>
      <c r="H53" s="377">
        <f>F53*'92'!$C$20/100</f>
        <v>19.496127736169225</v>
      </c>
      <c r="I53" s="402">
        <f>E53*'мат елкт'!$F$25</f>
        <v>22.773991327674455</v>
      </c>
      <c r="J53" s="402">
        <f t="shared" si="2"/>
        <v>0.12994710251870381</v>
      </c>
    </row>
    <row r="54" spans="1:10" s="380" customFormat="1" ht="10.5" x14ac:dyDescent="0.2">
      <c r="A54" s="381">
        <v>52</v>
      </c>
      <c r="B54" s="382" t="s">
        <v>382</v>
      </c>
      <c r="C54" s="490">
        <v>1275.5999999999999</v>
      </c>
      <c r="D54" s="451">
        <f>[7]Лист1!F53</f>
        <v>31.5</v>
      </c>
      <c r="E54" s="377">
        <f t="shared" si="4"/>
        <v>1.0431719653179192E-2</v>
      </c>
      <c r="F54" s="377">
        <f t="shared" si="5"/>
        <v>98.026222814306365</v>
      </c>
      <c r="G54" s="377">
        <f t="shared" si="3"/>
        <v>21.5657690191474</v>
      </c>
      <c r="H54" s="377">
        <f>F54*'92'!$C$20/100</f>
        <v>19.496127736169225</v>
      </c>
      <c r="I54" s="402">
        <f>E54*'мат елкт'!$F$25</f>
        <v>22.773991327674455</v>
      </c>
      <c r="J54" s="402">
        <f t="shared" si="2"/>
        <v>0.12689096181976908</v>
      </c>
    </row>
    <row r="55" spans="1:10" s="380" customFormat="1" ht="10.5" x14ac:dyDescent="0.2">
      <c r="A55" s="381">
        <v>53</v>
      </c>
      <c r="B55" s="382" t="s">
        <v>383</v>
      </c>
      <c r="C55" s="490">
        <v>942.4</v>
      </c>
      <c r="D55" s="451">
        <f>[7]Лист1!F54</f>
        <v>21</v>
      </c>
      <c r="E55" s="377">
        <f t="shared" si="4"/>
        <v>6.9544797687861272E-3</v>
      </c>
      <c r="F55" s="377">
        <f t="shared" si="5"/>
        <v>65.350815209537572</v>
      </c>
      <c r="G55" s="377">
        <f t="shared" si="3"/>
        <v>14.377179346098266</v>
      </c>
      <c r="H55" s="377">
        <f>F55*'92'!$C$20/100</f>
        <v>12.997418490779483</v>
      </c>
      <c r="I55" s="402">
        <f>E55*'мат елкт'!$F$25</f>
        <v>15.182660885116302</v>
      </c>
      <c r="J55" s="402">
        <f t="shared" si="2"/>
        <v>0.11450347403600554</v>
      </c>
    </row>
    <row r="56" spans="1:10" s="380" customFormat="1" ht="10.5" x14ac:dyDescent="0.2">
      <c r="A56" s="381">
        <v>54</v>
      </c>
      <c r="B56" s="382" t="s">
        <v>384</v>
      </c>
      <c r="C56" s="490">
        <v>567.95000000000005</v>
      </c>
      <c r="D56" s="451">
        <f>[7]Лист1!F55</f>
        <v>10.5</v>
      </c>
      <c r="E56" s="377">
        <f t="shared" si="4"/>
        <v>3.4772398843930636E-3</v>
      </c>
      <c r="F56" s="377">
        <f t="shared" si="5"/>
        <v>32.675407604768786</v>
      </c>
      <c r="G56" s="377">
        <f t="shared" si="3"/>
        <v>7.1885896730491332</v>
      </c>
      <c r="H56" s="377">
        <f>F56*'92'!$C$20/100</f>
        <v>6.4987092453897413</v>
      </c>
      <c r="I56" s="402">
        <f>E56*'мат елкт'!$F$25</f>
        <v>7.5913304425581511</v>
      </c>
      <c r="J56" s="402">
        <f t="shared" si="2"/>
        <v>9.4997864188336653E-2</v>
      </c>
    </row>
    <row r="57" spans="1:10" s="380" customFormat="1" ht="10.5" x14ac:dyDescent="0.2">
      <c r="A57" s="381">
        <v>55</v>
      </c>
      <c r="B57" s="382" t="s">
        <v>385</v>
      </c>
      <c r="C57" s="490">
        <v>1119.5999999999999</v>
      </c>
      <c r="D57" s="451">
        <f>[7]Лист1!F56</f>
        <v>21</v>
      </c>
      <c r="E57" s="377">
        <f t="shared" si="4"/>
        <v>6.9544797687861272E-3</v>
      </c>
      <c r="F57" s="377">
        <f t="shared" si="5"/>
        <v>65.350815209537572</v>
      </c>
      <c r="G57" s="377">
        <f t="shared" si="3"/>
        <v>14.377179346098266</v>
      </c>
      <c r="H57" s="377">
        <f>F57*'92'!$C$20/100</f>
        <v>12.997418490779483</v>
      </c>
      <c r="I57" s="402">
        <f>E57*'мат елкт'!$F$25</f>
        <v>15.182660885116302</v>
      </c>
      <c r="J57" s="402">
        <f t="shared" si="2"/>
        <v>9.6380916337559505E-2</v>
      </c>
    </row>
    <row r="58" spans="1:10" s="380" customFormat="1" ht="10.5" x14ac:dyDescent="0.2">
      <c r="A58" s="381">
        <v>56</v>
      </c>
      <c r="B58" s="382" t="s">
        <v>386</v>
      </c>
      <c r="C58" s="490">
        <v>946.6</v>
      </c>
      <c r="D58" s="451">
        <f>[7]Лист1!F57</f>
        <v>21</v>
      </c>
      <c r="E58" s="377">
        <f t="shared" si="4"/>
        <v>6.9544797687861272E-3</v>
      </c>
      <c r="F58" s="377">
        <f t="shared" si="5"/>
        <v>65.350815209537572</v>
      </c>
      <c r="G58" s="377">
        <f t="shared" si="3"/>
        <v>14.377179346098266</v>
      </c>
      <c r="H58" s="377">
        <f>F58*'92'!$C$20/100</f>
        <v>12.997418490779483</v>
      </c>
      <c r="I58" s="402">
        <f>E58*'мат елкт'!$F$25</f>
        <v>15.182660885116302</v>
      </c>
      <c r="J58" s="402">
        <f t="shared" si="2"/>
        <v>0.11399542988752548</v>
      </c>
    </row>
    <row r="59" spans="1:10" s="380" customFormat="1" ht="10.5" x14ac:dyDescent="0.2">
      <c r="A59" s="381">
        <v>57</v>
      </c>
      <c r="B59" s="382" t="s">
        <v>387</v>
      </c>
      <c r="C59" s="490">
        <v>1375.7</v>
      </c>
      <c r="D59" s="451">
        <f>[7]Лист1!F58</f>
        <v>31.5</v>
      </c>
      <c r="E59" s="377">
        <f t="shared" si="4"/>
        <v>1.0431719653179192E-2</v>
      </c>
      <c r="F59" s="377">
        <f t="shared" si="5"/>
        <v>98.026222814306365</v>
      </c>
      <c r="G59" s="377">
        <f t="shared" si="3"/>
        <v>21.5657690191474</v>
      </c>
      <c r="H59" s="377">
        <f>F59*'92'!$C$20/100</f>
        <v>19.496127736169225</v>
      </c>
      <c r="I59" s="402">
        <f>E59*'мат елкт'!$F$25</f>
        <v>22.773991327674455</v>
      </c>
      <c r="J59" s="402">
        <f t="shared" si="2"/>
        <v>0.1176580002161063</v>
      </c>
    </row>
    <row r="60" spans="1:10" s="380" customFormat="1" ht="10.5" x14ac:dyDescent="0.2">
      <c r="A60" s="381">
        <v>58</v>
      </c>
      <c r="B60" s="382" t="s">
        <v>388</v>
      </c>
      <c r="C60" s="490">
        <v>1540.17</v>
      </c>
      <c r="D60" s="451">
        <f>[7]Лист1!F59</f>
        <v>42</v>
      </c>
      <c r="E60" s="377">
        <f t="shared" si="4"/>
        <v>1.3908959537572254E-2</v>
      </c>
      <c r="F60" s="377">
        <f t="shared" si="5"/>
        <v>130.70163041907514</v>
      </c>
      <c r="G60" s="377">
        <f t="shared" si="3"/>
        <v>28.754358692196533</v>
      </c>
      <c r="H60" s="377">
        <f>F60*'92'!$C$20/100</f>
        <v>25.994836981558965</v>
      </c>
      <c r="I60" s="402">
        <f>E60*'мат елкт'!$F$25</f>
        <v>30.365321770232605</v>
      </c>
      <c r="J60" s="402">
        <f t="shared" si="2"/>
        <v>0.14012488742350729</v>
      </c>
    </row>
    <row r="61" spans="1:10" s="380" customFormat="1" ht="10.5" x14ac:dyDescent="0.2">
      <c r="A61" s="381">
        <v>59</v>
      </c>
      <c r="B61" s="382" t="s">
        <v>389</v>
      </c>
      <c r="C61" s="490">
        <v>1571.33</v>
      </c>
      <c r="D61" s="451">
        <f>[7]Лист1!F60</f>
        <v>42</v>
      </c>
      <c r="E61" s="377">
        <f t="shared" si="4"/>
        <v>1.3908959537572254E-2</v>
      </c>
      <c r="F61" s="377">
        <f t="shared" si="5"/>
        <v>130.70163041907514</v>
      </c>
      <c r="G61" s="377">
        <f t="shared" si="3"/>
        <v>28.754358692196533</v>
      </c>
      <c r="H61" s="377">
        <f>F61*'92'!$C$20/100</f>
        <v>25.994836981558965</v>
      </c>
      <c r="I61" s="402">
        <f>E61*'мат елкт'!$F$25</f>
        <v>30.365321770232605</v>
      </c>
      <c r="J61" s="402">
        <f t="shared" si="2"/>
        <v>0.13734616399041782</v>
      </c>
    </row>
    <row r="62" spans="1:10" s="380" customFormat="1" ht="10.5" x14ac:dyDescent="0.2">
      <c r="A62" s="381">
        <v>60</v>
      </c>
      <c r="B62" s="382" t="s">
        <v>390</v>
      </c>
      <c r="C62" s="490">
        <v>1686.29</v>
      </c>
      <c r="D62" s="451">
        <f>[7]Лист1!F61</f>
        <v>21</v>
      </c>
      <c r="E62" s="377">
        <f t="shared" si="4"/>
        <v>6.9544797687861272E-3</v>
      </c>
      <c r="F62" s="377">
        <f t="shared" si="5"/>
        <v>65.350815209537572</v>
      </c>
      <c r="G62" s="377">
        <f t="shared" si="3"/>
        <v>14.377179346098266</v>
      </c>
      <c r="H62" s="377">
        <f>F62*'92'!$C$20/100</f>
        <v>12.997418490779483</v>
      </c>
      <c r="I62" s="402">
        <f>E62*'мат елкт'!$F$25</f>
        <v>15.182660885116302</v>
      </c>
      <c r="J62" s="402">
        <f t="shared" si="2"/>
        <v>6.3991409503425634E-2</v>
      </c>
    </row>
    <row r="63" spans="1:10" s="380" customFormat="1" ht="10.5" x14ac:dyDescent="0.2">
      <c r="A63" s="381">
        <v>61</v>
      </c>
      <c r="B63" s="382" t="s">
        <v>391</v>
      </c>
      <c r="C63" s="490">
        <v>454.2</v>
      </c>
      <c r="D63" s="451">
        <f>[7]Лист1!F62</f>
        <v>10.5</v>
      </c>
      <c r="E63" s="377">
        <f t="shared" si="4"/>
        <v>3.4772398843930636E-3</v>
      </c>
      <c r="F63" s="377">
        <f t="shared" si="5"/>
        <v>32.675407604768786</v>
      </c>
      <c r="G63" s="377">
        <f t="shared" si="3"/>
        <v>7.1885896730491332</v>
      </c>
      <c r="H63" s="377">
        <f>F63*'92'!$C$20/100</f>
        <v>6.4987092453897413</v>
      </c>
      <c r="I63" s="402">
        <f>E63*'мат елкт'!$F$25</f>
        <v>7.5913304425581511</v>
      </c>
      <c r="J63" s="402">
        <f t="shared" si="2"/>
        <v>0.11878916108711099</v>
      </c>
    </row>
    <row r="64" spans="1:10" s="380" customFormat="1" ht="10.5" x14ac:dyDescent="0.2">
      <c r="A64" s="381">
        <v>62</v>
      </c>
      <c r="B64" s="382" t="s">
        <v>392</v>
      </c>
      <c r="C64" s="490">
        <v>752.4</v>
      </c>
      <c r="D64" s="451">
        <f>[7]Лист1!F63</f>
        <v>21</v>
      </c>
      <c r="E64" s="377">
        <f t="shared" si="4"/>
        <v>6.9544797687861272E-3</v>
      </c>
      <c r="F64" s="377">
        <f t="shared" si="5"/>
        <v>65.350815209537572</v>
      </c>
      <c r="G64" s="377">
        <f t="shared" si="3"/>
        <v>14.377179346098266</v>
      </c>
      <c r="H64" s="377">
        <f>F64*'92'!$C$20/100</f>
        <v>12.997418490779483</v>
      </c>
      <c r="I64" s="402">
        <f>E64*'мат елкт'!$F$25</f>
        <v>15.182660885116302</v>
      </c>
      <c r="J64" s="402">
        <f t="shared" si="2"/>
        <v>0.14341849273196652</v>
      </c>
    </row>
    <row r="65" spans="1:10" s="380" customFormat="1" ht="10.5" x14ac:dyDescent="0.2">
      <c r="A65" s="381">
        <v>63</v>
      </c>
      <c r="B65" s="382" t="s">
        <v>393</v>
      </c>
      <c r="C65" s="490">
        <v>956.4</v>
      </c>
      <c r="D65" s="451">
        <f>[7]Лист1!F64</f>
        <v>21</v>
      </c>
      <c r="E65" s="377">
        <f t="shared" si="4"/>
        <v>6.9544797687861272E-3</v>
      </c>
      <c r="F65" s="377">
        <f t="shared" si="5"/>
        <v>65.350815209537572</v>
      </c>
      <c r="G65" s="377">
        <f t="shared" si="3"/>
        <v>14.377179346098266</v>
      </c>
      <c r="H65" s="377">
        <f>F65*'92'!$C$20/100</f>
        <v>12.997418490779483</v>
      </c>
      <c r="I65" s="402">
        <f>E65*'мат елкт'!$F$25</f>
        <v>15.182660885116302</v>
      </c>
      <c r="J65" s="402">
        <f t="shared" si="2"/>
        <v>0.11282734622703014</v>
      </c>
    </row>
    <row r="66" spans="1:10" s="380" customFormat="1" ht="10.5" x14ac:dyDescent="0.2">
      <c r="A66" s="381">
        <v>64</v>
      </c>
      <c r="B66" s="382" t="s">
        <v>394</v>
      </c>
      <c r="C66" s="490">
        <v>955.5</v>
      </c>
      <c r="D66" s="451">
        <f>[7]Лист1!F65</f>
        <v>21</v>
      </c>
      <c r="E66" s="377">
        <f t="shared" si="4"/>
        <v>6.9544797687861272E-3</v>
      </c>
      <c r="F66" s="377">
        <f t="shared" si="5"/>
        <v>65.350815209537572</v>
      </c>
      <c r="G66" s="377">
        <f t="shared" si="3"/>
        <v>14.377179346098266</v>
      </c>
      <c r="H66" s="377">
        <f>F66*'92'!$C$20/100</f>
        <v>12.997418490779483</v>
      </c>
      <c r="I66" s="402">
        <f>E66*'мат елкт'!$F$25</f>
        <v>15.182660885116302</v>
      </c>
      <c r="J66" s="402">
        <f t="shared" si="2"/>
        <v>0.1129336200225344</v>
      </c>
    </row>
    <row r="67" spans="1:10" s="380" customFormat="1" ht="10.5" x14ac:dyDescent="0.2">
      <c r="A67" s="381">
        <v>65</v>
      </c>
      <c r="B67" s="382" t="s">
        <v>395</v>
      </c>
      <c r="C67" s="490">
        <v>1548.5</v>
      </c>
      <c r="D67" s="451">
        <f>[7]Лист1!F66</f>
        <v>42</v>
      </c>
      <c r="E67" s="377">
        <f t="shared" ref="E67:E130" si="6">D67/$E$163</f>
        <v>1.3908959537572254E-2</v>
      </c>
      <c r="F67" s="377">
        <f t="shared" ref="F67:F130" si="7">E67*$F$163</f>
        <v>130.70163041907514</v>
      </c>
      <c r="G67" s="377">
        <f t="shared" si="3"/>
        <v>28.754358692196533</v>
      </c>
      <c r="H67" s="377">
        <f>F67*'92'!$C$20/100</f>
        <v>25.994836981558965</v>
      </c>
      <c r="I67" s="402">
        <f>E67*'мат елкт'!$F$25</f>
        <v>30.365321770232605</v>
      </c>
      <c r="J67" s="402">
        <f t="shared" si="2"/>
        <v>0.13937109968554293</v>
      </c>
    </row>
    <row r="68" spans="1:10" s="380" customFormat="1" ht="10.5" x14ac:dyDescent="0.2">
      <c r="A68" s="381">
        <v>66</v>
      </c>
      <c r="B68" s="382" t="s">
        <v>396</v>
      </c>
      <c r="C68" s="490">
        <v>1567.3</v>
      </c>
      <c r="D68" s="451">
        <f>[7]Лист1!F67</f>
        <v>42</v>
      </c>
      <c r="E68" s="377">
        <f t="shared" si="6"/>
        <v>1.3908959537572254E-2</v>
      </c>
      <c r="F68" s="377">
        <f t="shared" si="7"/>
        <v>130.70163041907514</v>
      </c>
      <c r="G68" s="377">
        <f t="shared" ref="G68:G131" si="8">F68*22/100</f>
        <v>28.754358692196533</v>
      </c>
      <c r="H68" s="377">
        <f>F68*'92'!$C$20/100</f>
        <v>25.994836981558965</v>
      </c>
      <c r="I68" s="402">
        <f>E68*'мат елкт'!$F$25</f>
        <v>30.365321770232605</v>
      </c>
      <c r="J68" s="402">
        <f t="shared" ref="J68:J161" si="9">((F68+G68+H68+I68)/C68)</f>
        <v>0.13769932231421123</v>
      </c>
    </row>
    <row r="69" spans="1:10" s="380" customFormat="1" ht="10.5" x14ac:dyDescent="0.2">
      <c r="A69" s="381">
        <v>67</v>
      </c>
      <c r="B69" s="382" t="s">
        <v>397</v>
      </c>
      <c r="C69" s="490">
        <v>1558.46</v>
      </c>
      <c r="D69" s="451">
        <f>[7]Лист1!F68</f>
        <v>42</v>
      </c>
      <c r="E69" s="377">
        <f t="shared" si="6"/>
        <v>1.3908959537572254E-2</v>
      </c>
      <c r="F69" s="377">
        <f t="shared" si="7"/>
        <v>130.70163041907514</v>
      </c>
      <c r="G69" s="377">
        <f t="shared" si="8"/>
        <v>28.754358692196533</v>
      </c>
      <c r="H69" s="377">
        <f>F69*'92'!$C$20/100</f>
        <v>25.994836981558965</v>
      </c>
      <c r="I69" s="402">
        <f>E69*'мат елкт'!$F$25</f>
        <v>30.365321770232605</v>
      </c>
      <c r="J69" s="402">
        <f t="shared" si="9"/>
        <v>0.13848038952752284</v>
      </c>
    </row>
    <row r="70" spans="1:10" s="380" customFormat="1" ht="10.5" x14ac:dyDescent="0.2">
      <c r="A70" s="381">
        <v>68</v>
      </c>
      <c r="B70" s="382" t="s">
        <v>398</v>
      </c>
      <c r="C70" s="490">
        <v>1575.7</v>
      </c>
      <c r="D70" s="451">
        <f>[7]Лист1!F69</f>
        <v>42</v>
      </c>
      <c r="E70" s="377">
        <f t="shared" si="6"/>
        <v>1.3908959537572254E-2</v>
      </c>
      <c r="F70" s="377">
        <f t="shared" si="7"/>
        <v>130.70163041907514</v>
      </c>
      <c r="G70" s="377">
        <f t="shared" si="8"/>
        <v>28.754358692196533</v>
      </c>
      <c r="H70" s="377">
        <f>F70*'92'!$C$20/100</f>
        <v>25.994836981558965</v>
      </c>
      <c r="I70" s="402">
        <f>E70*'мат елкт'!$F$25</f>
        <v>30.365321770232605</v>
      </c>
      <c r="J70" s="402">
        <f t="shared" si="9"/>
        <v>0.13696525218192754</v>
      </c>
    </row>
    <row r="71" spans="1:10" s="380" customFormat="1" ht="10.5" x14ac:dyDescent="0.2">
      <c r="A71" s="381">
        <v>69</v>
      </c>
      <c r="B71" s="382" t="s">
        <v>399</v>
      </c>
      <c r="C71" s="490">
        <v>1546.3</v>
      </c>
      <c r="D71" s="451">
        <f>[7]Лист1!F70</f>
        <v>42</v>
      </c>
      <c r="E71" s="377">
        <f t="shared" si="6"/>
        <v>1.3908959537572254E-2</v>
      </c>
      <c r="F71" s="377">
        <f t="shared" si="7"/>
        <v>130.70163041907514</v>
      </c>
      <c r="G71" s="377">
        <f t="shared" si="8"/>
        <v>28.754358692196533</v>
      </c>
      <c r="H71" s="377">
        <f>F71*'92'!$C$20/100</f>
        <v>25.994836981558965</v>
      </c>
      <c r="I71" s="402">
        <f>E71*'мат елкт'!$F$25</f>
        <v>30.365321770232605</v>
      </c>
      <c r="J71" s="402">
        <f t="shared" si="9"/>
        <v>0.13956939006859162</v>
      </c>
    </row>
    <row r="72" spans="1:10" s="380" customFormat="1" ht="10.5" x14ac:dyDescent="0.2">
      <c r="A72" s="381">
        <v>70</v>
      </c>
      <c r="B72" s="382" t="s">
        <v>400</v>
      </c>
      <c r="C72" s="490">
        <v>563.1</v>
      </c>
      <c r="D72" s="451">
        <f>[7]Лист1!F71</f>
        <v>10.5</v>
      </c>
      <c r="E72" s="377">
        <f t="shared" si="6"/>
        <v>3.4772398843930636E-3</v>
      </c>
      <c r="F72" s="377">
        <f t="shared" si="7"/>
        <v>32.675407604768786</v>
      </c>
      <c r="G72" s="377">
        <f t="shared" si="8"/>
        <v>7.1885896730491332</v>
      </c>
      <c r="H72" s="377">
        <f>F72*'92'!$C$20/100</f>
        <v>6.4987092453897413</v>
      </c>
      <c r="I72" s="402">
        <f>E72*'мат елкт'!$F$25</f>
        <v>7.5913304425581511</v>
      </c>
      <c r="J72" s="402">
        <f t="shared" si="9"/>
        <v>9.5816084116082056E-2</v>
      </c>
    </row>
    <row r="73" spans="1:10" s="380" customFormat="1" ht="10.5" x14ac:dyDescent="0.2">
      <c r="A73" s="381">
        <v>71</v>
      </c>
      <c r="B73" s="382" t="s">
        <v>401</v>
      </c>
      <c r="C73" s="490">
        <v>549.6</v>
      </c>
      <c r="D73" s="451">
        <f>[7]Лист1!F72</f>
        <v>10.5</v>
      </c>
      <c r="E73" s="377">
        <f t="shared" si="6"/>
        <v>3.4772398843930636E-3</v>
      </c>
      <c r="F73" s="377">
        <f t="shared" si="7"/>
        <v>32.675407604768786</v>
      </c>
      <c r="G73" s="377">
        <f t="shared" si="8"/>
        <v>7.1885896730491332</v>
      </c>
      <c r="H73" s="377">
        <f>F73*'92'!$C$20/100</f>
        <v>6.4987092453897413</v>
      </c>
      <c r="I73" s="402">
        <f>E73*'мат елкт'!$F$25</f>
        <v>7.5913304425581511</v>
      </c>
      <c r="J73" s="402">
        <f t="shared" si="9"/>
        <v>9.8169645134217262E-2</v>
      </c>
    </row>
    <row r="74" spans="1:10" s="380" customFormat="1" ht="10.5" x14ac:dyDescent="0.2">
      <c r="A74" s="381">
        <v>72</v>
      </c>
      <c r="B74" s="382" t="s">
        <v>402</v>
      </c>
      <c r="C74" s="490">
        <v>983</v>
      </c>
      <c r="D74" s="451">
        <f>[7]Лист1!F73</f>
        <v>21</v>
      </c>
      <c r="E74" s="377">
        <f t="shared" si="6"/>
        <v>6.9544797687861272E-3</v>
      </c>
      <c r="F74" s="377">
        <f t="shared" si="7"/>
        <v>65.350815209537572</v>
      </c>
      <c r="G74" s="377">
        <f t="shared" si="8"/>
        <v>14.377179346098266</v>
      </c>
      <c r="H74" s="377">
        <f>F74*'92'!$C$20/100</f>
        <v>12.997418490779483</v>
      </c>
      <c r="I74" s="402">
        <f>E74*'мат елкт'!$F$25</f>
        <v>15.182660885116302</v>
      </c>
      <c r="J74" s="402">
        <f t="shared" si="9"/>
        <v>0.10977423594255506</v>
      </c>
    </row>
    <row r="75" spans="1:10" s="380" customFormat="1" ht="10.5" x14ac:dyDescent="0.2">
      <c r="A75" s="381">
        <v>73</v>
      </c>
      <c r="B75" s="382" t="s">
        <v>403</v>
      </c>
      <c r="C75" s="490">
        <v>1093.5999999999999</v>
      </c>
      <c r="D75" s="451">
        <f>[7]Лист1!F74</f>
        <v>21</v>
      </c>
      <c r="E75" s="377">
        <f t="shared" si="6"/>
        <v>6.9544797687861272E-3</v>
      </c>
      <c r="F75" s="377">
        <f t="shared" si="7"/>
        <v>65.350815209537572</v>
      </c>
      <c r="G75" s="377">
        <f t="shared" si="8"/>
        <v>14.377179346098266</v>
      </c>
      <c r="H75" s="377">
        <f>F75*'92'!$C$20/100</f>
        <v>12.997418490779483</v>
      </c>
      <c r="I75" s="402">
        <f>E75*'мат елкт'!$F$25</f>
        <v>15.182660885116302</v>
      </c>
      <c r="J75" s="402">
        <f t="shared" si="9"/>
        <v>9.8672342658679246E-2</v>
      </c>
    </row>
    <row r="76" spans="1:10" s="380" customFormat="1" ht="10.5" x14ac:dyDescent="0.2">
      <c r="A76" s="381">
        <v>74</v>
      </c>
      <c r="B76" s="382" t="s">
        <v>404</v>
      </c>
      <c r="C76" s="490">
        <v>773.53</v>
      </c>
      <c r="D76" s="451">
        <f>[7]Лист1!F75</f>
        <v>21</v>
      </c>
      <c r="E76" s="377">
        <f t="shared" si="6"/>
        <v>6.9544797687861272E-3</v>
      </c>
      <c r="F76" s="377">
        <f t="shared" si="7"/>
        <v>65.350815209537572</v>
      </c>
      <c r="G76" s="377">
        <f t="shared" si="8"/>
        <v>14.377179346098266</v>
      </c>
      <c r="H76" s="377">
        <f>F76*'92'!$C$20/100</f>
        <v>12.997418490779483</v>
      </c>
      <c r="I76" s="402">
        <f>E76*'мат елкт'!$F$25</f>
        <v>15.182660885116302</v>
      </c>
      <c r="J76" s="402">
        <f t="shared" si="9"/>
        <v>0.1395008259945078</v>
      </c>
    </row>
    <row r="77" spans="1:10" s="380" customFormat="1" ht="10.5" x14ac:dyDescent="0.2">
      <c r="A77" s="381">
        <v>75</v>
      </c>
      <c r="B77" s="382" t="s">
        <v>405</v>
      </c>
      <c r="C77" s="490">
        <v>1603.4</v>
      </c>
      <c r="D77" s="451">
        <f>[7]Лист1!F76</f>
        <v>52.5</v>
      </c>
      <c r="E77" s="377">
        <f t="shared" si="6"/>
        <v>1.7386199421965318E-2</v>
      </c>
      <c r="F77" s="377">
        <f t="shared" si="7"/>
        <v>163.37703802384394</v>
      </c>
      <c r="G77" s="377">
        <f t="shared" si="8"/>
        <v>35.942948365245663</v>
      </c>
      <c r="H77" s="377">
        <f>F77*'92'!$C$20/100</f>
        <v>32.493546226948709</v>
      </c>
      <c r="I77" s="402">
        <f>E77*'мат елкт'!$F$25</f>
        <v>37.956652212790758</v>
      </c>
      <c r="J77" s="402">
        <f t="shared" si="9"/>
        <v>0.16824883673994576</v>
      </c>
    </row>
    <row r="78" spans="1:10" s="380" customFormat="1" ht="10.5" x14ac:dyDescent="0.2">
      <c r="A78" s="381">
        <v>76</v>
      </c>
      <c r="B78" s="382" t="s">
        <v>406</v>
      </c>
      <c r="C78" s="490">
        <v>561.1</v>
      </c>
      <c r="D78" s="451">
        <f>[7]Лист1!F77</f>
        <v>10.5</v>
      </c>
      <c r="E78" s="377">
        <f t="shared" si="6"/>
        <v>3.4772398843930636E-3</v>
      </c>
      <c r="F78" s="377">
        <f t="shared" si="7"/>
        <v>32.675407604768786</v>
      </c>
      <c r="G78" s="377">
        <f t="shared" si="8"/>
        <v>7.1885896730491332</v>
      </c>
      <c r="H78" s="377">
        <f>F78*'92'!$C$20/100</f>
        <v>6.4987092453897413</v>
      </c>
      <c r="I78" s="402">
        <f>E78*'мат елкт'!$F$25</f>
        <v>7.5913304425581511</v>
      </c>
      <c r="J78" s="402">
        <f t="shared" si="9"/>
        <v>9.6157613555098567E-2</v>
      </c>
    </row>
    <row r="79" spans="1:10" s="380" customFormat="1" ht="10.5" x14ac:dyDescent="0.2">
      <c r="A79" s="381">
        <v>77</v>
      </c>
      <c r="B79" s="382" t="s">
        <v>407</v>
      </c>
      <c r="C79" s="490">
        <v>780.4</v>
      </c>
      <c r="D79" s="451">
        <f>[7]Лист1!F78</f>
        <v>21</v>
      </c>
      <c r="E79" s="377">
        <f t="shared" si="6"/>
        <v>6.9544797687861272E-3</v>
      </c>
      <c r="F79" s="377">
        <f t="shared" si="7"/>
        <v>65.350815209537572</v>
      </c>
      <c r="G79" s="377">
        <f t="shared" si="8"/>
        <v>14.377179346098266</v>
      </c>
      <c r="H79" s="377">
        <f>F79*'92'!$C$20/100</f>
        <v>12.997418490779483</v>
      </c>
      <c r="I79" s="402">
        <f>E79*'мат елкт'!$F$25</f>
        <v>15.182660885116302</v>
      </c>
      <c r="J79" s="402">
        <f t="shared" si="9"/>
        <v>0.13827277541200875</v>
      </c>
    </row>
    <row r="80" spans="1:10" s="380" customFormat="1" ht="10.5" x14ac:dyDescent="0.2">
      <c r="A80" s="381">
        <v>78</v>
      </c>
      <c r="B80" s="382" t="s">
        <v>408</v>
      </c>
      <c r="C80" s="490">
        <v>1890.1</v>
      </c>
      <c r="D80" s="451">
        <f>[7]Лист1!F79</f>
        <v>31.5</v>
      </c>
      <c r="E80" s="377">
        <f t="shared" si="6"/>
        <v>1.0431719653179192E-2</v>
      </c>
      <c r="F80" s="377">
        <f t="shared" si="7"/>
        <v>98.026222814306365</v>
      </c>
      <c r="G80" s="377">
        <f t="shared" si="8"/>
        <v>21.5657690191474</v>
      </c>
      <c r="H80" s="377">
        <f>F80*'92'!$C$20/100</f>
        <v>19.496127736169225</v>
      </c>
      <c r="I80" s="402">
        <f>E80*'мат елкт'!$F$25</f>
        <v>22.773991327674455</v>
      </c>
      <c r="J80" s="402">
        <f t="shared" si="9"/>
        <v>8.5636797469603426E-2</v>
      </c>
    </row>
    <row r="81" spans="1:10" s="380" customFormat="1" ht="10.5" x14ac:dyDescent="0.2">
      <c r="A81" s="381">
        <v>79</v>
      </c>
      <c r="B81" s="382" t="s">
        <v>409</v>
      </c>
      <c r="C81" s="490">
        <v>1734.5</v>
      </c>
      <c r="D81" s="451">
        <f>[7]Лист1!F80</f>
        <v>31.5</v>
      </c>
      <c r="E81" s="377">
        <f t="shared" si="6"/>
        <v>1.0431719653179192E-2</v>
      </c>
      <c r="F81" s="377">
        <f t="shared" si="7"/>
        <v>98.026222814306365</v>
      </c>
      <c r="G81" s="377">
        <f t="shared" si="8"/>
        <v>21.5657690191474</v>
      </c>
      <c r="H81" s="377">
        <f>F81*'92'!$C$20/100</f>
        <v>19.496127736169225</v>
      </c>
      <c r="I81" s="402">
        <f>E81*'мат елкт'!$F$25</f>
        <v>22.773991327674455</v>
      </c>
      <c r="J81" s="402">
        <f t="shared" si="9"/>
        <v>9.3319176072238358E-2</v>
      </c>
    </row>
    <row r="82" spans="1:10" s="380" customFormat="1" ht="10.5" x14ac:dyDescent="0.2">
      <c r="A82" s="381">
        <v>80</v>
      </c>
      <c r="B82" s="382" t="s">
        <v>410</v>
      </c>
      <c r="C82" s="490">
        <v>1565.58</v>
      </c>
      <c r="D82" s="451">
        <f>[7]Лист1!F81</f>
        <v>31.5</v>
      </c>
      <c r="E82" s="377">
        <f t="shared" si="6"/>
        <v>1.0431719653179192E-2</v>
      </c>
      <c r="F82" s="377">
        <f t="shared" si="7"/>
        <v>98.026222814306365</v>
      </c>
      <c r="G82" s="377">
        <f t="shared" si="8"/>
        <v>21.5657690191474</v>
      </c>
      <c r="H82" s="377">
        <f>F82*'92'!$C$20/100</f>
        <v>19.496127736169225</v>
      </c>
      <c r="I82" s="402">
        <f>E82*'мат елкт'!$F$25</f>
        <v>22.773991327674455</v>
      </c>
      <c r="J82" s="402">
        <f t="shared" si="9"/>
        <v>0.10338795264202241</v>
      </c>
    </row>
    <row r="83" spans="1:10" s="380" customFormat="1" ht="10.5" x14ac:dyDescent="0.2">
      <c r="A83" s="381">
        <v>81</v>
      </c>
      <c r="B83" s="382" t="s">
        <v>411</v>
      </c>
      <c r="C83" s="490">
        <v>2043.8</v>
      </c>
      <c r="D83" s="451">
        <f>[7]Лист1!$F$84</f>
        <v>42</v>
      </c>
      <c r="E83" s="377">
        <f t="shared" si="6"/>
        <v>1.3908959537572254E-2</v>
      </c>
      <c r="F83" s="377">
        <f t="shared" si="7"/>
        <v>130.70163041907514</v>
      </c>
      <c r="G83" s="377">
        <f t="shared" si="8"/>
        <v>28.754358692196533</v>
      </c>
      <c r="H83" s="377">
        <f>F83*'92'!$C$20/100</f>
        <v>25.994836981558965</v>
      </c>
      <c r="I83" s="402">
        <f>E83*'мат елкт'!$F$25</f>
        <v>30.365321770232605</v>
      </c>
      <c r="J83" s="402">
        <f t="shared" si="9"/>
        <v>0.10559553178543069</v>
      </c>
    </row>
    <row r="84" spans="1:10" s="380" customFormat="1" ht="10.5" x14ac:dyDescent="0.2">
      <c r="A84" s="381">
        <v>82</v>
      </c>
      <c r="B84" s="382" t="s">
        <v>412</v>
      </c>
      <c r="C84" s="490">
        <v>1277.5999999999999</v>
      </c>
      <c r="D84" s="451">
        <f>[7]Лист1!$F$82</f>
        <v>28</v>
      </c>
      <c r="E84" s="377">
        <f t="shared" si="6"/>
        <v>9.2726396917148374E-3</v>
      </c>
      <c r="F84" s="377">
        <f t="shared" si="7"/>
        <v>87.134420279383448</v>
      </c>
      <c r="G84" s="377">
        <f t="shared" si="8"/>
        <v>19.169572461464359</v>
      </c>
      <c r="H84" s="377">
        <f>F84*'92'!$C$20/100</f>
        <v>17.329891321039316</v>
      </c>
      <c r="I84" s="402">
        <f>E84*'мат елкт'!$F$25</f>
        <v>20.243547846821738</v>
      </c>
      <c r="J84" s="402">
        <f t="shared" si="9"/>
        <v>0.11261539754908333</v>
      </c>
    </row>
    <row r="85" spans="1:10" s="380" customFormat="1" ht="10.5" x14ac:dyDescent="0.2">
      <c r="A85" s="381">
        <v>83</v>
      </c>
      <c r="B85" s="382" t="s">
        <v>413</v>
      </c>
      <c r="C85" s="490">
        <v>1281.1500000000001</v>
      </c>
      <c r="D85" s="451">
        <f>[7]Лист1!$F$83</f>
        <v>28</v>
      </c>
      <c r="E85" s="377">
        <f t="shared" si="6"/>
        <v>9.2726396917148374E-3</v>
      </c>
      <c r="F85" s="377">
        <f t="shared" si="7"/>
        <v>87.134420279383448</v>
      </c>
      <c r="G85" s="377">
        <f t="shared" si="8"/>
        <v>19.169572461464359</v>
      </c>
      <c r="H85" s="377">
        <f>F85*'92'!$C$20/100</f>
        <v>17.329891321039316</v>
      </c>
      <c r="I85" s="402">
        <f>E85*'мат елкт'!$F$25</f>
        <v>20.243547846821738</v>
      </c>
      <c r="J85" s="402">
        <f t="shared" si="9"/>
        <v>0.11230334614113011</v>
      </c>
    </row>
    <row r="86" spans="1:10" s="380" customFormat="1" ht="10.5" x14ac:dyDescent="0.2">
      <c r="A86" s="381">
        <v>84</v>
      </c>
      <c r="B86" s="382" t="s">
        <v>414</v>
      </c>
      <c r="C86" s="490">
        <v>1492.3</v>
      </c>
      <c r="D86" s="451">
        <f>[7]Лист1!$F$85</f>
        <v>28</v>
      </c>
      <c r="E86" s="377">
        <f t="shared" si="6"/>
        <v>9.2726396917148374E-3</v>
      </c>
      <c r="F86" s="377">
        <f t="shared" si="7"/>
        <v>87.134420279383448</v>
      </c>
      <c r="G86" s="377">
        <f t="shared" si="8"/>
        <v>19.169572461464359</v>
      </c>
      <c r="H86" s="377">
        <f>F86*'92'!$C$20/100</f>
        <v>17.329891321039316</v>
      </c>
      <c r="I86" s="402">
        <f>E86*'мат елкт'!$F$25</f>
        <v>20.243547846821738</v>
      </c>
      <c r="J86" s="402">
        <f t="shared" si="9"/>
        <v>9.6413209079078507E-2</v>
      </c>
    </row>
    <row r="87" spans="1:10" s="380" customFormat="1" ht="10.5" x14ac:dyDescent="0.2">
      <c r="A87" s="381">
        <v>85</v>
      </c>
      <c r="B87" s="382" t="s">
        <v>415</v>
      </c>
      <c r="C87" s="490">
        <v>4130.75</v>
      </c>
      <c r="D87" s="451">
        <f>[7]Лист1!F86</f>
        <v>84</v>
      </c>
      <c r="E87" s="377">
        <f t="shared" si="6"/>
        <v>2.7817919075144509E-2</v>
      </c>
      <c r="F87" s="377">
        <f t="shared" si="7"/>
        <v>261.40326083815029</v>
      </c>
      <c r="G87" s="377">
        <f t="shared" si="8"/>
        <v>57.508717384393066</v>
      </c>
      <c r="H87" s="377">
        <f>F87*'92'!$C$20/100</f>
        <v>51.98967396311793</v>
      </c>
      <c r="I87" s="402">
        <f>E87*'мат елкт'!$F$25</f>
        <v>60.730643540465209</v>
      </c>
      <c r="J87" s="402">
        <f t="shared" si="9"/>
        <v>0.10449247611841106</v>
      </c>
    </row>
    <row r="88" spans="1:10" s="380" customFormat="1" ht="10.5" x14ac:dyDescent="0.2">
      <c r="A88" s="381">
        <v>86</v>
      </c>
      <c r="B88" s="382" t="s">
        <v>416</v>
      </c>
      <c r="C88" s="490">
        <v>3262.1</v>
      </c>
      <c r="D88" s="451">
        <f>[7]Лист1!F87</f>
        <v>70</v>
      </c>
      <c r="E88" s="377">
        <f t="shared" si="6"/>
        <v>2.318159922928709E-2</v>
      </c>
      <c r="F88" s="377">
        <f t="shared" si="7"/>
        <v>217.83605069845856</v>
      </c>
      <c r="G88" s="377">
        <f t="shared" si="8"/>
        <v>47.923931153660888</v>
      </c>
      <c r="H88" s="377">
        <f>F88*'92'!$C$20/100</f>
        <v>43.324728302598281</v>
      </c>
      <c r="I88" s="402">
        <f>E88*'мат елкт'!$F$25</f>
        <v>50.608869617054339</v>
      </c>
      <c r="J88" s="402">
        <f t="shared" si="9"/>
        <v>0.11026442468709483</v>
      </c>
    </row>
    <row r="89" spans="1:10" s="380" customFormat="1" ht="10.5" x14ac:dyDescent="0.2">
      <c r="A89" s="381">
        <v>87</v>
      </c>
      <c r="B89" s="382" t="s">
        <v>417</v>
      </c>
      <c r="C89" s="490">
        <v>1516.8</v>
      </c>
      <c r="D89" s="451">
        <f>[7]Лист1!F88</f>
        <v>42</v>
      </c>
      <c r="E89" s="377">
        <f t="shared" si="6"/>
        <v>1.3908959537572254E-2</v>
      </c>
      <c r="F89" s="377">
        <f t="shared" si="7"/>
        <v>130.70163041907514</v>
      </c>
      <c r="G89" s="377">
        <f t="shared" si="8"/>
        <v>28.754358692196533</v>
      </c>
      <c r="H89" s="377">
        <f>F89*'92'!$C$20/100</f>
        <v>25.994836981558965</v>
      </c>
      <c r="I89" s="402">
        <f>E89*'мат елкт'!$F$25</f>
        <v>30.365321770232605</v>
      </c>
      <c r="J89" s="402">
        <f t="shared" si="9"/>
        <v>0.14228385275782124</v>
      </c>
    </row>
    <row r="90" spans="1:10" s="380" customFormat="1" ht="10.5" x14ac:dyDescent="0.2">
      <c r="A90" s="381">
        <v>88</v>
      </c>
      <c r="B90" s="382" t="s">
        <v>418</v>
      </c>
      <c r="C90" s="490">
        <v>752.42</v>
      </c>
      <c r="D90" s="451">
        <f>[7]Лист1!F89</f>
        <v>14</v>
      </c>
      <c r="E90" s="377">
        <f t="shared" si="6"/>
        <v>4.6363198458574187E-3</v>
      </c>
      <c r="F90" s="377">
        <f t="shared" si="7"/>
        <v>43.567210139691724</v>
      </c>
      <c r="G90" s="377">
        <f t="shared" si="8"/>
        <v>9.5847862307321794</v>
      </c>
      <c r="H90" s="377">
        <f>F90*'92'!$C$20/100</f>
        <v>8.664945660519658</v>
      </c>
      <c r="I90" s="402">
        <f>E90*'мат елкт'!$F$25</f>
        <v>10.121773923410869</v>
      </c>
      <c r="J90" s="402">
        <f t="shared" si="9"/>
        <v>9.5609787026334256E-2</v>
      </c>
    </row>
    <row r="91" spans="1:10" s="380" customFormat="1" ht="10.5" x14ac:dyDescent="0.2">
      <c r="A91" s="381">
        <v>89</v>
      </c>
      <c r="B91" s="382" t="s">
        <v>419</v>
      </c>
      <c r="C91" s="490">
        <v>771.7</v>
      </c>
      <c r="D91" s="451">
        <f>[7]Лист1!F90</f>
        <v>14</v>
      </c>
      <c r="E91" s="377">
        <f t="shared" si="6"/>
        <v>4.6363198458574187E-3</v>
      </c>
      <c r="F91" s="377">
        <f t="shared" si="7"/>
        <v>43.567210139691724</v>
      </c>
      <c r="G91" s="377">
        <f t="shared" si="8"/>
        <v>9.5847862307321794</v>
      </c>
      <c r="H91" s="377">
        <f>F91*'92'!$C$20/100</f>
        <v>8.664945660519658</v>
      </c>
      <c r="I91" s="402">
        <f>E91*'мат елкт'!$F$25</f>
        <v>10.121773923410869</v>
      </c>
      <c r="J91" s="402">
        <f t="shared" si="9"/>
        <v>9.3221091038427392E-2</v>
      </c>
    </row>
    <row r="92" spans="1:10" s="380" customFormat="1" ht="10.5" x14ac:dyDescent="0.2">
      <c r="A92" s="381">
        <v>90</v>
      </c>
      <c r="B92" s="382" t="s">
        <v>420</v>
      </c>
      <c r="C92" s="490">
        <v>1545</v>
      </c>
      <c r="D92" s="451">
        <f>[7]Лист1!F91</f>
        <v>42</v>
      </c>
      <c r="E92" s="377">
        <f t="shared" si="6"/>
        <v>1.3908959537572254E-2</v>
      </c>
      <c r="F92" s="377">
        <f t="shared" si="7"/>
        <v>130.70163041907514</v>
      </c>
      <c r="G92" s="377">
        <f t="shared" si="8"/>
        <v>28.754358692196533</v>
      </c>
      <c r="H92" s="377">
        <f>F92*'92'!$C$20/100</f>
        <v>25.994836981558965</v>
      </c>
      <c r="I92" s="402">
        <f>E92*'мат елкт'!$F$25</f>
        <v>30.365321770232605</v>
      </c>
      <c r="J92" s="402">
        <f t="shared" si="9"/>
        <v>0.1396868270958338</v>
      </c>
    </row>
    <row r="93" spans="1:10" s="380" customFormat="1" ht="10.5" x14ac:dyDescent="0.2">
      <c r="A93" s="381">
        <v>91</v>
      </c>
      <c r="B93" s="382" t="s">
        <v>421</v>
      </c>
      <c r="C93" s="490">
        <v>769.7</v>
      </c>
      <c r="D93" s="451">
        <f>[7]Лист1!F92</f>
        <v>14</v>
      </c>
      <c r="E93" s="377">
        <f t="shared" si="6"/>
        <v>4.6363198458574187E-3</v>
      </c>
      <c r="F93" s="377">
        <f t="shared" si="7"/>
        <v>43.567210139691724</v>
      </c>
      <c r="G93" s="377">
        <f t="shared" si="8"/>
        <v>9.5847862307321794</v>
      </c>
      <c r="H93" s="377">
        <f>F93*'92'!$C$20/100</f>
        <v>8.664945660519658</v>
      </c>
      <c r="I93" s="402">
        <f>E93*'мат елкт'!$F$25</f>
        <v>10.121773923410869</v>
      </c>
      <c r="J93" s="402">
        <f t="shared" si="9"/>
        <v>9.3463318116609614E-2</v>
      </c>
    </row>
    <row r="94" spans="1:10" s="380" customFormat="1" ht="10.5" x14ac:dyDescent="0.2">
      <c r="A94" s="381">
        <v>92</v>
      </c>
      <c r="B94" s="382" t="s">
        <v>422</v>
      </c>
      <c r="C94" s="490">
        <v>776.9</v>
      </c>
      <c r="D94" s="451">
        <f>[7]Лист1!F93</f>
        <v>14</v>
      </c>
      <c r="E94" s="377">
        <f t="shared" si="6"/>
        <v>4.6363198458574187E-3</v>
      </c>
      <c r="F94" s="377">
        <f t="shared" si="7"/>
        <v>43.567210139691724</v>
      </c>
      <c r="G94" s="377">
        <f t="shared" si="8"/>
        <v>9.5847862307321794</v>
      </c>
      <c r="H94" s="377">
        <f>F94*'92'!$C$20/100</f>
        <v>8.664945660519658</v>
      </c>
      <c r="I94" s="402">
        <f>E94*'мат елкт'!$F$25</f>
        <v>10.121773923410869</v>
      </c>
      <c r="J94" s="402">
        <f t="shared" si="9"/>
        <v>9.2597137281959618E-2</v>
      </c>
    </row>
    <row r="95" spans="1:10" s="380" customFormat="1" ht="10.5" x14ac:dyDescent="0.2">
      <c r="A95" s="381">
        <v>93</v>
      </c>
      <c r="B95" s="382" t="s">
        <v>423</v>
      </c>
      <c r="C95" s="490">
        <v>1935.6</v>
      </c>
      <c r="D95" s="451">
        <f>[7]Лист1!F94</f>
        <v>42</v>
      </c>
      <c r="E95" s="377">
        <f t="shared" si="6"/>
        <v>1.3908959537572254E-2</v>
      </c>
      <c r="F95" s="377">
        <f t="shared" si="7"/>
        <v>130.70163041907514</v>
      </c>
      <c r="G95" s="377">
        <f t="shared" si="8"/>
        <v>28.754358692196533</v>
      </c>
      <c r="H95" s="377">
        <f>F95*'92'!$C$20/100</f>
        <v>25.994836981558965</v>
      </c>
      <c r="I95" s="402">
        <f>E95*'мат елкт'!$F$25</f>
        <v>30.365321770232605</v>
      </c>
      <c r="J95" s="402">
        <f t="shared" si="9"/>
        <v>0.11149831983005953</v>
      </c>
    </row>
    <row r="96" spans="1:10" s="380" customFormat="1" ht="10.5" x14ac:dyDescent="0.2">
      <c r="A96" s="381">
        <v>94</v>
      </c>
      <c r="B96" s="382" t="s">
        <v>424</v>
      </c>
      <c r="C96" s="490">
        <v>1513.72</v>
      </c>
      <c r="D96" s="451">
        <f>[7]Лист1!F95</f>
        <v>28</v>
      </c>
      <c r="E96" s="377">
        <f t="shared" si="6"/>
        <v>9.2726396917148374E-3</v>
      </c>
      <c r="F96" s="377">
        <f t="shared" si="7"/>
        <v>87.134420279383448</v>
      </c>
      <c r="G96" s="377">
        <f t="shared" si="8"/>
        <v>19.169572461464359</v>
      </c>
      <c r="H96" s="377">
        <f>F96*'92'!$C$20/100</f>
        <v>17.329891321039316</v>
      </c>
      <c r="I96" s="402">
        <f>E96*'мат елкт'!$F$25</f>
        <v>20.243547846821738</v>
      </c>
      <c r="J96" s="402">
        <f t="shared" si="9"/>
        <v>9.5048907267334018E-2</v>
      </c>
    </row>
    <row r="97" spans="1:10" s="380" customFormat="1" ht="10.5" x14ac:dyDescent="0.2">
      <c r="A97" s="381">
        <v>95</v>
      </c>
      <c r="B97" s="382" t="s">
        <v>425</v>
      </c>
      <c r="C97" s="490">
        <v>1500.3</v>
      </c>
      <c r="D97" s="451">
        <f>[7]Лист1!F96</f>
        <v>28</v>
      </c>
      <c r="E97" s="377">
        <f t="shared" si="6"/>
        <v>9.2726396917148374E-3</v>
      </c>
      <c r="F97" s="377">
        <f t="shared" si="7"/>
        <v>87.134420279383448</v>
      </c>
      <c r="G97" s="377">
        <f t="shared" si="8"/>
        <v>19.169572461464359</v>
      </c>
      <c r="H97" s="377">
        <f>F97*'92'!$C$20/100</f>
        <v>17.329891321039316</v>
      </c>
      <c r="I97" s="402">
        <f>E97*'мат елкт'!$F$25</f>
        <v>20.243547846821738</v>
      </c>
      <c r="J97" s="402">
        <f t="shared" si="9"/>
        <v>9.589910811751573E-2</v>
      </c>
    </row>
    <row r="98" spans="1:10" s="380" customFormat="1" ht="10.5" x14ac:dyDescent="0.2">
      <c r="A98" s="381">
        <v>96</v>
      </c>
      <c r="B98" s="382" t="s">
        <v>426</v>
      </c>
      <c r="C98" s="490">
        <v>735.9</v>
      </c>
      <c r="D98" s="451">
        <f>[7]Лист1!F97</f>
        <v>14</v>
      </c>
      <c r="E98" s="377">
        <f t="shared" si="6"/>
        <v>4.6363198458574187E-3</v>
      </c>
      <c r="F98" s="377">
        <f t="shared" si="7"/>
        <v>43.567210139691724</v>
      </c>
      <c r="G98" s="377">
        <f t="shared" si="8"/>
        <v>9.5847862307321794</v>
      </c>
      <c r="H98" s="377">
        <f>F98*'92'!$C$20/100</f>
        <v>8.664945660519658</v>
      </c>
      <c r="I98" s="402">
        <f>E98*'мат елкт'!$F$25</f>
        <v>10.121773923410869</v>
      </c>
      <c r="J98" s="402">
        <f t="shared" si="9"/>
        <v>9.7756102669322498E-2</v>
      </c>
    </row>
    <row r="99" spans="1:10" s="380" customFormat="1" ht="10.5" x14ac:dyDescent="0.2">
      <c r="A99" s="381">
        <v>97</v>
      </c>
      <c r="B99" s="382" t="s">
        <v>427</v>
      </c>
      <c r="C99" s="490">
        <v>757.7</v>
      </c>
      <c r="D99" s="451">
        <f>[7]Лист1!F98</f>
        <v>14</v>
      </c>
      <c r="E99" s="377">
        <f t="shared" si="6"/>
        <v>4.6363198458574187E-3</v>
      </c>
      <c r="F99" s="377">
        <f t="shared" si="7"/>
        <v>43.567210139691724</v>
      </c>
      <c r="G99" s="377">
        <f t="shared" si="8"/>
        <v>9.5847862307321794</v>
      </c>
      <c r="H99" s="377">
        <f>F99*'92'!$C$20/100</f>
        <v>8.664945660519658</v>
      </c>
      <c r="I99" s="402">
        <f>E99*'мат елкт'!$F$25</f>
        <v>10.121773923410869</v>
      </c>
      <c r="J99" s="402">
        <f t="shared" si="9"/>
        <v>9.494353432011933E-2</v>
      </c>
    </row>
    <row r="100" spans="1:10" s="380" customFormat="1" ht="10.5" x14ac:dyDescent="0.2">
      <c r="A100" s="381">
        <v>98</v>
      </c>
      <c r="B100" s="382" t="s">
        <v>428</v>
      </c>
      <c r="C100" s="490">
        <v>1915.15</v>
      </c>
      <c r="D100" s="451">
        <f>[7]Лист1!F99</f>
        <v>42</v>
      </c>
      <c r="E100" s="377">
        <f t="shared" si="6"/>
        <v>1.3908959537572254E-2</v>
      </c>
      <c r="F100" s="377">
        <f t="shared" si="7"/>
        <v>130.70163041907514</v>
      </c>
      <c r="G100" s="377">
        <f t="shared" si="8"/>
        <v>28.754358692196533</v>
      </c>
      <c r="H100" s="377">
        <f>F100*'92'!$C$20/100</f>
        <v>25.994836981558965</v>
      </c>
      <c r="I100" s="402">
        <f>E100*'мат елкт'!$F$25</f>
        <v>30.365321770232605</v>
      </c>
      <c r="J100" s="402">
        <f t="shared" si="9"/>
        <v>0.11268890053680559</v>
      </c>
    </row>
    <row r="101" spans="1:10" s="380" customFormat="1" ht="10.5" x14ac:dyDescent="0.2">
      <c r="A101" s="381">
        <v>99</v>
      </c>
      <c r="B101" s="382" t="s">
        <v>429</v>
      </c>
      <c r="C101" s="490">
        <v>1544.5</v>
      </c>
      <c r="D101" s="451">
        <f>[7]Лист1!F100</f>
        <v>42</v>
      </c>
      <c r="E101" s="377">
        <f t="shared" si="6"/>
        <v>1.3908959537572254E-2</v>
      </c>
      <c r="F101" s="377">
        <f t="shared" si="7"/>
        <v>130.70163041907514</v>
      </c>
      <c r="G101" s="377">
        <f t="shared" si="8"/>
        <v>28.754358692196533</v>
      </c>
      <c r="H101" s="377">
        <f>F101*'92'!$C$20/100</f>
        <v>25.994836981558965</v>
      </c>
      <c r="I101" s="402">
        <f>E101*'мат елкт'!$F$25</f>
        <v>30.365321770232605</v>
      </c>
      <c r="J101" s="402">
        <f t="shared" si="9"/>
        <v>0.13973204782328472</v>
      </c>
    </row>
    <row r="102" spans="1:10" s="380" customFormat="1" ht="10.5" x14ac:dyDescent="0.2">
      <c r="A102" s="381">
        <v>100</v>
      </c>
      <c r="B102" s="382" t="s">
        <v>430</v>
      </c>
      <c r="C102" s="490">
        <v>1552.3</v>
      </c>
      <c r="D102" s="451">
        <f>[7]Лист1!F101</f>
        <v>42</v>
      </c>
      <c r="E102" s="377">
        <f t="shared" si="6"/>
        <v>1.3908959537572254E-2</v>
      </c>
      <c r="F102" s="377">
        <f t="shared" si="7"/>
        <v>130.70163041907514</v>
      </c>
      <c r="G102" s="377">
        <f t="shared" si="8"/>
        <v>28.754358692196533</v>
      </c>
      <c r="H102" s="377">
        <f>F102*'92'!$C$20/100</f>
        <v>25.994836981558965</v>
      </c>
      <c r="I102" s="402">
        <f>E102*'мат елкт'!$F$25</f>
        <v>30.365321770232605</v>
      </c>
      <c r="J102" s="402">
        <f t="shared" si="9"/>
        <v>0.13902992196293451</v>
      </c>
    </row>
    <row r="103" spans="1:10" s="380" customFormat="1" ht="10.5" x14ac:dyDescent="0.2">
      <c r="A103" s="381">
        <v>101</v>
      </c>
      <c r="B103" s="382" t="s">
        <v>431</v>
      </c>
      <c r="C103" s="490">
        <v>1287.0999999999999</v>
      </c>
      <c r="D103" s="451">
        <f>[7]Лист1!F102</f>
        <v>28</v>
      </c>
      <c r="E103" s="377">
        <f t="shared" si="6"/>
        <v>9.2726396917148374E-3</v>
      </c>
      <c r="F103" s="377">
        <f t="shared" si="7"/>
        <v>87.134420279383448</v>
      </c>
      <c r="G103" s="377">
        <f t="shared" si="8"/>
        <v>19.169572461464359</v>
      </c>
      <c r="H103" s="377">
        <f>F103*'92'!$C$20/100</f>
        <v>17.329891321039316</v>
      </c>
      <c r="I103" s="402">
        <f>E103*'мат елкт'!$F$25</f>
        <v>20.243547846821738</v>
      </c>
      <c r="J103" s="402">
        <f t="shared" si="9"/>
        <v>0.11178419074563659</v>
      </c>
    </row>
    <row r="104" spans="1:10" s="380" customFormat="1" ht="10.5" x14ac:dyDescent="0.2">
      <c r="A104" s="381">
        <v>102</v>
      </c>
      <c r="B104" s="382" t="s">
        <v>432</v>
      </c>
      <c r="C104" s="490">
        <v>3473.9</v>
      </c>
      <c r="D104" s="451">
        <f>[7]Лист1!F103</f>
        <v>70</v>
      </c>
      <c r="E104" s="377">
        <f t="shared" si="6"/>
        <v>2.318159922928709E-2</v>
      </c>
      <c r="F104" s="377">
        <f t="shared" si="7"/>
        <v>217.83605069845856</v>
      </c>
      <c r="G104" s="377">
        <f t="shared" si="8"/>
        <v>47.923931153660888</v>
      </c>
      <c r="H104" s="377">
        <f>F104*'92'!$C$20/100</f>
        <v>43.324728302598281</v>
      </c>
      <c r="I104" s="402">
        <f>E104*'мат елкт'!$F$25</f>
        <v>50.608869617054339</v>
      </c>
      <c r="J104" s="402">
        <f t="shared" si="9"/>
        <v>0.1035417196153522</v>
      </c>
    </row>
    <row r="105" spans="1:10" s="380" customFormat="1" ht="10.5" x14ac:dyDescent="0.2">
      <c r="A105" s="381">
        <v>103</v>
      </c>
      <c r="B105" s="382" t="s">
        <v>433</v>
      </c>
      <c r="C105" s="490">
        <v>1838.18</v>
      </c>
      <c r="D105" s="451">
        <f>[7]Лист1!F104</f>
        <v>35</v>
      </c>
      <c r="E105" s="377">
        <f t="shared" si="6"/>
        <v>1.1590799614643545E-2</v>
      </c>
      <c r="F105" s="377">
        <f t="shared" si="7"/>
        <v>108.91802534922928</v>
      </c>
      <c r="G105" s="377">
        <f t="shared" si="8"/>
        <v>23.961965576830444</v>
      </c>
      <c r="H105" s="377">
        <f>F105*'92'!$C$20/100</f>
        <v>21.662364151299141</v>
      </c>
      <c r="I105" s="402">
        <f>E105*'мат елкт'!$F$25</f>
        <v>25.304434808527169</v>
      </c>
      <c r="J105" s="402">
        <f t="shared" si="9"/>
        <v>9.7839596712991111E-2</v>
      </c>
    </row>
    <row r="106" spans="1:10" s="380" customFormat="1" ht="10.5" x14ac:dyDescent="0.2">
      <c r="A106" s="381">
        <v>104</v>
      </c>
      <c r="B106" s="382" t="s">
        <v>434</v>
      </c>
      <c r="C106" s="490">
        <v>4517.6000000000004</v>
      </c>
      <c r="D106" s="451">
        <f>[7]Лист1!F105</f>
        <v>105</v>
      </c>
      <c r="E106" s="377">
        <f t="shared" si="6"/>
        <v>3.4772398843930637E-2</v>
      </c>
      <c r="F106" s="377">
        <f t="shared" si="7"/>
        <v>326.75407604768787</v>
      </c>
      <c r="G106" s="377">
        <f t="shared" si="8"/>
        <v>71.885896730491325</v>
      </c>
      <c r="H106" s="377">
        <f>F106*'92'!$C$20/100</f>
        <v>64.987092453897418</v>
      </c>
      <c r="I106" s="402">
        <f>E106*'мат елкт'!$F$25</f>
        <v>75.913304425581515</v>
      </c>
      <c r="J106" s="402">
        <f t="shared" si="9"/>
        <v>0.11943075297893971</v>
      </c>
    </row>
    <row r="107" spans="1:10" s="380" customFormat="1" ht="10.5" x14ac:dyDescent="0.2">
      <c r="A107" s="381">
        <v>105</v>
      </c>
      <c r="B107" s="382" t="s">
        <v>435</v>
      </c>
      <c r="C107" s="490">
        <v>4524.9399999999996</v>
      </c>
      <c r="D107" s="451">
        <f>[7]Лист1!F106</f>
        <v>105</v>
      </c>
      <c r="E107" s="377">
        <f t="shared" si="6"/>
        <v>3.4772398843930637E-2</v>
      </c>
      <c r="F107" s="377">
        <f t="shared" si="7"/>
        <v>326.75407604768787</v>
      </c>
      <c r="G107" s="377">
        <f t="shared" si="8"/>
        <v>71.885896730491325</v>
      </c>
      <c r="H107" s="377">
        <f>F107*'92'!$C$20/100</f>
        <v>64.987092453897418</v>
      </c>
      <c r="I107" s="402">
        <f>E107*'мат елкт'!$F$25</f>
        <v>75.913304425581515</v>
      </c>
      <c r="J107" s="402">
        <f t="shared" si="9"/>
        <v>0.1192370218517059</v>
      </c>
    </row>
    <row r="108" spans="1:10" s="380" customFormat="1" ht="10.5" x14ac:dyDescent="0.2">
      <c r="A108" s="381">
        <v>106</v>
      </c>
      <c r="B108" s="382" t="s">
        <v>436</v>
      </c>
      <c r="C108" s="490">
        <v>4742.2700000000004</v>
      </c>
      <c r="D108" s="451">
        <f>[7]Лист1!F107</f>
        <v>105</v>
      </c>
      <c r="E108" s="377">
        <f t="shared" si="6"/>
        <v>3.4772398843930637E-2</v>
      </c>
      <c r="F108" s="377">
        <f t="shared" si="7"/>
        <v>326.75407604768787</v>
      </c>
      <c r="G108" s="377">
        <f t="shared" si="8"/>
        <v>71.885896730491325</v>
      </c>
      <c r="H108" s="377">
        <f>F108*'92'!$C$20/100</f>
        <v>64.987092453897418</v>
      </c>
      <c r="I108" s="402">
        <f>E108*'мат елкт'!$F$25</f>
        <v>75.913304425581515</v>
      </c>
      <c r="J108" s="402">
        <f t="shared" si="9"/>
        <v>0.11377259617391207</v>
      </c>
    </row>
    <row r="109" spans="1:10" s="380" customFormat="1" ht="10.5" x14ac:dyDescent="0.2">
      <c r="A109" s="381">
        <v>107</v>
      </c>
      <c r="B109" s="382" t="s">
        <v>437</v>
      </c>
      <c r="C109" s="490">
        <v>2538.3000000000002</v>
      </c>
      <c r="D109" s="451">
        <f>[7]Лист1!F108</f>
        <v>70</v>
      </c>
      <c r="E109" s="377">
        <f t="shared" si="6"/>
        <v>2.318159922928709E-2</v>
      </c>
      <c r="F109" s="377">
        <f t="shared" si="7"/>
        <v>217.83605069845856</v>
      </c>
      <c r="G109" s="377">
        <f t="shared" si="8"/>
        <v>47.923931153660888</v>
      </c>
      <c r="H109" s="377">
        <f>F109*'92'!$C$20/100</f>
        <v>43.324728302598281</v>
      </c>
      <c r="I109" s="402">
        <f>E109*'мат елкт'!$F$25</f>
        <v>50.608869617054339</v>
      </c>
      <c r="J109" s="402">
        <f>((F109+G109+H109+I109)/C109)*10/100</f>
        <v>1.4170648850481504E-2</v>
      </c>
    </row>
    <row r="110" spans="1:10" s="380" customFormat="1" ht="10.5" x14ac:dyDescent="0.2">
      <c r="A110" s="381">
        <v>108</v>
      </c>
      <c r="B110" s="382" t="s">
        <v>438</v>
      </c>
      <c r="C110" s="490">
        <v>4452.8999999999996</v>
      </c>
      <c r="D110" s="451">
        <f>[7]Лист1!F109</f>
        <v>105</v>
      </c>
      <c r="E110" s="377">
        <f t="shared" si="6"/>
        <v>3.4772398843930637E-2</v>
      </c>
      <c r="F110" s="377">
        <f t="shared" si="7"/>
        <v>326.75407604768787</v>
      </c>
      <c r="G110" s="377">
        <f t="shared" si="8"/>
        <v>71.885896730491325</v>
      </c>
      <c r="H110" s="377">
        <f>F110*'92'!$C$20/100</f>
        <v>64.987092453897418</v>
      </c>
      <c r="I110" s="402">
        <f>E110*'мат елкт'!$F$25</f>
        <v>75.913304425581515</v>
      </c>
      <c r="J110" s="402">
        <f t="shared" si="9"/>
        <v>0.12116606473481509</v>
      </c>
    </row>
    <row r="111" spans="1:10" s="380" customFormat="1" ht="10.5" x14ac:dyDescent="0.2">
      <c r="A111" s="381">
        <v>109</v>
      </c>
      <c r="B111" s="382" t="s">
        <v>439</v>
      </c>
      <c r="C111" s="490">
        <v>1573.08</v>
      </c>
      <c r="D111" s="451">
        <f>[7]Лист1!F110</f>
        <v>35</v>
      </c>
      <c r="E111" s="377">
        <f t="shared" si="6"/>
        <v>1.1590799614643545E-2</v>
      </c>
      <c r="F111" s="377">
        <f t="shared" si="7"/>
        <v>108.91802534922928</v>
      </c>
      <c r="G111" s="377">
        <f t="shared" si="8"/>
        <v>23.961965576830444</v>
      </c>
      <c r="H111" s="377">
        <f>F111*'92'!$C$20/100</f>
        <v>21.662364151299141</v>
      </c>
      <c r="I111" s="402">
        <f>E111*'мат елкт'!$F$25</f>
        <v>25.304434808527169</v>
      </c>
      <c r="J111" s="402">
        <f t="shared" si="9"/>
        <v>0.11432780906621788</v>
      </c>
    </row>
    <row r="112" spans="1:10" s="380" customFormat="1" ht="10.5" x14ac:dyDescent="0.2">
      <c r="A112" s="381">
        <v>110</v>
      </c>
      <c r="B112" s="382" t="s">
        <v>440</v>
      </c>
      <c r="C112" s="490">
        <v>3168.45</v>
      </c>
      <c r="D112" s="451">
        <f>[7]Лист1!F111</f>
        <v>70</v>
      </c>
      <c r="E112" s="377">
        <f t="shared" si="6"/>
        <v>2.318159922928709E-2</v>
      </c>
      <c r="F112" s="377">
        <f t="shared" si="7"/>
        <v>217.83605069845856</v>
      </c>
      <c r="G112" s="377">
        <f t="shared" si="8"/>
        <v>47.923931153660888</v>
      </c>
      <c r="H112" s="377">
        <f>F112*'92'!$C$20/100</f>
        <v>43.324728302598281</v>
      </c>
      <c r="I112" s="402">
        <f>E112*'мат елкт'!$F$25</f>
        <v>50.608869617054339</v>
      </c>
      <c r="J112" s="402">
        <f t="shared" si="9"/>
        <v>0.11352351458024335</v>
      </c>
    </row>
    <row r="113" spans="1:10" s="380" customFormat="1" ht="10.5" x14ac:dyDescent="0.2">
      <c r="A113" s="381">
        <v>111</v>
      </c>
      <c r="B113" s="382" t="s">
        <v>441</v>
      </c>
      <c r="C113" s="490">
        <v>3182.6</v>
      </c>
      <c r="D113" s="451">
        <f>[7]Лист1!F112</f>
        <v>70</v>
      </c>
      <c r="E113" s="377">
        <f t="shared" si="6"/>
        <v>2.318159922928709E-2</v>
      </c>
      <c r="F113" s="377">
        <f t="shared" si="7"/>
        <v>217.83605069845856</v>
      </c>
      <c r="G113" s="377">
        <f t="shared" si="8"/>
        <v>47.923931153660888</v>
      </c>
      <c r="H113" s="377">
        <f>F113*'92'!$C$20/100</f>
        <v>43.324728302598281</v>
      </c>
      <c r="I113" s="402">
        <f>E113*'мат елкт'!$F$25</f>
        <v>50.608869617054339</v>
      </c>
      <c r="J113" s="402">
        <f t="shared" si="9"/>
        <v>0.11301878331294289</v>
      </c>
    </row>
    <row r="114" spans="1:10" s="380" customFormat="1" ht="10.5" x14ac:dyDescent="0.2">
      <c r="A114" s="381">
        <v>112</v>
      </c>
      <c r="B114" s="382" t="s">
        <v>442</v>
      </c>
      <c r="C114" s="490">
        <v>2283.1999999999998</v>
      </c>
      <c r="D114" s="451">
        <f>[7]Лист1!F113</f>
        <v>35</v>
      </c>
      <c r="E114" s="377">
        <f t="shared" si="6"/>
        <v>1.1590799614643545E-2</v>
      </c>
      <c r="F114" s="377">
        <f t="shared" si="7"/>
        <v>108.91802534922928</v>
      </c>
      <c r="G114" s="377">
        <f t="shared" si="8"/>
        <v>23.961965576830444</v>
      </c>
      <c r="H114" s="377">
        <f>F114*'92'!$C$20/100</f>
        <v>21.662364151299141</v>
      </c>
      <c r="I114" s="402">
        <f>E114*'мат елкт'!$F$25</f>
        <v>25.304434808527169</v>
      </c>
      <c r="J114" s="402">
        <f t="shared" si="9"/>
        <v>7.8769617153944468E-2</v>
      </c>
    </row>
    <row r="115" spans="1:10" s="380" customFormat="1" ht="10.5" x14ac:dyDescent="0.2">
      <c r="A115" s="381">
        <v>113</v>
      </c>
      <c r="B115" s="382" t="s">
        <v>443</v>
      </c>
      <c r="C115" s="490">
        <v>1091.7</v>
      </c>
      <c r="D115" s="451">
        <f>[7]Лист1!$F$113</f>
        <v>35</v>
      </c>
      <c r="E115" s="377">
        <f t="shared" si="6"/>
        <v>1.1590799614643545E-2</v>
      </c>
      <c r="F115" s="377">
        <f t="shared" si="7"/>
        <v>108.91802534922928</v>
      </c>
      <c r="G115" s="377">
        <f t="shared" si="8"/>
        <v>23.961965576830444</v>
      </c>
      <c r="H115" s="377">
        <f>F115*'92'!$C$20/100</f>
        <v>21.662364151299141</v>
      </c>
      <c r="I115" s="402">
        <f>E115*'мат елкт'!$F$25</f>
        <v>25.304434808527169</v>
      </c>
      <c r="J115" s="402">
        <f t="shared" si="9"/>
        <v>0.16474012080780984</v>
      </c>
    </row>
    <row r="116" spans="1:10" s="380" customFormat="1" ht="10.5" x14ac:dyDescent="0.2">
      <c r="A116" s="381">
        <v>114</v>
      </c>
      <c r="B116" s="382" t="s">
        <v>444</v>
      </c>
      <c r="C116" s="490">
        <v>1733.3</v>
      </c>
      <c r="D116" s="451">
        <f>[7]Лист1!F115</f>
        <v>35</v>
      </c>
      <c r="E116" s="377">
        <f t="shared" si="6"/>
        <v>1.1590799614643545E-2</v>
      </c>
      <c r="F116" s="377">
        <f t="shared" si="7"/>
        <v>108.91802534922928</v>
      </c>
      <c r="G116" s="377">
        <f t="shared" si="8"/>
        <v>23.961965576830444</v>
      </c>
      <c r="H116" s="377">
        <f>F116*'92'!$C$20/100</f>
        <v>21.662364151299141</v>
      </c>
      <c r="I116" s="402">
        <f>E116*'мат елкт'!$F$25</f>
        <v>25.304434808527169</v>
      </c>
      <c r="J116" s="402">
        <f t="shared" si="9"/>
        <v>0.10375975877567993</v>
      </c>
    </row>
    <row r="117" spans="1:10" s="380" customFormat="1" ht="10.5" x14ac:dyDescent="0.2">
      <c r="A117" s="381">
        <v>115</v>
      </c>
      <c r="B117" s="382" t="s">
        <v>445</v>
      </c>
      <c r="C117" s="490">
        <v>1752.82</v>
      </c>
      <c r="D117" s="451">
        <f>[7]Лист1!F116</f>
        <v>35</v>
      </c>
      <c r="E117" s="377">
        <f t="shared" si="6"/>
        <v>1.1590799614643545E-2</v>
      </c>
      <c r="F117" s="377">
        <f t="shared" si="7"/>
        <v>108.91802534922928</v>
      </c>
      <c r="G117" s="377">
        <f t="shared" si="8"/>
        <v>23.961965576830444</v>
      </c>
      <c r="H117" s="377">
        <f>F117*'92'!$C$20/100</f>
        <v>21.662364151299141</v>
      </c>
      <c r="I117" s="402">
        <f>E117*'мат елкт'!$F$25</f>
        <v>25.304434808527169</v>
      </c>
      <c r="J117" s="402">
        <f t="shared" si="9"/>
        <v>0.10260425479278307</v>
      </c>
    </row>
    <row r="118" spans="1:10" s="380" customFormat="1" ht="10.5" x14ac:dyDescent="0.2">
      <c r="A118" s="381">
        <v>116</v>
      </c>
      <c r="B118" s="382" t="s">
        <v>446</v>
      </c>
      <c r="C118" s="490">
        <v>3688.59</v>
      </c>
      <c r="D118" s="451">
        <f>[7]Лист1!F117</f>
        <v>70</v>
      </c>
      <c r="E118" s="377">
        <f t="shared" si="6"/>
        <v>2.318159922928709E-2</v>
      </c>
      <c r="F118" s="377">
        <f t="shared" si="7"/>
        <v>217.83605069845856</v>
      </c>
      <c r="G118" s="377">
        <f t="shared" si="8"/>
        <v>47.923931153660888</v>
      </c>
      <c r="H118" s="377">
        <f>F118*'92'!$C$20/100</f>
        <v>43.324728302598281</v>
      </c>
      <c r="I118" s="402">
        <f>E118*'мат елкт'!$F$25</f>
        <v>50.608869617054339</v>
      </c>
      <c r="J118" s="402">
        <f t="shared" si="9"/>
        <v>9.751519680196824E-2</v>
      </c>
    </row>
    <row r="119" spans="1:10" s="380" customFormat="1" ht="10.5" x14ac:dyDescent="0.2">
      <c r="A119" s="381">
        <v>117</v>
      </c>
      <c r="B119" s="382" t="s">
        <v>447</v>
      </c>
      <c r="C119" s="490">
        <v>3868.13</v>
      </c>
      <c r="D119" s="451">
        <f>[7]Лист1!F118</f>
        <v>87.5</v>
      </c>
      <c r="E119" s="377">
        <f t="shared" si="6"/>
        <v>2.8976999036608865E-2</v>
      </c>
      <c r="F119" s="377">
        <f t="shared" si="7"/>
        <v>272.29506337307322</v>
      </c>
      <c r="G119" s="377">
        <f t="shared" si="8"/>
        <v>59.904913942076107</v>
      </c>
      <c r="H119" s="377">
        <f>F119*'92'!$C$20/100</f>
        <v>54.155910378247846</v>
      </c>
      <c r="I119" s="402">
        <f>E119*'мат елкт'!$F$25</f>
        <v>63.261087021317934</v>
      </c>
      <c r="J119" s="402">
        <f t="shared" si="9"/>
        <v>0.1162362626681924</v>
      </c>
    </row>
    <row r="120" spans="1:10" s="380" customFormat="1" ht="10.5" x14ac:dyDescent="0.2">
      <c r="A120" s="381">
        <v>118</v>
      </c>
      <c r="B120" s="382" t="s">
        <v>448</v>
      </c>
      <c r="C120" s="490">
        <v>2821.38</v>
      </c>
      <c r="D120" s="451">
        <f>[7]Лист1!F119</f>
        <v>70</v>
      </c>
      <c r="E120" s="377">
        <f t="shared" si="6"/>
        <v>2.318159922928709E-2</v>
      </c>
      <c r="F120" s="377">
        <f t="shared" si="7"/>
        <v>217.83605069845856</v>
      </c>
      <c r="G120" s="377">
        <f t="shared" si="8"/>
        <v>47.923931153660888</v>
      </c>
      <c r="H120" s="377">
        <f>F120*'92'!$C$20/100</f>
        <v>43.324728302598281</v>
      </c>
      <c r="I120" s="402">
        <f>E120*'мат елкт'!$F$25</f>
        <v>50.608869617054339</v>
      </c>
      <c r="J120" s="402">
        <f t="shared" si="9"/>
        <v>0.12748852681020353</v>
      </c>
    </row>
    <row r="121" spans="1:10" s="380" customFormat="1" ht="10.5" x14ac:dyDescent="0.2">
      <c r="A121" s="381">
        <v>119</v>
      </c>
      <c r="B121" s="382" t="s">
        <v>449</v>
      </c>
      <c r="C121" s="490">
        <v>4277.29</v>
      </c>
      <c r="D121" s="451">
        <f>[7]Лист1!F120</f>
        <v>105</v>
      </c>
      <c r="E121" s="377">
        <f t="shared" si="6"/>
        <v>3.4772398843930637E-2</v>
      </c>
      <c r="F121" s="377">
        <f t="shared" si="7"/>
        <v>326.75407604768787</v>
      </c>
      <c r="G121" s="377">
        <f t="shared" si="8"/>
        <v>71.885896730491325</v>
      </c>
      <c r="H121" s="377">
        <f>F121*'92'!$C$20/100</f>
        <v>64.987092453897418</v>
      </c>
      <c r="I121" s="402">
        <f>E121*'мат елкт'!$F$25</f>
        <v>75.913304425581515</v>
      </c>
      <c r="J121" s="402">
        <f>((F121+G121+H121+I121)/C121)*10/100</f>
        <v>1.2614070349629273E-2</v>
      </c>
    </row>
    <row r="122" spans="1:10" s="380" customFormat="1" ht="10.5" x14ac:dyDescent="0.2">
      <c r="A122" s="381">
        <v>120</v>
      </c>
      <c r="B122" s="382" t="s">
        <v>450</v>
      </c>
      <c r="C122" s="490">
        <v>2171.3000000000002</v>
      </c>
      <c r="D122" s="451">
        <f>[7]Лист1!$F$122</f>
        <v>52.5</v>
      </c>
      <c r="E122" s="377">
        <f t="shared" si="6"/>
        <v>1.7386199421965318E-2</v>
      </c>
      <c r="F122" s="377">
        <f t="shared" si="7"/>
        <v>163.37703802384394</v>
      </c>
      <c r="G122" s="377">
        <f t="shared" si="8"/>
        <v>35.942948365245663</v>
      </c>
      <c r="H122" s="377">
        <f>F122*'92'!$C$20/100</f>
        <v>32.493546226948709</v>
      </c>
      <c r="I122" s="402">
        <f>E122*'мат елкт'!$F$25</f>
        <v>37.956652212790758</v>
      </c>
      <c r="J122" s="402">
        <f t="shared" si="9"/>
        <v>0.12424362585954452</v>
      </c>
    </row>
    <row r="123" spans="1:10" s="380" customFormat="1" ht="10.5" x14ac:dyDescent="0.2">
      <c r="A123" s="381">
        <v>121</v>
      </c>
      <c r="B123" s="382" t="s">
        <v>451</v>
      </c>
      <c r="C123" s="490">
        <v>5707.1</v>
      </c>
      <c r="D123" s="451">
        <f>[7]Лист1!$F$121</f>
        <v>175</v>
      </c>
      <c r="E123" s="377">
        <f t="shared" si="6"/>
        <v>5.795399807321773E-2</v>
      </c>
      <c r="F123" s="377">
        <f t="shared" si="7"/>
        <v>544.59012674614644</v>
      </c>
      <c r="G123" s="377">
        <f t="shared" si="8"/>
        <v>119.80982788415221</v>
      </c>
      <c r="H123" s="377">
        <f>F123*'92'!$C$20/100</f>
        <v>108.31182075649569</v>
      </c>
      <c r="I123" s="402">
        <f>E123*'мат елкт'!$F$25</f>
        <v>126.52217404263587</v>
      </c>
      <c r="J123" s="402">
        <f t="shared" si="9"/>
        <v>0.15756407797820787</v>
      </c>
    </row>
    <row r="124" spans="1:10" s="380" customFormat="1" ht="10.5" x14ac:dyDescent="0.2">
      <c r="A124" s="381">
        <v>122</v>
      </c>
      <c r="B124" s="382" t="s">
        <v>452</v>
      </c>
      <c r="C124" s="490">
        <v>1727.35</v>
      </c>
      <c r="D124" s="451">
        <f>[7]Лист1!F123</f>
        <v>35</v>
      </c>
      <c r="E124" s="377">
        <f t="shared" si="6"/>
        <v>1.1590799614643545E-2</v>
      </c>
      <c r="F124" s="377">
        <f t="shared" si="7"/>
        <v>108.91802534922928</v>
      </c>
      <c r="G124" s="377">
        <f t="shared" si="8"/>
        <v>23.961965576830444</v>
      </c>
      <c r="H124" s="377">
        <f>F124*'92'!$C$20/100</f>
        <v>21.662364151299141</v>
      </c>
      <c r="I124" s="402">
        <f>E124*'мат елкт'!$F$25</f>
        <v>25.304434808527169</v>
      </c>
      <c r="J124" s="402">
        <f t="shared" si="9"/>
        <v>0.10411716785010913</v>
      </c>
    </row>
    <row r="125" spans="1:10" s="380" customFormat="1" ht="10.5" x14ac:dyDescent="0.2">
      <c r="A125" s="381">
        <v>123</v>
      </c>
      <c r="B125" s="382" t="s">
        <v>453</v>
      </c>
      <c r="C125" s="490">
        <v>2522.5500000000002</v>
      </c>
      <c r="D125" s="451">
        <f>[7]Лист1!F124</f>
        <v>52.5</v>
      </c>
      <c r="E125" s="377">
        <f t="shared" si="6"/>
        <v>1.7386199421965318E-2</v>
      </c>
      <c r="F125" s="377">
        <f t="shared" si="7"/>
        <v>163.37703802384394</v>
      </c>
      <c r="G125" s="377">
        <f t="shared" si="8"/>
        <v>35.942948365245663</v>
      </c>
      <c r="H125" s="377">
        <f>F125*'92'!$C$20/100</f>
        <v>32.493546226948709</v>
      </c>
      <c r="I125" s="402">
        <f>E125*'мат елкт'!$F$25</f>
        <v>37.956652212790758</v>
      </c>
      <c r="J125" s="402">
        <f t="shared" si="9"/>
        <v>0.10694344406605578</v>
      </c>
    </row>
    <row r="126" spans="1:10" s="380" customFormat="1" ht="10.5" x14ac:dyDescent="0.2">
      <c r="A126" s="381">
        <v>124</v>
      </c>
      <c r="B126" s="382" t="s">
        <v>454</v>
      </c>
      <c r="C126" s="490">
        <v>2516.6999999999998</v>
      </c>
      <c r="D126" s="451">
        <f>[7]Лист1!F125</f>
        <v>52.5</v>
      </c>
      <c r="E126" s="377">
        <f t="shared" si="6"/>
        <v>1.7386199421965318E-2</v>
      </c>
      <c r="F126" s="377">
        <f t="shared" si="7"/>
        <v>163.37703802384394</v>
      </c>
      <c r="G126" s="377">
        <f t="shared" si="8"/>
        <v>35.942948365245663</v>
      </c>
      <c r="H126" s="377">
        <f>F126*'92'!$C$20/100</f>
        <v>32.493546226948709</v>
      </c>
      <c r="I126" s="402">
        <f>E126*'мат елкт'!$F$25</f>
        <v>37.956652212790758</v>
      </c>
      <c r="J126" s="402">
        <f t="shared" si="9"/>
        <v>0.10719203116336037</v>
      </c>
    </row>
    <row r="127" spans="1:10" s="380" customFormat="1" ht="10.5" x14ac:dyDescent="0.2">
      <c r="A127" s="381">
        <v>125</v>
      </c>
      <c r="B127" s="382" t="s">
        <v>455</v>
      </c>
      <c r="C127" s="490">
        <v>1774.47</v>
      </c>
      <c r="D127" s="451">
        <f>[7]Лист1!F126</f>
        <v>35</v>
      </c>
      <c r="E127" s="377">
        <f t="shared" si="6"/>
        <v>1.1590799614643545E-2</v>
      </c>
      <c r="F127" s="377">
        <f t="shared" si="7"/>
        <v>108.91802534922928</v>
      </c>
      <c r="G127" s="377">
        <f t="shared" si="8"/>
        <v>23.961965576830444</v>
      </c>
      <c r="H127" s="377">
        <f>F127*'92'!$C$20/100</f>
        <v>21.662364151299141</v>
      </c>
      <c r="I127" s="402">
        <f>E127*'мат елкт'!$F$25</f>
        <v>25.304434808527169</v>
      </c>
      <c r="J127" s="402">
        <f t="shared" si="9"/>
        <v>0.1013523981165565</v>
      </c>
    </row>
    <row r="128" spans="1:10" s="380" customFormat="1" ht="10.5" x14ac:dyDescent="0.2">
      <c r="A128" s="381">
        <v>126</v>
      </c>
      <c r="B128" s="382" t="s">
        <v>456</v>
      </c>
      <c r="C128" s="490">
        <v>1727.7</v>
      </c>
      <c r="D128" s="451">
        <f>[7]Лист1!F127</f>
        <v>35</v>
      </c>
      <c r="E128" s="377">
        <f t="shared" si="6"/>
        <v>1.1590799614643545E-2</v>
      </c>
      <c r="F128" s="377">
        <f t="shared" si="7"/>
        <v>108.91802534922928</v>
      </c>
      <c r="G128" s="377">
        <f t="shared" si="8"/>
        <v>23.961965576830444</v>
      </c>
      <c r="H128" s="377">
        <f>F128*'92'!$C$20/100</f>
        <v>21.662364151299141</v>
      </c>
      <c r="I128" s="402">
        <f>E128*'мат елкт'!$F$25</f>
        <v>25.304434808527169</v>
      </c>
      <c r="J128" s="402">
        <f t="shared" si="9"/>
        <v>0.10409607564153847</v>
      </c>
    </row>
    <row r="129" spans="1:10" s="380" customFormat="1" ht="10.5" x14ac:dyDescent="0.2">
      <c r="A129" s="381">
        <v>127</v>
      </c>
      <c r="B129" s="382" t="s">
        <v>457</v>
      </c>
      <c r="C129" s="490">
        <v>3216.3</v>
      </c>
      <c r="D129" s="451">
        <f>[7]Лист1!F128</f>
        <v>70</v>
      </c>
      <c r="E129" s="377">
        <f t="shared" si="6"/>
        <v>2.318159922928709E-2</v>
      </c>
      <c r="F129" s="377">
        <f t="shared" si="7"/>
        <v>217.83605069845856</v>
      </c>
      <c r="G129" s="377">
        <f t="shared" si="8"/>
        <v>47.923931153660888</v>
      </c>
      <c r="H129" s="377">
        <f>F129*'92'!$C$20/100</f>
        <v>43.324728302598281</v>
      </c>
      <c r="I129" s="402">
        <f>E129*'мат елкт'!$F$25</f>
        <v>50.608869617054339</v>
      </c>
      <c r="J129" s="402">
        <f>((F129+G129+H129+I129)/C129)*10/100</f>
        <v>1.1183458625494263E-2</v>
      </c>
    </row>
    <row r="130" spans="1:10" s="380" customFormat="1" ht="10.5" x14ac:dyDescent="0.2">
      <c r="A130" s="381">
        <v>128</v>
      </c>
      <c r="B130" s="382" t="s">
        <v>458</v>
      </c>
      <c r="C130" s="490">
        <v>3895.1</v>
      </c>
      <c r="D130" s="451">
        <f>[7]Лист1!F129</f>
        <v>105</v>
      </c>
      <c r="E130" s="377">
        <f t="shared" si="6"/>
        <v>3.4772398843930637E-2</v>
      </c>
      <c r="F130" s="377">
        <f t="shared" si="7"/>
        <v>326.75407604768787</v>
      </c>
      <c r="G130" s="377">
        <f t="shared" si="8"/>
        <v>71.885896730491325</v>
      </c>
      <c r="H130" s="377">
        <f>F130*'92'!$C$20/100</f>
        <v>64.987092453897418</v>
      </c>
      <c r="I130" s="402">
        <f>E130*'мат елкт'!$F$25</f>
        <v>75.913304425581515</v>
      </c>
      <c r="J130" s="402">
        <f>((F130+G130+H130+I130)/C130)*10/100</f>
        <v>1.3851771961121872E-2</v>
      </c>
    </row>
    <row r="131" spans="1:10" s="380" customFormat="1" ht="10.5" x14ac:dyDescent="0.2">
      <c r="A131" s="381">
        <v>129</v>
      </c>
      <c r="B131" s="382" t="s">
        <v>459</v>
      </c>
      <c r="C131" s="490">
        <v>4002.8</v>
      </c>
      <c r="D131" s="451">
        <f>[7]Лист1!F130</f>
        <v>105</v>
      </c>
      <c r="E131" s="377">
        <f t="shared" ref="E131:E160" si="10">D131/$E$163</f>
        <v>3.4772398843930637E-2</v>
      </c>
      <c r="F131" s="377">
        <f t="shared" ref="F131:F160" si="11">E131*$F$163</f>
        <v>326.75407604768787</v>
      </c>
      <c r="G131" s="377">
        <f t="shared" si="8"/>
        <v>71.885896730491325</v>
      </c>
      <c r="H131" s="377">
        <f>F131*'92'!$C$20/100</f>
        <v>64.987092453897418</v>
      </c>
      <c r="I131" s="402">
        <f>E131*'мат елкт'!$F$25</f>
        <v>75.913304425581515</v>
      </c>
      <c r="J131" s="402">
        <f>((F131+G131+H131+I131)/C131)*10/100</f>
        <v>1.3479073889718649E-2</v>
      </c>
    </row>
    <row r="132" spans="1:10" s="380" customFormat="1" ht="10.5" x14ac:dyDescent="0.2">
      <c r="A132" s="381">
        <v>130</v>
      </c>
      <c r="B132" s="382" t="s">
        <v>460</v>
      </c>
      <c r="C132" s="490">
        <v>3852.63</v>
      </c>
      <c r="D132" s="451">
        <f>[7]Лист1!F131</f>
        <v>105</v>
      </c>
      <c r="E132" s="377">
        <f t="shared" si="10"/>
        <v>3.4772398843930637E-2</v>
      </c>
      <c r="F132" s="377">
        <f t="shared" si="11"/>
        <v>326.75407604768787</v>
      </c>
      <c r="G132" s="377">
        <f t="shared" ref="G132:G160" si="12">F132*22/100</f>
        <v>71.885896730491325</v>
      </c>
      <c r="H132" s="377">
        <f>F132*'92'!$C$20/100</f>
        <v>64.987092453897418</v>
      </c>
      <c r="I132" s="402">
        <f>E132*'мат елкт'!$F$25</f>
        <v>75.913304425581515</v>
      </c>
      <c r="J132" s="402">
        <f>((F132+G132+H132+I132)/C132)*10/100</f>
        <v>1.4004468886388208E-2</v>
      </c>
    </row>
    <row r="133" spans="1:10" s="380" customFormat="1" ht="10.5" x14ac:dyDescent="0.2">
      <c r="A133" s="381">
        <v>131</v>
      </c>
      <c r="B133" s="382" t="s">
        <v>461</v>
      </c>
      <c r="C133" s="490">
        <v>3560.4</v>
      </c>
      <c r="D133" s="451">
        <f>[7]Лист1!F132</f>
        <v>87.5</v>
      </c>
      <c r="E133" s="377">
        <f t="shared" si="10"/>
        <v>2.8976999036608865E-2</v>
      </c>
      <c r="F133" s="377">
        <f t="shared" si="11"/>
        <v>272.29506337307322</v>
      </c>
      <c r="G133" s="377">
        <f t="shared" si="12"/>
        <v>59.904913942076107</v>
      </c>
      <c r="H133" s="377">
        <f>F133*'92'!$C$20/100</f>
        <v>54.155910378247846</v>
      </c>
      <c r="I133" s="402">
        <f>E133*'мат елкт'!$F$25</f>
        <v>63.261087021317934</v>
      </c>
      <c r="J133" s="402">
        <f t="shared" si="9"/>
        <v>0.12628271394076931</v>
      </c>
    </row>
    <row r="134" spans="1:10" s="380" customFormat="1" ht="10.5" x14ac:dyDescent="0.2">
      <c r="A134" s="381">
        <v>132</v>
      </c>
      <c r="B134" s="382" t="s">
        <v>462</v>
      </c>
      <c r="C134" s="490">
        <v>944.7</v>
      </c>
      <c r="D134" s="451">
        <f>[7]Лист1!F133</f>
        <v>17.5</v>
      </c>
      <c r="E134" s="377">
        <f t="shared" si="10"/>
        <v>5.7953998073217725E-3</v>
      </c>
      <c r="F134" s="377">
        <f t="shared" si="11"/>
        <v>54.459012674614641</v>
      </c>
      <c r="G134" s="377">
        <f t="shared" si="12"/>
        <v>11.980982788415222</v>
      </c>
      <c r="H134" s="377">
        <f>F134*'92'!$C$20/100</f>
        <v>10.83118207564957</v>
      </c>
      <c r="I134" s="402">
        <f>E134*'мат елкт'!$F$25</f>
        <v>12.652217404263585</v>
      </c>
      <c r="J134" s="402">
        <f t="shared" si="9"/>
        <v>9.5187249860212764E-2</v>
      </c>
    </row>
    <row r="135" spans="1:10" s="380" customFormat="1" ht="10.5" x14ac:dyDescent="0.2">
      <c r="A135" s="381">
        <v>133</v>
      </c>
      <c r="B135" s="382" t="s">
        <v>463</v>
      </c>
      <c r="C135" s="490">
        <v>2428.5</v>
      </c>
      <c r="D135" s="451">
        <f>[7]Лист1!F134</f>
        <v>52.5</v>
      </c>
      <c r="E135" s="377">
        <f t="shared" si="10"/>
        <v>1.7386199421965318E-2</v>
      </c>
      <c r="F135" s="377">
        <f t="shared" si="11"/>
        <v>163.37703802384394</v>
      </c>
      <c r="G135" s="377">
        <f t="shared" si="12"/>
        <v>35.942948365245663</v>
      </c>
      <c r="H135" s="377">
        <f>F135*'92'!$C$20/100</f>
        <v>32.493546226948709</v>
      </c>
      <c r="I135" s="402">
        <f>E135*'мат елкт'!$F$25</f>
        <v>37.956652212790758</v>
      </c>
      <c r="J135" s="402">
        <f t="shared" si="9"/>
        <v>0.11108510802093022</v>
      </c>
    </row>
    <row r="136" spans="1:10" s="380" customFormat="1" ht="10.5" x14ac:dyDescent="0.2">
      <c r="A136" s="381">
        <v>134</v>
      </c>
      <c r="B136" s="382" t="s">
        <v>464</v>
      </c>
      <c r="C136" s="490">
        <v>4861.91</v>
      </c>
      <c r="D136" s="451">
        <f>[7]Лист1!F135</f>
        <v>105</v>
      </c>
      <c r="E136" s="377">
        <f t="shared" si="10"/>
        <v>3.4772398843930637E-2</v>
      </c>
      <c r="F136" s="377">
        <f t="shared" si="11"/>
        <v>326.75407604768787</v>
      </c>
      <c r="G136" s="377">
        <f t="shared" si="12"/>
        <v>71.885896730491325</v>
      </c>
      <c r="H136" s="377">
        <f>F136*'92'!$C$20/100</f>
        <v>64.987092453897418</v>
      </c>
      <c r="I136" s="402">
        <f>E136*'мат елкт'!$F$25</f>
        <v>75.913304425581515</v>
      </c>
      <c r="J136" s="402">
        <f>((F136+G136+H136+I136)/C136)*10/100</f>
        <v>1.1097292415072638E-2</v>
      </c>
    </row>
    <row r="137" spans="1:10" s="380" customFormat="1" ht="10.5" x14ac:dyDescent="0.2">
      <c r="A137" s="381">
        <v>135</v>
      </c>
      <c r="B137" s="382" t="s">
        <v>465</v>
      </c>
      <c r="C137" s="490">
        <v>3078.77</v>
      </c>
      <c r="D137" s="451">
        <f>[7]Лист1!F136</f>
        <v>87.5</v>
      </c>
      <c r="E137" s="377">
        <f t="shared" si="10"/>
        <v>2.8976999036608865E-2</v>
      </c>
      <c r="F137" s="377">
        <f t="shared" si="11"/>
        <v>272.29506337307322</v>
      </c>
      <c r="G137" s="377">
        <f t="shared" si="12"/>
        <v>59.904913942076107</v>
      </c>
      <c r="H137" s="377">
        <f>F137*'92'!$C$20/100</f>
        <v>54.155910378247846</v>
      </c>
      <c r="I137" s="402">
        <f>E137*'мат елкт'!$F$25</f>
        <v>63.261087021317934</v>
      </c>
      <c r="J137" s="402">
        <f t="shared" si="9"/>
        <v>0.14603785755828305</v>
      </c>
    </row>
    <row r="138" spans="1:10" s="380" customFormat="1" ht="10.5" x14ac:dyDescent="0.2">
      <c r="A138" s="381">
        <v>136</v>
      </c>
      <c r="B138" s="382" t="s">
        <v>466</v>
      </c>
      <c r="C138" s="490">
        <v>3188.68</v>
      </c>
      <c r="D138" s="451">
        <f>[7]Лист1!$F$139</f>
        <v>70</v>
      </c>
      <c r="E138" s="377">
        <f t="shared" si="10"/>
        <v>2.318159922928709E-2</v>
      </c>
      <c r="F138" s="377">
        <f t="shared" si="11"/>
        <v>217.83605069845856</v>
      </c>
      <c r="G138" s="377">
        <f t="shared" si="12"/>
        <v>47.923931153660888</v>
      </c>
      <c r="H138" s="377">
        <f>F138*'92'!$C$20/100</f>
        <v>43.324728302598281</v>
      </c>
      <c r="I138" s="402">
        <f>E138*'мат елкт'!$F$25</f>
        <v>50.608869617054339</v>
      </c>
      <c r="J138" s="402">
        <f t="shared" si="9"/>
        <v>0.11280328530042903</v>
      </c>
    </row>
    <row r="139" spans="1:10" s="380" customFormat="1" ht="10.5" x14ac:dyDescent="0.2">
      <c r="A139" s="381">
        <v>137</v>
      </c>
      <c r="B139" s="382" t="s">
        <v>467</v>
      </c>
      <c r="C139" s="490">
        <v>2782.65</v>
      </c>
      <c r="D139" s="451">
        <f>[7]Лист1!$F$137</f>
        <v>70</v>
      </c>
      <c r="E139" s="377">
        <f t="shared" si="10"/>
        <v>2.318159922928709E-2</v>
      </c>
      <c r="F139" s="377">
        <f t="shared" si="11"/>
        <v>217.83605069845856</v>
      </c>
      <c r="G139" s="377">
        <f t="shared" si="12"/>
        <v>47.923931153660888</v>
      </c>
      <c r="H139" s="377">
        <f>F139*'92'!$C$20/100</f>
        <v>43.324728302598281</v>
      </c>
      <c r="I139" s="402">
        <f>E139*'мат елкт'!$F$25</f>
        <v>50.608869617054339</v>
      </c>
      <c r="J139" s="402">
        <f t="shared" si="9"/>
        <v>0.12926296148339605</v>
      </c>
    </row>
    <row r="140" spans="1:10" s="380" customFormat="1" ht="10.5" x14ac:dyDescent="0.2">
      <c r="A140" s="381">
        <v>138</v>
      </c>
      <c r="B140" s="382" t="s">
        <v>468</v>
      </c>
      <c r="C140" s="490">
        <v>2258.6</v>
      </c>
      <c r="D140" s="451">
        <f>[7]Лист1!$F$138</f>
        <v>52.5</v>
      </c>
      <c r="E140" s="377">
        <f t="shared" si="10"/>
        <v>1.7386199421965318E-2</v>
      </c>
      <c r="F140" s="377">
        <f t="shared" si="11"/>
        <v>163.37703802384394</v>
      </c>
      <c r="G140" s="377">
        <f t="shared" si="12"/>
        <v>35.942948365245663</v>
      </c>
      <c r="H140" s="377">
        <f>F140*'92'!$C$20/100</f>
        <v>32.493546226948709</v>
      </c>
      <c r="I140" s="402">
        <f>E140*'мат елкт'!$F$25</f>
        <v>37.956652212790758</v>
      </c>
      <c r="J140" s="402">
        <f t="shared" si="9"/>
        <v>0.11944132862340788</v>
      </c>
    </row>
    <row r="141" spans="1:10" s="380" customFormat="1" ht="10.5" x14ac:dyDescent="0.2">
      <c r="A141" s="381">
        <v>139</v>
      </c>
      <c r="B141" s="382" t="s">
        <v>469</v>
      </c>
      <c r="C141" s="490">
        <v>1910</v>
      </c>
      <c r="D141" s="451">
        <f>[7]Лист1!$F$140</f>
        <v>52.5</v>
      </c>
      <c r="E141" s="377">
        <f t="shared" si="10"/>
        <v>1.7386199421965318E-2</v>
      </c>
      <c r="F141" s="377">
        <f t="shared" si="11"/>
        <v>163.37703802384394</v>
      </c>
      <c r="G141" s="377">
        <f t="shared" si="12"/>
        <v>35.942948365245663</v>
      </c>
      <c r="H141" s="377">
        <f>F141*'92'!$C$20/100</f>
        <v>32.493546226948709</v>
      </c>
      <c r="I141" s="402">
        <f>E141*'мат елкт'!$F$25</f>
        <v>37.956652212790758</v>
      </c>
      <c r="J141" s="402">
        <f t="shared" si="9"/>
        <v>0.14124093446535552</v>
      </c>
    </row>
    <row r="142" spans="1:10" s="380" customFormat="1" ht="10.5" x14ac:dyDescent="0.2">
      <c r="A142" s="381">
        <v>140</v>
      </c>
      <c r="B142" s="382" t="s">
        <v>470</v>
      </c>
      <c r="C142" s="490">
        <v>2522.5</v>
      </c>
      <c r="D142" s="451">
        <f>[7]Лист1!F141</f>
        <v>70</v>
      </c>
      <c r="E142" s="377">
        <f t="shared" si="10"/>
        <v>2.318159922928709E-2</v>
      </c>
      <c r="F142" s="377">
        <f t="shared" si="11"/>
        <v>217.83605069845856</v>
      </c>
      <c r="G142" s="377">
        <f t="shared" si="12"/>
        <v>47.923931153660888</v>
      </c>
      <c r="H142" s="377">
        <f>F142*'92'!$C$20/100</f>
        <v>43.324728302598281</v>
      </c>
      <c r="I142" s="402">
        <f>E142*'мат елкт'!$F$25</f>
        <v>50.608869617054339</v>
      </c>
      <c r="J142" s="402">
        <f t="shared" si="9"/>
        <v>0.14259408514242697</v>
      </c>
    </row>
    <row r="143" spans="1:10" s="380" customFormat="1" ht="10.5" x14ac:dyDescent="0.2">
      <c r="A143" s="381">
        <v>141</v>
      </c>
      <c r="B143" s="382" t="s">
        <v>471</v>
      </c>
      <c r="C143" s="490">
        <v>3459.82</v>
      </c>
      <c r="D143" s="451">
        <f>[7]Лист1!F142</f>
        <v>70</v>
      </c>
      <c r="E143" s="377">
        <f t="shared" si="10"/>
        <v>2.318159922928709E-2</v>
      </c>
      <c r="F143" s="377">
        <f t="shared" si="11"/>
        <v>217.83605069845856</v>
      </c>
      <c r="G143" s="377">
        <f t="shared" si="12"/>
        <v>47.923931153660888</v>
      </c>
      <c r="H143" s="377">
        <f>F143*'92'!$C$20/100</f>
        <v>43.324728302598281</v>
      </c>
      <c r="I143" s="402">
        <f>E143*'мат елкт'!$F$25</f>
        <v>50.608869617054339</v>
      </c>
      <c r="J143" s="402">
        <f t="shared" si="9"/>
        <v>0.10396309049943986</v>
      </c>
    </row>
    <row r="144" spans="1:10" s="380" customFormat="1" ht="10.5" x14ac:dyDescent="0.2">
      <c r="A144" s="381">
        <v>142</v>
      </c>
      <c r="B144" s="382" t="s">
        <v>472</v>
      </c>
      <c r="C144" s="490">
        <v>1752.03</v>
      </c>
      <c r="D144" s="451">
        <f>[7]Лист1!F143</f>
        <v>35</v>
      </c>
      <c r="E144" s="377">
        <f t="shared" si="10"/>
        <v>1.1590799614643545E-2</v>
      </c>
      <c r="F144" s="377">
        <f t="shared" si="11"/>
        <v>108.91802534922928</v>
      </c>
      <c r="G144" s="377">
        <f t="shared" si="12"/>
        <v>23.961965576830444</v>
      </c>
      <c r="H144" s="377">
        <f>F144*'92'!$C$20/100</f>
        <v>21.662364151299141</v>
      </c>
      <c r="I144" s="402">
        <f>E144*'мат елкт'!$F$25</f>
        <v>25.304434808527169</v>
      </c>
      <c r="J144" s="402">
        <f t="shared" si="9"/>
        <v>0.10265051961774971</v>
      </c>
    </row>
    <row r="145" spans="1:10" s="380" customFormat="1" ht="10.5" x14ac:dyDescent="0.2">
      <c r="A145" s="381">
        <v>143</v>
      </c>
      <c r="B145" s="382" t="s">
        <v>473</v>
      </c>
      <c r="C145" s="490">
        <v>4953.7</v>
      </c>
      <c r="D145" s="451">
        <f>[7]Лист1!F144</f>
        <v>140</v>
      </c>
      <c r="E145" s="377">
        <f t="shared" si="10"/>
        <v>4.636319845857418E-2</v>
      </c>
      <c r="F145" s="377">
        <f t="shared" si="11"/>
        <v>435.67210139691713</v>
      </c>
      <c r="G145" s="377">
        <f t="shared" si="12"/>
        <v>95.847862307321776</v>
      </c>
      <c r="H145" s="377">
        <f>F145*'92'!$C$20/100</f>
        <v>86.649456605196562</v>
      </c>
      <c r="I145" s="402">
        <f>E145*'мат елкт'!$F$25</f>
        <v>101.21773923410868</v>
      </c>
      <c r="J145" s="402">
        <f t="shared" si="9"/>
        <v>0.14522218938238973</v>
      </c>
    </row>
    <row r="146" spans="1:10" s="380" customFormat="1" ht="10.5" x14ac:dyDescent="0.2">
      <c r="A146" s="381">
        <v>144</v>
      </c>
      <c r="B146" s="382" t="s">
        <v>474</v>
      </c>
      <c r="C146" s="490">
        <v>1706.17</v>
      </c>
      <c r="D146" s="451">
        <f>[7]Лист1!F145</f>
        <v>35</v>
      </c>
      <c r="E146" s="377">
        <f t="shared" si="10"/>
        <v>1.1590799614643545E-2</v>
      </c>
      <c r="F146" s="377">
        <f t="shared" si="11"/>
        <v>108.91802534922928</v>
      </c>
      <c r="G146" s="377">
        <f t="shared" si="12"/>
        <v>23.961965576830444</v>
      </c>
      <c r="H146" s="377">
        <f>F146*'92'!$C$20/100</f>
        <v>21.662364151299141</v>
      </c>
      <c r="I146" s="402">
        <f>E146*'мат елкт'!$F$25</f>
        <v>25.304434808527169</v>
      </c>
      <c r="J146" s="402">
        <f t="shared" si="9"/>
        <v>0.10540965430518999</v>
      </c>
    </row>
    <row r="147" spans="1:10" s="380" customFormat="1" ht="10.5" x14ac:dyDescent="0.2">
      <c r="A147" s="381">
        <v>145</v>
      </c>
      <c r="B147" s="382" t="s">
        <v>475</v>
      </c>
      <c r="C147" s="490">
        <v>1135.3399999999999</v>
      </c>
      <c r="D147" s="451">
        <f>[7]Лист1!F146</f>
        <v>35</v>
      </c>
      <c r="E147" s="377">
        <f t="shared" si="10"/>
        <v>1.1590799614643545E-2</v>
      </c>
      <c r="F147" s="377">
        <f t="shared" si="11"/>
        <v>108.91802534922928</v>
      </c>
      <c r="G147" s="377">
        <f t="shared" si="12"/>
        <v>23.961965576830444</v>
      </c>
      <c r="H147" s="377">
        <f>F147*'92'!$C$20/100</f>
        <v>21.662364151299141</v>
      </c>
      <c r="I147" s="402">
        <f>E147*'мат елкт'!$F$25</f>
        <v>25.304434808527169</v>
      </c>
      <c r="J147" s="402">
        <f t="shared" si="9"/>
        <v>0.15840786890789194</v>
      </c>
    </row>
    <row r="148" spans="1:10" s="380" customFormat="1" ht="10.5" x14ac:dyDescent="0.2">
      <c r="A148" s="381">
        <v>146</v>
      </c>
      <c r="B148" s="382" t="s">
        <v>476</v>
      </c>
      <c r="C148" s="490">
        <v>1716.28</v>
      </c>
      <c r="D148" s="451">
        <f>[7]Лист1!F147</f>
        <v>35</v>
      </c>
      <c r="E148" s="377">
        <f t="shared" si="10"/>
        <v>1.1590799614643545E-2</v>
      </c>
      <c r="F148" s="377">
        <f t="shared" si="11"/>
        <v>108.91802534922928</v>
      </c>
      <c r="G148" s="377">
        <f t="shared" si="12"/>
        <v>23.961965576830444</v>
      </c>
      <c r="H148" s="377">
        <f>F148*'92'!$C$20/100</f>
        <v>21.662364151299141</v>
      </c>
      <c r="I148" s="402">
        <f>E148*'мат елкт'!$F$25</f>
        <v>25.304434808527169</v>
      </c>
      <c r="J148" s="402">
        <f t="shared" si="9"/>
        <v>0.10478872321875569</v>
      </c>
    </row>
    <row r="149" spans="1:10" s="380" customFormat="1" ht="10.5" x14ac:dyDescent="0.2">
      <c r="A149" s="381">
        <v>147</v>
      </c>
      <c r="B149" s="382" t="s">
        <v>477</v>
      </c>
      <c r="C149" s="490">
        <v>2696.17</v>
      </c>
      <c r="D149" s="451">
        <f>[7]Лист1!F148</f>
        <v>70</v>
      </c>
      <c r="E149" s="377">
        <f t="shared" si="10"/>
        <v>2.318159922928709E-2</v>
      </c>
      <c r="F149" s="377">
        <f t="shared" si="11"/>
        <v>217.83605069845856</v>
      </c>
      <c r="G149" s="377">
        <f t="shared" si="12"/>
        <v>47.923931153660888</v>
      </c>
      <c r="H149" s="377">
        <f>F149*'92'!$C$20/100</f>
        <v>43.324728302598281</v>
      </c>
      <c r="I149" s="402">
        <f>E149*'мат елкт'!$F$25</f>
        <v>50.608869617054339</v>
      </c>
      <c r="J149" s="402">
        <f t="shared" si="9"/>
        <v>0.13340908762124495</v>
      </c>
    </row>
    <row r="150" spans="1:10" s="380" customFormat="1" ht="10.5" x14ac:dyDescent="0.2">
      <c r="A150" s="381">
        <v>148</v>
      </c>
      <c r="B150" s="382" t="s">
        <v>478</v>
      </c>
      <c r="C150" s="490">
        <v>1747.74</v>
      </c>
      <c r="D150" s="451">
        <f>[7]Лист1!F149</f>
        <v>35</v>
      </c>
      <c r="E150" s="377">
        <f t="shared" si="10"/>
        <v>1.1590799614643545E-2</v>
      </c>
      <c r="F150" s="377">
        <f t="shared" si="11"/>
        <v>108.91802534922928</v>
      </c>
      <c r="G150" s="377">
        <f t="shared" si="12"/>
        <v>23.961965576830444</v>
      </c>
      <c r="H150" s="377">
        <f>F150*'92'!$C$20/100</f>
        <v>21.662364151299141</v>
      </c>
      <c r="I150" s="402">
        <f>E150*'мат елкт'!$F$25</f>
        <v>25.304434808527169</v>
      </c>
      <c r="J150" s="402">
        <f t="shared" si="9"/>
        <v>0.10290248543026194</v>
      </c>
    </row>
    <row r="151" spans="1:10" s="380" customFormat="1" ht="10.5" x14ac:dyDescent="0.2">
      <c r="A151" s="381">
        <v>149</v>
      </c>
      <c r="B151" s="382" t="s">
        <v>479</v>
      </c>
      <c r="C151" s="490">
        <v>1129.0999999999999</v>
      </c>
      <c r="D151" s="451">
        <f>[7]Лист1!F150</f>
        <v>35</v>
      </c>
      <c r="E151" s="377">
        <f t="shared" si="10"/>
        <v>1.1590799614643545E-2</v>
      </c>
      <c r="F151" s="377">
        <f t="shared" si="11"/>
        <v>108.91802534922928</v>
      </c>
      <c r="G151" s="377">
        <f t="shared" si="12"/>
        <v>23.961965576830444</v>
      </c>
      <c r="H151" s="377">
        <f>F151*'92'!$C$20/100</f>
        <v>21.662364151299141</v>
      </c>
      <c r="I151" s="402">
        <f>E151*'мат елкт'!$F$25</f>
        <v>25.304434808527169</v>
      </c>
      <c r="J151" s="402">
        <f t="shared" si="9"/>
        <v>0.15928331404294219</v>
      </c>
    </row>
    <row r="152" spans="1:10" s="380" customFormat="1" ht="10.5" x14ac:dyDescent="0.2">
      <c r="A152" s="381">
        <v>150</v>
      </c>
      <c r="B152" s="382" t="s">
        <v>480</v>
      </c>
      <c r="C152" s="490">
        <v>1724</v>
      </c>
      <c r="D152" s="451">
        <f>[7]Лист1!F151</f>
        <v>35</v>
      </c>
      <c r="E152" s="377">
        <f t="shared" si="10"/>
        <v>1.1590799614643545E-2</v>
      </c>
      <c r="F152" s="377">
        <f t="shared" si="11"/>
        <v>108.91802534922928</v>
      </c>
      <c r="G152" s="377">
        <f t="shared" si="12"/>
        <v>23.961965576830444</v>
      </c>
      <c r="H152" s="377">
        <f>F152*'92'!$C$20/100</f>
        <v>21.662364151299141</v>
      </c>
      <c r="I152" s="402">
        <f>E152*'мат елкт'!$F$25</f>
        <v>25.304434808527169</v>
      </c>
      <c r="J152" s="402">
        <f t="shared" si="9"/>
        <v>0.10431948369250929</v>
      </c>
    </row>
    <row r="153" spans="1:10" s="380" customFormat="1" ht="10.5" x14ac:dyDescent="0.2">
      <c r="A153" s="381">
        <v>151</v>
      </c>
      <c r="B153" s="382" t="s">
        <v>481</v>
      </c>
      <c r="C153" s="490">
        <v>1775.1</v>
      </c>
      <c r="D153" s="451">
        <f>[7]Лист1!F152</f>
        <v>35</v>
      </c>
      <c r="E153" s="377">
        <f t="shared" si="10"/>
        <v>1.1590799614643545E-2</v>
      </c>
      <c r="F153" s="377">
        <f t="shared" si="11"/>
        <v>108.91802534922928</v>
      </c>
      <c r="G153" s="377">
        <f t="shared" si="12"/>
        <v>23.961965576830444</v>
      </c>
      <c r="H153" s="377">
        <f>F153*'92'!$C$20/100</f>
        <v>21.662364151299141</v>
      </c>
      <c r="I153" s="402">
        <f>E153*'мат елкт'!$F$25</f>
        <v>25.304434808527169</v>
      </c>
      <c r="J153" s="402">
        <f t="shared" si="9"/>
        <v>0.10131642717924963</v>
      </c>
    </row>
    <row r="154" spans="1:10" s="380" customFormat="1" ht="10.5" x14ac:dyDescent="0.2">
      <c r="A154" s="381">
        <v>152</v>
      </c>
      <c r="B154" s="382" t="s">
        <v>482</v>
      </c>
      <c r="C154" s="490">
        <v>3140.4</v>
      </c>
      <c r="D154" s="451">
        <f>[7]Лист1!F153</f>
        <v>70</v>
      </c>
      <c r="E154" s="377">
        <f t="shared" si="10"/>
        <v>2.318159922928709E-2</v>
      </c>
      <c r="F154" s="377">
        <f t="shared" si="11"/>
        <v>217.83605069845856</v>
      </c>
      <c r="G154" s="377">
        <f t="shared" si="12"/>
        <v>47.923931153660888</v>
      </c>
      <c r="H154" s="377">
        <f>F154*'92'!$C$20/100</f>
        <v>43.324728302598281</v>
      </c>
      <c r="I154" s="402">
        <f>E154*'мат елкт'!$F$25</f>
        <v>50.608869617054339</v>
      </c>
      <c r="J154" s="402">
        <f t="shared" si="9"/>
        <v>0.11453750470378678</v>
      </c>
    </row>
    <row r="155" spans="1:10" s="380" customFormat="1" ht="10.5" x14ac:dyDescent="0.2">
      <c r="A155" s="381">
        <v>153</v>
      </c>
      <c r="B155" s="382" t="s">
        <v>483</v>
      </c>
      <c r="C155" s="490">
        <v>6074.77</v>
      </c>
      <c r="D155" s="451">
        <f>[7]Лист1!F154</f>
        <v>94.5</v>
      </c>
      <c r="E155" s="377">
        <f t="shared" si="10"/>
        <v>3.1295158959537571E-2</v>
      </c>
      <c r="F155" s="377">
        <f t="shared" si="11"/>
        <v>294.07866844291908</v>
      </c>
      <c r="G155" s="377">
        <f t="shared" si="12"/>
        <v>64.697307057442188</v>
      </c>
      <c r="H155" s="377">
        <f>F155*'92'!$C$20/100</f>
        <v>58.488383208507678</v>
      </c>
      <c r="I155" s="402">
        <f>E155*'мат елкт'!$F$25</f>
        <v>68.321973983023355</v>
      </c>
      <c r="J155" s="402">
        <f t="shared" si="9"/>
        <v>7.9934932959090182E-2</v>
      </c>
    </row>
    <row r="156" spans="1:10" s="380" customFormat="1" ht="10.5" x14ac:dyDescent="0.2">
      <c r="A156" s="381">
        <v>154</v>
      </c>
      <c r="B156" s="382" t="s">
        <v>484</v>
      </c>
      <c r="C156" s="490">
        <v>1960.16</v>
      </c>
      <c r="D156" s="451">
        <f>[7]Лист1!F155</f>
        <v>31.5</v>
      </c>
      <c r="E156" s="377">
        <f t="shared" si="10"/>
        <v>1.0431719653179192E-2</v>
      </c>
      <c r="F156" s="377">
        <f t="shared" si="11"/>
        <v>98.026222814306365</v>
      </c>
      <c r="G156" s="377">
        <f t="shared" si="12"/>
        <v>21.5657690191474</v>
      </c>
      <c r="H156" s="377">
        <f>F156*'92'!$C$20/100</f>
        <v>19.496127736169225</v>
      </c>
      <c r="I156" s="402">
        <f>E156*'мат елкт'!$F$25</f>
        <v>22.773991327674455</v>
      </c>
      <c r="J156" s="402">
        <f t="shared" si="9"/>
        <v>8.2575968746070441E-2</v>
      </c>
    </row>
    <row r="157" spans="1:10" s="380" customFormat="1" ht="10.5" x14ac:dyDescent="0.2">
      <c r="A157" s="381">
        <v>155</v>
      </c>
      <c r="B157" s="382" t="s">
        <v>485</v>
      </c>
      <c r="C157" s="490">
        <v>5972.33</v>
      </c>
      <c r="D157" s="451">
        <f>[7]Лист1!F156</f>
        <v>94.5</v>
      </c>
      <c r="E157" s="377">
        <f t="shared" si="10"/>
        <v>3.1295158959537571E-2</v>
      </c>
      <c r="F157" s="377">
        <f t="shared" si="11"/>
        <v>294.07866844291908</v>
      </c>
      <c r="G157" s="377">
        <f t="shared" si="12"/>
        <v>64.697307057442188</v>
      </c>
      <c r="H157" s="377">
        <f>F157*'92'!$C$20/100</f>
        <v>58.488383208507678</v>
      </c>
      <c r="I157" s="402">
        <f>E157*'мат елкт'!$F$25</f>
        <v>68.321973983023355</v>
      </c>
      <c r="J157" s="402">
        <f t="shared" si="9"/>
        <v>8.1306011672478293E-2</v>
      </c>
    </row>
    <row r="158" spans="1:10" s="380" customFormat="1" ht="10.5" x14ac:dyDescent="0.2">
      <c r="A158" s="381">
        <v>156</v>
      </c>
      <c r="B158" s="382" t="s">
        <v>486</v>
      </c>
      <c r="C158" s="490">
        <v>2589.9</v>
      </c>
      <c r="D158" s="451">
        <f>[7]Лист1!F157</f>
        <v>31.5</v>
      </c>
      <c r="E158" s="377">
        <f t="shared" si="10"/>
        <v>1.0431719653179192E-2</v>
      </c>
      <c r="F158" s="377">
        <f t="shared" si="11"/>
        <v>98.026222814306365</v>
      </c>
      <c r="G158" s="377">
        <f t="shared" si="12"/>
        <v>21.5657690191474</v>
      </c>
      <c r="H158" s="377">
        <f>F158*'92'!$C$20/100</f>
        <v>19.496127736169225</v>
      </c>
      <c r="I158" s="402">
        <f>E158*'мат елкт'!$F$25</f>
        <v>22.773991327674455</v>
      </c>
      <c r="J158" s="402">
        <f t="shared" si="9"/>
        <v>6.2497436540907926E-2</v>
      </c>
    </row>
    <row r="159" spans="1:10" s="380" customFormat="1" ht="10.5" x14ac:dyDescent="0.2">
      <c r="A159" s="381">
        <v>157</v>
      </c>
      <c r="B159" s="382" t="s">
        <v>487</v>
      </c>
      <c r="C159" s="490">
        <v>3904.03</v>
      </c>
      <c r="D159" s="451">
        <f>[7]Лист1!F158</f>
        <v>63</v>
      </c>
      <c r="E159" s="377">
        <f t="shared" si="10"/>
        <v>2.0863439306358384E-2</v>
      </c>
      <c r="F159" s="377">
        <f t="shared" si="11"/>
        <v>196.05244562861273</v>
      </c>
      <c r="G159" s="377">
        <f t="shared" si="12"/>
        <v>43.131538038294799</v>
      </c>
      <c r="H159" s="377">
        <f>F159*'92'!$C$20/100</f>
        <v>38.992255472338449</v>
      </c>
      <c r="I159" s="402">
        <f>E159*'мат елкт'!$F$25</f>
        <v>45.54798265534891</v>
      </c>
      <c r="J159" s="402">
        <f t="shared" si="9"/>
        <v>8.2920526172850839E-2</v>
      </c>
    </row>
    <row r="160" spans="1:10" s="380" customFormat="1" ht="10.5" x14ac:dyDescent="0.2">
      <c r="A160" s="381">
        <v>158</v>
      </c>
      <c r="B160" s="382" t="s">
        <v>488</v>
      </c>
      <c r="C160" s="490">
        <v>3894.85</v>
      </c>
      <c r="D160" s="451">
        <f>[7]Лист1!F159</f>
        <v>63</v>
      </c>
      <c r="E160" s="377">
        <f t="shared" si="10"/>
        <v>2.0863439306358384E-2</v>
      </c>
      <c r="F160" s="377">
        <f t="shared" si="11"/>
        <v>196.05244562861273</v>
      </c>
      <c r="G160" s="377">
        <f t="shared" si="12"/>
        <v>43.131538038294799</v>
      </c>
      <c r="H160" s="377">
        <f>F160*'92'!$C$20/100</f>
        <v>38.992255472338449</v>
      </c>
      <c r="I160" s="402">
        <f>E160*'мат елкт'!$F$25</f>
        <v>45.54798265534891</v>
      </c>
      <c r="J160" s="402">
        <f t="shared" si="9"/>
        <v>8.3115966415804168E-2</v>
      </c>
    </row>
    <row r="161" spans="1:23" s="443" customFormat="1" ht="10.5" x14ac:dyDescent="0.2">
      <c r="A161" s="385">
        <v>159</v>
      </c>
      <c r="B161" s="441" t="s">
        <v>22</v>
      </c>
      <c r="C161" s="441">
        <f>SUM(C3:C160)</f>
        <v>264830.12</v>
      </c>
      <c r="D161" s="442">
        <f>SUM(D3:D160)</f>
        <v>6041</v>
      </c>
      <c r="E161" s="387">
        <f>'мат елкт'!D3</f>
        <v>2.000572013487476</v>
      </c>
      <c r="F161" s="387">
        <f>E161*ЗП!M59</f>
        <v>18799.251175276975</v>
      </c>
      <c r="G161" s="387">
        <f>F161*22/100</f>
        <v>4135.8352585609346</v>
      </c>
      <c r="H161" s="387">
        <f>F161*'92'!$C$20/100</f>
        <v>3738.9240525142313</v>
      </c>
      <c r="I161" s="405">
        <f>'мат елкт'!F24/12</f>
        <v>4367.5454479517903</v>
      </c>
      <c r="J161" s="405">
        <f t="shared" si="9"/>
        <v>0.11721308714546493</v>
      </c>
    </row>
    <row r="162" spans="1:23" s="380" customFormat="1" ht="10.5" x14ac:dyDescent="0.2">
      <c r="A162" s="430"/>
      <c r="B162" s="432"/>
      <c r="C162" s="432"/>
      <c r="D162" s="444"/>
      <c r="E162" s="393"/>
      <c r="F162" s="393"/>
      <c r="G162" s="393"/>
      <c r="H162" s="391"/>
      <c r="I162" s="452"/>
      <c r="J162" s="406"/>
    </row>
    <row r="163" spans="1:23" s="380" customFormat="1" ht="10.5" x14ac:dyDescent="0.2">
      <c r="A163" s="430"/>
      <c r="B163" s="432"/>
      <c r="C163" s="432"/>
      <c r="D163" s="444"/>
      <c r="E163" s="393">
        <f>D161/E161</f>
        <v>3019.6363636363635</v>
      </c>
      <c r="F163" s="393">
        <f>F161/E161</f>
        <v>9396.9380000000001</v>
      </c>
      <c r="G163" s="393"/>
      <c r="H163" s="391"/>
      <c r="I163" s="406"/>
      <c r="J163" s="406"/>
    </row>
    <row r="164" spans="1:23" s="380" customFormat="1" ht="10.5" x14ac:dyDescent="0.2">
      <c r="A164" s="430"/>
      <c r="B164" s="432"/>
      <c r="C164" s="432"/>
      <c r="D164" s="444"/>
      <c r="E164" s="393"/>
      <c r="F164" s="393"/>
      <c r="G164" s="393"/>
      <c r="H164" s="391"/>
      <c r="I164" s="452"/>
      <c r="J164" s="406"/>
    </row>
    <row r="165" spans="1:23" ht="11.25" x14ac:dyDescent="0.2">
      <c r="A165" s="49"/>
      <c r="B165" s="28"/>
      <c r="C165" s="28"/>
      <c r="D165" s="350"/>
      <c r="E165" s="263"/>
      <c r="F165" s="263"/>
      <c r="G165" s="263"/>
      <c r="H165" s="348"/>
      <c r="I165" s="260"/>
      <c r="J165" s="250"/>
    </row>
    <row r="166" spans="1:23" s="370" customFormat="1" ht="15.75" customHeight="1" x14ac:dyDescent="0.2">
      <c r="A166" s="422"/>
      <c r="B166" s="364" t="s">
        <v>234</v>
      </c>
      <c r="C166" s="421"/>
      <c r="D166" s="421"/>
      <c r="F166" s="511" t="s">
        <v>648</v>
      </c>
      <c r="G166" s="511"/>
      <c r="H166" s="511"/>
      <c r="I166" s="421"/>
      <c r="J166" s="473"/>
      <c r="K166" s="421"/>
      <c r="L166" s="421"/>
      <c r="M166" s="421"/>
      <c r="N166" s="368"/>
      <c r="O166" s="368"/>
      <c r="P166" s="369"/>
      <c r="Q166" s="369"/>
      <c r="R166" s="369"/>
      <c r="S166" s="369"/>
      <c r="T166" s="369"/>
      <c r="U166" s="368"/>
      <c r="V166" s="368"/>
      <c r="W166" s="369"/>
    </row>
  </sheetData>
  <mergeCells count="2">
    <mergeCell ref="A1:J1"/>
    <mergeCell ref="F166:H166"/>
  </mergeCells>
  <phoneticPr fontId="2" type="noConversion"/>
  <pageMargins left="0.78740157480314965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K1" workbookViewId="0">
      <selection activeCell="B48" sqref="B48"/>
    </sheetView>
  </sheetViews>
  <sheetFormatPr defaultRowHeight="12.75" x14ac:dyDescent="0.2"/>
  <cols>
    <col min="1" max="1" width="5.85546875" style="62" customWidth="1"/>
    <col min="2" max="2" width="35.28515625" style="32" customWidth="1"/>
    <col min="3" max="3" width="9.140625" style="31"/>
    <col min="4" max="4" width="9.42578125" style="95" bestFit="1" customWidth="1"/>
    <col min="5" max="5" width="9.140625" style="31"/>
    <col min="6" max="6" width="10.140625" style="35" customWidth="1"/>
  </cols>
  <sheetData>
    <row r="1" spans="1:6" ht="47.25" customHeight="1" x14ac:dyDescent="0.2">
      <c r="A1" s="513" t="s">
        <v>622</v>
      </c>
      <c r="B1" s="513"/>
      <c r="C1" s="513"/>
      <c r="D1" s="513"/>
      <c r="E1" s="513"/>
      <c r="F1" s="513"/>
    </row>
    <row r="2" spans="1:6" ht="15.75" x14ac:dyDescent="0.2">
      <c r="A2" s="76"/>
      <c r="B2" s="76"/>
      <c r="C2" s="76"/>
      <c r="D2" s="91"/>
      <c r="E2" s="76"/>
      <c r="F2" s="76"/>
    </row>
    <row r="3" spans="1:6" x14ac:dyDescent="0.2">
      <c r="A3" s="67" t="s">
        <v>14</v>
      </c>
      <c r="B3" s="50" t="s">
        <v>51</v>
      </c>
      <c r="C3" s="37" t="s">
        <v>94</v>
      </c>
      <c r="D3" s="92" t="s">
        <v>95</v>
      </c>
      <c r="E3" s="37" t="s">
        <v>96</v>
      </c>
      <c r="F3" s="36" t="s">
        <v>97</v>
      </c>
    </row>
    <row r="4" spans="1:6" ht="25.5" x14ac:dyDescent="0.2">
      <c r="A4" s="67" t="s">
        <v>99</v>
      </c>
      <c r="B4" s="60" t="s">
        <v>279</v>
      </c>
      <c r="C4" s="37" t="s">
        <v>110</v>
      </c>
      <c r="D4" s="92">
        <v>4</v>
      </c>
      <c r="E4" s="37"/>
      <c r="F4" s="36">
        <f>D4/2</f>
        <v>2</v>
      </c>
    </row>
    <row r="5" spans="1:6" x14ac:dyDescent="0.2">
      <c r="A5" s="67" t="s">
        <v>100</v>
      </c>
      <c r="B5" s="60" t="s">
        <v>280</v>
      </c>
      <c r="C5" s="37" t="s">
        <v>110</v>
      </c>
      <c r="D5" s="92">
        <v>4</v>
      </c>
      <c r="E5" s="37"/>
      <c r="F5" s="36"/>
    </row>
    <row r="6" spans="1:6" x14ac:dyDescent="0.2">
      <c r="A6" s="67" t="s">
        <v>219</v>
      </c>
      <c r="B6" s="60" t="s">
        <v>232</v>
      </c>
      <c r="C6" s="37" t="s">
        <v>98</v>
      </c>
      <c r="D6" s="92">
        <f>'ПР шиф.рул.'!D161</f>
        <v>105102.97000000002</v>
      </c>
      <c r="E6" s="37"/>
      <c r="F6" s="36"/>
    </row>
    <row r="7" spans="1:6" x14ac:dyDescent="0.2">
      <c r="A7" s="67" t="s">
        <v>281</v>
      </c>
      <c r="B7" s="61" t="s">
        <v>220</v>
      </c>
      <c r="C7" s="37" t="s">
        <v>17</v>
      </c>
      <c r="D7" s="92">
        <v>10</v>
      </c>
      <c r="E7" s="59"/>
      <c r="F7" s="36">
        <f>D6/D7/100</f>
        <v>105.10297000000003</v>
      </c>
    </row>
    <row r="8" spans="1:6" x14ac:dyDescent="0.2">
      <c r="A8" s="67" t="s">
        <v>297</v>
      </c>
      <c r="B8" s="60" t="s">
        <v>312</v>
      </c>
      <c r="C8" s="37" t="s">
        <v>101</v>
      </c>
      <c r="D8" s="36">
        <v>3.85</v>
      </c>
      <c r="E8" s="59"/>
      <c r="F8" s="36">
        <f>(D6*D8/D9)/100</f>
        <v>24.364549283477846</v>
      </c>
    </row>
    <row r="9" spans="1:6" x14ac:dyDescent="0.2">
      <c r="A9" s="67" t="s">
        <v>309</v>
      </c>
      <c r="B9" s="50" t="s">
        <v>298</v>
      </c>
      <c r="C9" s="37" t="s">
        <v>107</v>
      </c>
      <c r="D9" s="36">
        <v>166.08</v>
      </c>
      <c r="E9" s="59"/>
      <c r="F9" s="36"/>
    </row>
    <row r="10" spans="1:6" ht="15.75" x14ac:dyDescent="0.2">
      <c r="A10" s="67"/>
      <c r="B10" s="242" t="s">
        <v>230</v>
      </c>
      <c r="C10" s="37"/>
      <c r="D10" s="92"/>
      <c r="E10" s="59"/>
      <c r="F10" s="36"/>
    </row>
    <row r="11" spans="1:6" x14ac:dyDescent="0.2">
      <c r="A11" s="68" t="s">
        <v>3</v>
      </c>
      <c r="B11" s="63" t="s">
        <v>134</v>
      </c>
      <c r="C11" s="37"/>
      <c r="D11" s="92"/>
      <c r="E11" s="37"/>
      <c r="F11" s="64">
        <f>SUM(F12:F19)</f>
        <v>7129.88</v>
      </c>
    </row>
    <row r="12" spans="1:6" x14ac:dyDescent="0.2">
      <c r="A12" s="67" t="s">
        <v>171</v>
      </c>
      <c r="B12" s="65" t="s">
        <v>639</v>
      </c>
      <c r="C12" s="66" t="s">
        <v>120</v>
      </c>
      <c r="D12" s="75">
        <v>2</v>
      </c>
      <c r="E12" s="37">
        <v>550</v>
      </c>
      <c r="F12" s="36">
        <f>D12*E12</f>
        <v>1100</v>
      </c>
    </row>
    <row r="13" spans="1:6" x14ac:dyDescent="0.2">
      <c r="A13" s="67" t="s">
        <v>172</v>
      </c>
      <c r="B13" s="487" t="s">
        <v>169</v>
      </c>
      <c r="C13" s="66" t="s">
        <v>120</v>
      </c>
      <c r="D13" s="93">
        <v>2</v>
      </c>
      <c r="E13" s="484">
        <v>723</v>
      </c>
      <c r="F13" s="36">
        <f>D13*E13</f>
        <v>1446</v>
      </c>
    </row>
    <row r="14" spans="1:6" x14ac:dyDescent="0.2">
      <c r="A14" s="67" t="s">
        <v>173</v>
      </c>
      <c r="B14" s="65" t="s">
        <v>637</v>
      </c>
      <c r="C14" s="66" t="s">
        <v>120</v>
      </c>
      <c r="D14" s="93">
        <v>2</v>
      </c>
      <c r="E14" s="37">
        <v>22</v>
      </c>
      <c r="F14" s="36">
        <f>D14*E14</f>
        <v>44</v>
      </c>
    </row>
    <row r="15" spans="1:6" x14ac:dyDescent="0.2">
      <c r="A15" s="67" t="s">
        <v>174</v>
      </c>
      <c r="B15" s="65" t="s">
        <v>640</v>
      </c>
      <c r="C15" s="66" t="s">
        <v>120</v>
      </c>
      <c r="D15" s="93">
        <f>F4</f>
        <v>2</v>
      </c>
      <c r="E15" s="37">
        <v>63</v>
      </c>
      <c r="F15" s="36">
        <f>D15*E15</f>
        <v>126</v>
      </c>
    </row>
    <row r="16" spans="1:6" x14ac:dyDescent="0.2">
      <c r="A16" s="67" t="s">
        <v>175</v>
      </c>
      <c r="B16" s="482" t="s">
        <v>633</v>
      </c>
      <c r="C16" s="66" t="s">
        <v>120</v>
      </c>
      <c r="D16" s="93">
        <v>2</v>
      </c>
      <c r="E16" s="484">
        <v>562.94000000000005</v>
      </c>
      <c r="F16" s="36">
        <f t="shared" ref="F16:F19" si="0">D16*E16</f>
        <v>1125.8800000000001</v>
      </c>
    </row>
    <row r="17" spans="1:6" x14ac:dyDescent="0.2">
      <c r="A17" s="67" t="s">
        <v>176</v>
      </c>
      <c r="B17" s="482" t="s">
        <v>636</v>
      </c>
      <c r="C17" s="66" t="s">
        <v>120</v>
      </c>
      <c r="D17" s="93">
        <v>2</v>
      </c>
      <c r="E17" s="483">
        <v>428</v>
      </c>
      <c r="F17" s="36">
        <f t="shared" si="0"/>
        <v>856</v>
      </c>
    </row>
    <row r="18" spans="1:6" x14ac:dyDescent="0.2">
      <c r="A18" s="67" t="s">
        <v>177</v>
      </c>
      <c r="B18" s="65" t="s">
        <v>642</v>
      </c>
      <c r="C18" s="66" t="s">
        <v>120</v>
      </c>
      <c r="D18" s="93">
        <v>2</v>
      </c>
      <c r="E18" s="37">
        <v>766</v>
      </c>
      <c r="F18" s="36">
        <f t="shared" si="0"/>
        <v>1532</v>
      </c>
    </row>
    <row r="19" spans="1:6" x14ac:dyDescent="0.2">
      <c r="A19" s="67" t="s">
        <v>178</v>
      </c>
      <c r="B19" s="65" t="s">
        <v>641</v>
      </c>
      <c r="C19" s="66" t="s">
        <v>120</v>
      </c>
      <c r="D19" s="93">
        <v>2</v>
      </c>
      <c r="E19" s="37">
        <v>450</v>
      </c>
      <c r="F19" s="36">
        <f t="shared" si="0"/>
        <v>900</v>
      </c>
    </row>
    <row r="20" spans="1:6" x14ac:dyDescent="0.2">
      <c r="A20" s="68" t="s">
        <v>4</v>
      </c>
      <c r="B20" s="63" t="s">
        <v>118</v>
      </c>
      <c r="C20" s="37"/>
      <c r="D20" s="92"/>
      <c r="E20" s="37"/>
      <c r="F20" s="64">
        <f>SUM(F21:F25)</f>
        <v>1470.25</v>
      </c>
    </row>
    <row r="21" spans="1:6" s="96" customFormat="1" x14ac:dyDescent="0.2">
      <c r="A21" s="67" t="s">
        <v>104</v>
      </c>
      <c r="B21" s="243" t="s">
        <v>240</v>
      </c>
      <c r="C21" s="66" t="s">
        <v>120</v>
      </c>
      <c r="D21" s="92">
        <f>0.5*F4</f>
        <v>1</v>
      </c>
      <c r="E21" s="244">
        <v>315</v>
      </c>
      <c r="F21" s="36">
        <f t="shared" ref="F21:F25" si="1">D21*E21</f>
        <v>315</v>
      </c>
    </row>
    <row r="22" spans="1:6" s="96" customFormat="1" x14ac:dyDescent="0.2">
      <c r="A22" s="67" t="s">
        <v>106</v>
      </c>
      <c r="B22" s="243" t="s">
        <v>241</v>
      </c>
      <c r="C22" s="66" t="s">
        <v>120</v>
      </c>
      <c r="D22" s="92">
        <v>3</v>
      </c>
      <c r="E22" s="244">
        <v>161.6</v>
      </c>
      <c r="F22" s="36">
        <f t="shared" si="1"/>
        <v>484.79999999999995</v>
      </c>
    </row>
    <row r="23" spans="1:6" s="96" customFormat="1" x14ac:dyDescent="0.2">
      <c r="A23" s="67" t="s">
        <v>108</v>
      </c>
      <c r="B23" s="243" t="s">
        <v>242</v>
      </c>
      <c r="C23" s="66" t="s">
        <v>120</v>
      </c>
      <c r="D23" s="92">
        <v>1</v>
      </c>
      <c r="E23" s="244">
        <v>318.75</v>
      </c>
      <c r="F23" s="36">
        <f t="shared" si="1"/>
        <v>318.75</v>
      </c>
    </row>
    <row r="24" spans="1:6" s="96" customFormat="1" x14ac:dyDescent="0.2">
      <c r="A24" s="67" t="s">
        <v>180</v>
      </c>
      <c r="B24" s="243" t="s">
        <v>243</v>
      </c>
      <c r="C24" s="66" t="s">
        <v>120</v>
      </c>
      <c r="D24" s="92">
        <f>F4</f>
        <v>2</v>
      </c>
      <c r="E24" s="244">
        <v>110</v>
      </c>
      <c r="F24" s="36">
        <f t="shared" si="1"/>
        <v>220</v>
      </c>
    </row>
    <row r="25" spans="1:6" s="96" customFormat="1" x14ac:dyDescent="0.2">
      <c r="A25" s="67" t="s">
        <v>181</v>
      </c>
      <c r="B25" s="243" t="s">
        <v>244</v>
      </c>
      <c r="C25" s="66" t="s">
        <v>120</v>
      </c>
      <c r="D25" s="92">
        <f>F4</f>
        <v>2</v>
      </c>
      <c r="E25" s="244">
        <v>65.849999999999994</v>
      </c>
      <c r="F25" s="36">
        <f t="shared" si="1"/>
        <v>131.69999999999999</v>
      </c>
    </row>
    <row r="26" spans="1:6" x14ac:dyDescent="0.2">
      <c r="A26" s="68" t="s">
        <v>5</v>
      </c>
      <c r="B26" s="63" t="s">
        <v>646</v>
      </c>
      <c r="C26" s="37"/>
      <c r="D26" s="92"/>
      <c r="E26" s="37"/>
      <c r="F26" s="64">
        <v>36500</v>
      </c>
    </row>
    <row r="27" spans="1:6" x14ac:dyDescent="0.2">
      <c r="A27" s="68" t="s">
        <v>6</v>
      </c>
      <c r="B27" s="63" t="s">
        <v>137</v>
      </c>
      <c r="C27" s="71" t="s">
        <v>120</v>
      </c>
      <c r="D27" s="94"/>
      <c r="E27" s="71"/>
      <c r="F27" s="64">
        <f>SUM(F20+F11+F26)</f>
        <v>45100.130000000005</v>
      </c>
    </row>
    <row r="28" spans="1:6" x14ac:dyDescent="0.2">
      <c r="A28" s="68" t="s">
        <v>7</v>
      </c>
      <c r="B28" s="63" t="s">
        <v>138</v>
      </c>
      <c r="C28" s="71"/>
      <c r="D28" s="94"/>
      <c r="E28" s="71"/>
      <c r="F28" s="64">
        <f>F27/F4/12</f>
        <v>1879.1720833333336</v>
      </c>
    </row>
    <row r="29" spans="1:6" x14ac:dyDescent="0.2">
      <c r="A29" s="68"/>
      <c r="B29" s="63"/>
      <c r="C29" s="71"/>
      <c r="D29" s="94"/>
      <c r="E29" s="71"/>
      <c r="F29" s="64"/>
    </row>
    <row r="30" spans="1:6" ht="15.75" x14ac:dyDescent="0.2">
      <c r="A30" s="67"/>
      <c r="B30" s="150" t="s">
        <v>231</v>
      </c>
      <c r="C30" s="37"/>
      <c r="D30" s="92"/>
      <c r="E30" s="37"/>
      <c r="F30" s="36"/>
    </row>
    <row r="31" spans="1:6" x14ac:dyDescent="0.2">
      <c r="A31" s="67" t="s">
        <v>2</v>
      </c>
      <c r="B31" s="60" t="s">
        <v>141</v>
      </c>
      <c r="C31" s="37" t="s">
        <v>110</v>
      </c>
      <c r="D31" s="92">
        <f>D4/2</f>
        <v>2</v>
      </c>
      <c r="E31" s="37"/>
      <c r="F31" s="36"/>
    </row>
    <row r="32" spans="1:6" x14ac:dyDescent="0.2">
      <c r="A32" s="67" t="s">
        <v>219</v>
      </c>
      <c r="B32" s="61" t="s">
        <v>220</v>
      </c>
      <c r="C32" s="37" t="s">
        <v>17</v>
      </c>
      <c r="D32" s="92">
        <v>10</v>
      </c>
      <c r="E32" s="59"/>
      <c r="F32" s="36"/>
    </row>
    <row r="33" spans="1:6" x14ac:dyDescent="0.2">
      <c r="A33" s="68" t="s">
        <v>3</v>
      </c>
      <c r="B33" s="63" t="s">
        <v>134</v>
      </c>
      <c r="C33" s="37"/>
      <c r="D33" s="92"/>
      <c r="E33" s="37"/>
      <c r="F33" s="64">
        <f>SUM(F34:F41)</f>
        <v>7129.88</v>
      </c>
    </row>
    <row r="34" spans="1:6" x14ac:dyDescent="0.2">
      <c r="A34" s="67" t="s">
        <v>171</v>
      </c>
      <c r="B34" s="65" t="s">
        <v>639</v>
      </c>
      <c r="C34" s="66" t="s">
        <v>120</v>
      </c>
      <c r="D34" s="75">
        <v>2</v>
      </c>
      <c r="E34" s="37">
        <v>550</v>
      </c>
      <c r="F34" s="36">
        <f>D34*E34</f>
        <v>1100</v>
      </c>
    </row>
    <row r="35" spans="1:6" x14ac:dyDescent="0.2">
      <c r="A35" s="67" t="s">
        <v>172</v>
      </c>
      <c r="B35" s="487" t="s">
        <v>169</v>
      </c>
      <c r="C35" s="66" t="s">
        <v>120</v>
      </c>
      <c r="D35" s="93">
        <v>2</v>
      </c>
      <c r="E35" s="484">
        <v>723</v>
      </c>
      <c r="F35" s="36">
        <f>D35*E35</f>
        <v>1446</v>
      </c>
    </row>
    <row r="36" spans="1:6" x14ac:dyDescent="0.2">
      <c r="A36" s="67" t="s">
        <v>173</v>
      </c>
      <c r="B36" s="65" t="s">
        <v>637</v>
      </c>
      <c r="C36" s="66" t="s">
        <v>120</v>
      </c>
      <c r="D36" s="93">
        <v>2</v>
      </c>
      <c r="E36" s="37">
        <v>22</v>
      </c>
      <c r="F36" s="36">
        <f>D36*E36</f>
        <v>44</v>
      </c>
    </row>
    <row r="37" spans="1:6" x14ac:dyDescent="0.2">
      <c r="A37" s="67" t="s">
        <v>174</v>
      </c>
      <c r="B37" s="65" t="s">
        <v>640</v>
      </c>
      <c r="C37" s="66" t="s">
        <v>120</v>
      </c>
      <c r="D37" s="93">
        <v>2</v>
      </c>
      <c r="E37" s="37">
        <v>63</v>
      </c>
      <c r="F37" s="36">
        <f>D37*E37</f>
        <v>126</v>
      </c>
    </row>
    <row r="38" spans="1:6" x14ac:dyDescent="0.2">
      <c r="A38" s="67" t="s">
        <v>175</v>
      </c>
      <c r="B38" s="482" t="s">
        <v>633</v>
      </c>
      <c r="C38" s="66" t="s">
        <v>120</v>
      </c>
      <c r="D38" s="93">
        <v>2</v>
      </c>
      <c r="E38" s="484">
        <v>562.94000000000005</v>
      </c>
      <c r="F38" s="36">
        <f t="shared" ref="F38:F41" si="2">D38*E38</f>
        <v>1125.8800000000001</v>
      </c>
    </row>
    <row r="39" spans="1:6" x14ac:dyDescent="0.2">
      <c r="A39" s="67" t="s">
        <v>176</v>
      </c>
      <c r="B39" s="482" t="s">
        <v>636</v>
      </c>
      <c r="C39" s="66" t="s">
        <v>120</v>
      </c>
      <c r="D39" s="93">
        <v>2</v>
      </c>
      <c r="E39" s="483">
        <v>428</v>
      </c>
      <c r="F39" s="36">
        <f t="shared" si="2"/>
        <v>856</v>
      </c>
    </row>
    <row r="40" spans="1:6" x14ac:dyDescent="0.2">
      <c r="A40" s="67" t="s">
        <v>177</v>
      </c>
      <c r="B40" s="65" t="s">
        <v>642</v>
      </c>
      <c r="C40" s="66" t="s">
        <v>120</v>
      </c>
      <c r="D40" s="93">
        <v>2</v>
      </c>
      <c r="E40" s="37">
        <v>766</v>
      </c>
      <c r="F40" s="36">
        <f t="shared" si="2"/>
        <v>1532</v>
      </c>
    </row>
    <row r="41" spans="1:6" x14ac:dyDescent="0.2">
      <c r="A41" s="67" t="s">
        <v>178</v>
      </c>
      <c r="B41" s="65" t="s">
        <v>641</v>
      </c>
      <c r="C41" s="66" t="s">
        <v>120</v>
      </c>
      <c r="D41" s="93">
        <v>2</v>
      </c>
      <c r="E41" s="37">
        <v>450</v>
      </c>
      <c r="F41" s="36">
        <f t="shared" si="2"/>
        <v>900</v>
      </c>
    </row>
    <row r="42" spans="1:6" x14ac:dyDescent="0.2">
      <c r="A42" s="68" t="s">
        <v>4</v>
      </c>
      <c r="B42" s="63" t="s">
        <v>118</v>
      </c>
      <c r="C42" s="37"/>
      <c r="D42" s="92"/>
      <c r="E42" s="37"/>
      <c r="F42" s="64">
        <f>SUM(F43:F47)</f>
        <v>1785.25</v>
      </c>
    </row>
    <row r="43" spans="1:6" s="96" customFormat="1" x14ac:dyDescent="0.2">
      <c r="A43" s="67" t="s">
        <v>104</v>
      </c>
      <c r="B43" s="243" t="s">
        <v>240</v>
      </c>
      <c r="C43" s="66" t="s">
        <v>120</v>
      </c>
      <c r="D43" s="92">
        <v>2</v>
      </c>
      <c r="E43" s="244">
        <v>315</v>
      </c>
      <c r="F43" s="36">
        <f t="shared" ref="F43:F47" si="3">D43*E43</f>
        <v>630</v>
      </c>
    </row>
    <row r="44" spans="1:6" s="96" customFormat="1" x14ac:dyDescent="0.2">
      <c r="A44" s="67" t="s">
        <v>106</v>
      </c>
      <c r="B44" s="243" t="s">
        <v>241</v>
      </c>
      <c r="C44" s="66" t="s">
        <v>120</v>
      </c>
      <c r="D44" s="92">
        <v>3</v>
      </c>
      <c r="E44" s="244">
        <v>161.6</v>
      </c>
      <c r="F44" s="36">
        <f t="shared" si="3"/>
        <v>484.79999999999995</v>
      </c>
    </row>
    <row r="45" spans="1:6" s="96" customFormat="1" x14ac:dyDescent="0.2">
      <c r="A45" s="67" t="s">
        <v>108</v>
      </c>
      <c r="B45" s="243" t="s">
        <v>242</v>
      </c>
      <c r="C45" s="66" t="s">
        <v>120</v>
      </c>
      <c r="D45" s="92">
        <v>1</v>
      </c>
      <c r="E45" s="244">
        <v>318.75</v>
      </c>
      <c r="F45" s="36">
        <f t="shared" si="3"/>
        <v>318.75</v>
      </c>
    </row>
    <row r="46" spans="1:6" s="96" customFormat="1" x14ac:dyDescent="0.2">
      <c r="A46" s="67" t="s">
        <v>180</v>
      </c>
      <c r="B46" s="243" t="s">
        <v>243</v>
      </c>
      <c r="C46" s="66" t="s">
        <v>120</v>
      </c>
      <c r="D46" s="92">
        <f>D31</f>
        <v>2</v>
      </c>
      <c r="E46" s="244">
        <v>110</v>
      </c>
      <c r="F46" s="36">
        <f t="shared" si="3"/>
        <v>220</v>
      </c>
    </row>
    <row r="47" spans="1:6" s="96" customFormat="1" x14ac:dyDescent="0.2">
      <c r="A47" s="67" t="s">
        <v>181</v>
      </c>
      <c r="B47" s="243" t="s">
        <v>244</v>
      </c>
      <c r="C47" s="66" t="s">
        <v>120</v>
      </c>
      <c r="D47" s="92">
        <f>D31</f>
        <v>2</v>
      </c>
      <c r="E47" s="244">
        <v>65.849999999999994</v>
      </c>
      <c r="F47" s="36">
        <f t="shared" si="3"/>
        <v>131.69999999999999</v>
      </c>
    </row>
    <row r="48" spans="1:6" x14ac:dyDescent="0.2">
      <c r="A48" s="68" t="s">
        <v>5</v>
      </c>
      <c r="B48" s="63" t="s">
        <v>646</v>
      </c>
      <c r="C48" s="37"/>
      <c r="D48" s="92"/>
      <c r="E48" s="37"/>
      <c r="F48" s="36">
        <v>36500</v>
      </c>
    </row>
    <row r="49" spans="1:23" x14ac:dyDescent="0.2">
      <c r="A49" s="68" t="s">
        <v>6</v>
      </c>
      <c r="B49" s="63" t="s">
        <v>137</v>
      </c>
      <c r="C49" s="71" t="s">
        <v>120</v>
      </c>
      <c r="D49" s="94"/>
      <c r="E49" s="71"/>
      <c r="F49" s="64">
        <f>SUM(F42+F33+F48)</f>
        <v>45415.130000000005</v>
      </c>
    </row>
    <row r="50" spans="1:23" x14ac:dyDescent="0.2">
      <c r="A50" s="68" t="s">
        <v>7</v>
      </c>
      <c r="B50" s="63" t="s">
        <v>138</v>
      </c>
      <c r="C50" s="71"/>
      <c r="D50" s="94"/>
      <c r="E50" s="71"/>
      <c r="F50" s="64">
        <f>F49/D31/12</f>
        <v>1892.2970833333336</v>
      </c>
    </row>
    <row r="52" spans="1:23" x14ac:dyDescent="0.2">
      <c r="F52" s="236"/>
    </row>
    <row r="53" spans="1:23" x14ac:dyDescent="0.2">
      <c r="F53" s="236"/>
    </row>
    <row r="54" spans="1:23" s="370" customFormat="1" ht="15.75" customHeight="1" x14ac:dyDescent="0.2">
      <c r="A54" s="422"/>
      <c r="B54" s="364" t="s">
        <v>234</v>
      </c>
      <c r="C54" s="421"/>
      <c r="D54" s="421"/>
      <c r="E54" s="511" t="s">
        <v>615</v>
      </c>
      <c r="F54" s="511"/>
      <c r="G54" s="366"/>
      <c r="H54" s="503"/>
      <c r="I54" s="503"/>
      <c r="J54" s="503"/>
      <c r="K54" s="503"/>
      <c r="L54" s="503"/>
      <c r="M54" s="421"/>
      <c r="N54" s="368"/>
      <c r="O54" s="368"/>
      <c r="P54" s="369"/>
      <c r="Q54" s="369"/>
      <c r="R54" s="369"/>
      <c r="S54" s="369"/>
      <c r="T54" s="369"/>
      <c r="U54" s="368"/>
      <c r="V54" s="368"/>
      <c r="W54" s="369"/>
    </row>
  </sheetData>
  <mergeCells count="3">
    <mergeCell ref="A1:F1"/>
    <mergeCell ref="E54:F54"/>
    <mergeCell ref="H54:L54"/>
  </mergeCells>
  <phoneticPr fontId="2" type="noConversion"/>
  <pageMargins left="0.94488188976377963" right="0.55118110236220474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opLeftCell="A127" zoomScale="130" zoomScaleNormal="130" workbookViewId="0">
      <selection activeCell="E166" sqref="E166:G166"/>
    </sheetView>
  </sheetViews>
  <sheetFormatPr defaultRowHeight="12" x14ac:dyDescent="0.2"/>
  <cols>
    <col min="1" max="1" width="3.5703125" style="49" bestFit="1" customWidth="1"/>
    <col min="2" max="2" width="15.5703125" style="107" bestFit="1" customWidth="1"/>
    <col min="3" max="3" width="8.85546875" style="49" customWidth="1"/>
    <col min="4" max="4" width="8" style="475" bestFit="1" customWidth="1"/>
    <col min="5" max="5" width="7.28515625" style="86" customWidth="1"/>
    <col min="6" max="6" width="9" style="47" customWidth="1"/>
    <col min="7" max="7" width="8.140625" style="262" customWidth="1"/>
    <col min="8" max="8" width="7.140625" style="262" customWidth="1"/>
    <col min="9" max="9" width="7.7109375" style="39" customWidth="1"/>
    <col min="10" max="10" width="8.7109375" style="39" customWidth="1"/>
    <col min="11" max="11" width="8.28515625" style="349" customWidth="1"/>
  </cols>
  <sheetData>
    <row r="1" spans="1:11" ht="33" customHeight="1" x14ac:dyDescent="0.2">
      <c r="A1" s="508" t="s">
        <v>623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1" s="425" customFormat="1" ht="31.5" x14ac:dyDescent="0.2">
      <c r="A2" s="453" t="s">
        <v>1</v>
      </c>
      <c r="B2" s="423" t="s">
        <v>0</v>
      </c>
      <c r="C2" s="375" t="s">
        <v>72</v>
      </c>
      <c r="D2" s="400" t="s">
        <v>227</v>
      </c>
      <c r="E2" s="375" t="s">
        <v>229</v>
      </c>
      <c r="F2" s="379" t="s">
        <v>228</v>
      </c>
      <c r="G2" s="377" t="s">
        <v>80</v>
      </c>
      <c r="H2" s="377" t="s">
        <v>273</v>
      </c>
      <c r="I2" s="375" t="s">
        <v>75</v>
      </c>
      <c r="J2" s="375" t="s">
        <v>81</v>
      </c>
      <c r="K2" s="402" t="s">
        <v>237</v>
      </c>
    </row>
    <row r="3" spans="1:11" s="425" customFormat="1" ht="10.5" x14ac:dyDescent="0.2">
      <c r="A3" s="381">
        <v>1</v>
      </c>
      <c r="B3" s="382" t="s">
        <v>331</v>
      </c>
      <c r="C3" s="383">
        <v>394.86</v>
      </c>
      <c r="D3" s="454">
        <v>367</v>
      </c>
      <c r="E3" s="377" t="s">
        <v>320</v>
      </c>
      <c r="F3" s="379">
        <f t="shared" ref="F3:F66" si="0">D3/$F$163</f>
        <v>1.3967255159392735E-2</v>
      </c>
      <c r="G3" s="377">
        <f t="shared" ref="G3:G66" si="1">F3*$G$163</f>
        <v>133.57444799133648</v>
      </c>
      <c r="H3" s="377">
        <f>G3*22/100</f>
        <v>29.386378558094023</v>
      </c>
      <c r="I3" s="377">
        <f>G3*'92'!$C$20/100</f>
        <v>26.56620265029046</v>
      </c>
      <c r="J3" s="377">
        <f>F3*'мат. рул.шиф'!$F$28</f>
        <v>26.246875976324297</v>
      </c>
      <c r="K3" s="402">
        <f>((G3+H3+I3+J3)/C3)</f>
        <v>0.54645673194561428</v>
      </c>
    </row>
    <row r="4" spans="1:11" s="425" customFormat="1" ht="10.5" x14ac:dyDescent="0.2">
      <c r="A4" s="381">
        <v>2</v>
      </c>
      <c r="B4" s="382" t="s">
        <v>332</v>
      </c>
      <c r="C4" s="384">
        <v>326.89999999999998</v>
      </c>
      <c r="D4" s="454">
        <v>379.2</v>
      </c>
      <c r="E4" s="377" t="s">
        <v>320</v>
      </c>
      <c r="F4" s="379">
        <f t="shared" si="0"/>
        <v>1.4431561734173638E-2</v>
      </c>
      <c r="G4" s="377">
        <f t="shared" si="1"/>
        <v>138.01479748859617</v>
      </c>
      <c r="H4" s="377">
        <f t="shared" ref="H4:H67" si="2">G4*22/100</f>
        <v>30.363255447491156</v>
      </c>
      <c r="I4" s="377">
        <f>G4*'92'!$C$20/100</f>
        <v>27.449329822861422</v>
      </c>
      <c r="J4" s="377">
        <f>F4*'мат. рул.шиф'!$F$28</f>
        <v>27.119387929760691</v>
      </c>
      <c r="K4" s="402">
        <f>((G4+H4+I4+J4)/C4)*10/100</f>
        <v>6.8200296937506705E-2</v>
      </c>
    </row>
    <row r="5" spans="1:11" s="425" customFormat="1" ht="10.5" x14ac:dyDescent="0.2">
      <c r="A5" s="381">
        <v>3</v>
      </c>
      <c r="B5" s="382" t="s">
        <v>333</v>
      </c>
      <c r="C5" s="384">
        <v>490.6</v>
      </c>
      <c r="D5" s="454">
        <v>451.2</v>
      </c>
      <c r="E5" s="377" t="s">
        <v>320</v>
      </c>
      <c r="F5" s="379">
        <f t="shared" si="0"/>
        <v>1.7171731683700276E-2</v>
      </c>
      <c r="G5" s="377">
        <f t="shared" si="1"/>
        <v>164.22013878389922</v>
      </c>
      <c r="H5" s="377">
        <f t="shared" si="2"/>
        <v>36.128430532457827</v>
      </c>
      <c r="I5" s="377">
        <f>G5*'92'!$C$20/100</f>
        <v>32.661227890493336</v>
      </c>
      <c r="J5" s="377">
        <f>F5*'мат. рул.шиф'!$F$28</f>
        <v>32.268638802500057</v>
      </c>
      <c r="K5" s="402">
        <f>((G5+H5+I5+J5)/C5)</f>
        <v>0.54072245415684972</v>
      </c>
    </row>
    <row r="6" spans="1:11" s="425" customFormat="1" ht="10.5" x14ac:dyDescent="0.2">
      <c r="A6" s="381">
        <v>4</v>
      </c>
      <c r="B6" s="382" t="s">
        <v>334</v>
      </c>
      <c r="C6" s="384">
        <v>341.5</v>
      </c>
      <c r="D6" s="454">
        <v>387.5</v>
      </c>
      <c r="E6" s="377" t="s">
        <v>320</v>
      </c>
      <c r="F6" s="379">
        <f t="shared" si="0"/>
        <v>1.4747442436688513E-2</v>
      </c>
      <c r="G6" s="377">
        <f t="shared" si="1"/>
        <v>141.03569099902691</v>
      </c>
      <c r="H6" s="377">
        <f t="shared" si="2"/>
        <v>31.027852019785918</v>
      </c>
      <c r="I6" s="377">
        <f>G6*'92'!$C$20/100</f>
        <v>28.050145850102322</v>
      </c>
      <c r="J6" s="377">
        <f>F6*'мат. рул.шиф'!$F$28</f>
        <v>27.712982127590365</v>
      </c>
      <c r="K6" s="402">
        <f>((G6+H6+I6+J6)/C6)*10/100</f>
        <v>6.6713520057541886E-2</v>
      </c>
    </row>
    <row r="7" spans="1:11" s="425" customFormat="1" ht="10.5" x14ac:dyDescent="0.2">
      <c r="A7" s="381">
        <v>5</v>
      </c>
      <c r="B7" s="382" t="s">
        <v>335</v>
      </c>
      <c r="C7" s="384">
        <v>375.1</v>
      </c>
      <c r="D7" s="454">
        <v>369</v>
      </c>
      <c r="E7" s="377" t="s">
        <v>320</v>
      </c>
      <c r="F7" s="379">
        <f t="shared" si="0"/>
        <v>1.4043370991324029E-2</v>
      </c>
      <c r="G7" s="377">
        <f t="shared" si="1"/>
        <v>134.30237413842821</v>
      </c>
      <c r="H7" s="377">
        <f t="shared" si="2"/>
        <v>29.546522310454208</v>
      </c>
      <c r="I7" s="377">
        <f>G7*'92'!$C$20/100</f>
        <v>26.710977596613567</v>
      </c>
      <c r="J7" s="377">
        <f>F7*'мат. рул.шиф'!$F$28</f>
        <v>26.389910722789278</v>
      </c>
      <c r="K7" s="402">
        <f>((G7+H7+I7+J7)/C7)*10/100</f>
        <v>5.7837852510873165E-2</v>
      </c>
    </row>
    <row r="8" spans="1:11" s="425" customFormat="1" ht="10.5" x14ac:dyDescent="0.2">
      <c r="A8" s="381">
        <v>6</v>
      </c>
      <c r="B8" s="382" t="s">
        <v>336</v>
      </c>
      <c r="C8" s="384">
        <v>386.23</v>
      </c>
      <c r="D8" s="454">
        <v>393.2</v>
      </c>
      <c r="E8" s="377" t="s">
        <v>320</v>
      </c>
      <c r="F8" s="379">
        <f t="shared" si="0"/>
        <v>1.4964372557692706E-2</v>
      </c>
      <c r="G8" s="377">
        <f t="shared" si="1"/>
        <v>143.11028051823843</v>
      </c>
      <c r="H8" s="377">
        <f t="shared" si="2"/>
        <v>31.484261714012455</v>
      </c>
      <c r="I8" s="377">
        <f>G8*'92'!$C$20/100</f>
        <v>28.462754447123185</v>
      </c>
      <c r="J8" s="377">
        <f>F8*'мат. рул.шиф'!$F$28</f>
        <v>28.12063115501557</v>
      </c>
      <c r="K8" s="402">
        <f>((G8+H8+I8+J8)/C8)*20/100</f>
        <v>0.11970997997793521</v>
      </c>
    </row>
    <row r="9" spans="1:11" s="425" customFormat="1" ht="10.5" x14ac:dyDescent="0.2">
      <c r="A9" s="381">
        <v>7</v>
      </c>
      <c r="B9" s="382" t="s">
        <v>337</v>
      </c>
      <c r="C9" s="384">
        <v>917</v>
      </c>
      <c r="D9" s="454">
        <v>961.5</v>
      </c>
      <c r="E9" s="377" t="s">
        <v>320</v>
      </c>
      <c r="F9" s="379">
        <f t="shared" si="0"/>
        <v>3.6592686200970337E-2</v>
      </c>
      <c r="G9" s="377">
        <f t="shared" si="1"/>
        <v>349.95049521435971</v>
      </c>
      <c r="H9" s="377">
        <f t="shared" si="2"/>
        <v>76.989108947159139</v>
      </c>
      <c r="I9" s="377">
        <f>G9*'92'!$C$20/100</f>
        <v>69.600555444834541</v>
      </c>
      <c r="J9" s="377">
        <f>F9*'мат. рул.шиф'!$F$28</f>
        <v>68.763954363040355</v>
      </c>
      <c r="K9" s="402">
        <f>((G9+H9+I9+J9)/C9)*95/100</f>
        <v>0.58564766441758342</v>
      </c>
    </row>
    <row r="10" spans="1:11" s="425" customFormat="1" ht="10.5" x14ac:dyDescent="0.2">
      <c r="A10" s="381">
        <v>8</v>
      </c>
      <c r="B10" s="382" t="s">
        <v>338</v>
      </c>
      <c r="C10" s="384">
        <v>354.4</v>
      </c>
      <c r="D10" s="454">
        <v>377</v>
      </c>
      <c r="E10" s="377" t="s">
        <v>320</v>
      </c>
      <c r="F10" s="379">
        <f t="shared" si="0"/>
        <v>1.4347834319049213E-2</v>
      </c>
      <c r="G10" s="377">
        <f t="shared" si="1"/>
        <v>137.21407872679524</v>
      </c>
      <c r="H10" s="377">
        <f t="shared" si="2"/>
        <v>30.187097319894953</v>
      </c>
      <c r="I10" s="377">
        <f>G10*'92'!$C$20/100</f>
        <v>27.290077381906002</v>
      </c>
      <c r="J10" s="377">
        <f>F10*'мат. рул.шиф'!$F$28</f>
        <v>26.962049708649211</v>
      </c>
      <c r="K10" s="402">
        <f>((G10+H10+I10+J10)/C10)*10/100</f>
        <v>6.2543257092902205E-2</v>
      </c>
    </row>
    <row r="11" spans="1:11" s="425" customFormat="1" ht="10.5" x14ac:dyDescent="0.2">
      <c r="A11" s="381">
        <v>9</v>
      </c>
      <c r="B11" s="382" t="s">
        <v>339</v>
      </c>
      <c r="C11" s="384">
        <v>634.4</v>
      </c>
      <c r="D11" s="454">
        <v>562.29999999999995</v>
      </c>
      <c r="E11" s="377" t="s">
        <v>320</v>
      </c>
      <c r="F11" s="379">
        <f t="shared" si="0"/>
        <v>2.1399966147483743E-2</v>
      </c>
      <c r="G11" s="377">
        <f t="shared" si="1"/>
        <v>204.65643625484603</v>
      </c>
      <c r="H11" s="377">
        <f t="shared" si="2"/>
        <v>45.02441597606613</v>
      </c>
      <c r="I11" s="377">
        <f>G11*'92'!$C$20/100</f>
        <v>40.703476158742028</v>
      </c>
      <c r="J11" s="377">
        <f>F11*'мат. рул.шиф'!$F$28</f>
        <v>40.214218968629837</v>
      </c>
      <c r="K11" s="402">
        <f>((G11+H11+I11+J11)/C11)*50/100</f>
        <v>0.26056001525715955</v>
      </c>
    </row>
    <row r="12" spans="1:11" s="425" customFormat="1" ht="10.5" x14ac:dyDescent="0.2">
      <c r="A12" s="381">
        <v>10</v>
      </c>
      <c r="B12" s="382" t="s">
        <v>340</v>
      </c>
      <c r="C12" s="384">
        <v>637.20000000000005</v>
      </c>
      <c r="D12" s="454">
        <v>563.6</v>
      </c>
      <c r="E12" s="377" t="s">
        <v>320</v>
      </c>
      <c r="F12" s="379">
        <f t="shared" si="0"/>
        <v>2.1449441438239087E-2</v>
      </c>
      <c r="G12" s="377">
        <f t="shared" si="1"/>
        <v>205.12958825045567</v>
      </c>
      <c r="H12" s="377">
        <f t="shared" si="2"/>
        <v>45.12850941510024</v>
      </c>
      <c r="I12" s="377">
        <f>G12*'92'!$C$20/100</f>
        <v>40.797579873852044</v>
      </c>
      <c r="J12" s="377">
        <f>F12*'мат. рул.шиф'!$F$28</f>
        <v>40.307191553832084</v>
      </c>
      <c r="K12" s="402">
        <f>((G12+H12+I12+J12)/C12)*50/100</f>
        <v>0.26001480625646578</v>
      </c>
    </row>
    <row r="13" spans="1:11" s="425" customFormat="1" ht="10.5" x14ac:dyDescent="0.2">
      <c r="A13" s="381">
        <v>11</v>
      </c>
      <c r="B13" s="382" t="s">
        <v>341</v>
      </c>
      <c r="C13" s="384">
        <v>463.8</v>
      </c>
      <c r="D13" s="454">
        <v>464.1</v>
      </c>
      <c r="E13" s="377" t="s">
        <v>320</v>
      </c>
      <c r="F13" s="379">
        <f t="shared" si="0"/>
        <v>1.7662678799657133E-2</v>
      </c>
      <c r="G13" s="377">
        <f t="shared" si="1"/>
        <v>168.91526243264101</v>
      </c>
      <c r="H13" s="377">
        <f t="shared" si="2"/>
        <v>37.161357735181021</v>
      </c>
      <c r="I13" s="377">
        <f>G13*'92'!$C$20/100</f>
        <v>33.595026294277389</v>
      </c>
      <c r="J13" s="377">
        <f>F13*'мат. рул.шиф'!$F$28</f>
        <v>33.191212917199202</v>
      </c>
      <c r="K13" s="402">
        <f>((G13+H13+I13+J13)/C13)*10/100</f>
        <v>5.8832009353018237E-2</v>
      </c>
    </row>
    <row r="14" spans="1:11" s="425" customFormat="1" ht="10.5" x14ac:dyDescent="0.2">
      <c r="A14" s="381">
        <v>12</v>
      </c>
      <c r="B14" s="382" t="s">
        <v>342</v>
      </c>
      <c r="C14" s="384">
        <v>633.29999999999995</v>
      </c>
      <c r="D14" s="454">
        <v>436</v>
      </c>
      <c r="E14" s="377" t="s">
        <v>320</v>
      </c>
      <c r="F14" s="379">
        <f t="shared" si="0"/>
        <v>1.6593251361022431E-2</v>
      </c>
      <c r="G14" s="377">
        <f t="shared" si="1"/>
        <v>158.6879000660019</v>
      </c>
      <c r="H14" s="377">
        <f t="shared" si="2"/>
        <v>34.911338014520418</v>
      </c>
      <c r="I14" s="377">
        <f>G14*'92'!$C$20/100</f>
        <v>31.560938298437708</v>
      </c>
      <c r="J14" s="377">
        <f>F14*'мат. рул.шиф'!$F$28</f>
        <v>31.181574729366194</v>
      </c>
      <c r="K14" s="402">
        <f>((G14+H14+I14+J14)/C14)</f>
        <v>0.40477143708878299</v>
      </c>
    </row>
    <row r="15" spans="1:11" s="425" customFormat="1" ht="10.5" x14ac:dyDescent="0.2">
      <c r="A15" s="381">
        <v>13</v>
      </c>
      <c r="B15" s="382" t="s">
        <v>343</v>
      </c>
      <c r="C15" s="384">
        <v>379.5</v>
      </c>
      <c r="D15" s="454">
        <v>330</v>
      </c>
      <c r="E15" s="377" t="s">
        <v>320</v>
      </c>
      <c r="F15" s="379">
        <f t="shared" si="0"/>
        <v>1.2559112268663767E-2</v>
      </c>
      <c r="G15" s="377">
        <f t="shared" si="1"/>
        <v>120.10781427013907</v>
      </c>
      <c r="H15" s="377">
        <f t="shared" si="2"/>
        <v>26.423719139430595</v>
      </c>
      <c r="I15" s="377">
        <f>G15*'92'!$C$20/100</f>
        <v>23.887866143312948</v>
      </c>
      <c r="J15" s="377">
        <f>F15*'мат. рул.шиф'!$F$28</f>
        <v>23.600733166722122</v>
      </c>
      <c r="K15" s="402">
        <f t="shared" ref="K15:K20" si="3">((G15+H15+I15+J15)/C15)*10/100</f>
        <v>5.1125199662609956E-2</v>
      </c>
    </row>
    <row r="16" spans="1:11" s="425" customFormat="1" ht="10.5" x14ac:dyDescent="0.2">
      <c r="A16" s="381">
        <v>14</v>
      </c>
      <c r="B16" s="382" t="s">
        <v>344</v>
      </c>
      <c r="C16" s="384">
        <v>916.4</v>
      </c>
      <c r="D16" s="454">
        <v>862.8</v>
      </c>
      <c r="E16" s="377" t="s">
        <v>320</v>
      </c>
      <c r="F16" s="379">
        <f t="shared" si="0"/>
        <v>3.2836369895160901E-2</v>
      </c>
      <c r="G16" s="377">
        <f t="shared" si="1"/>
        <v>314.02733985538174</v>
      </c>
      <c r="H16" s="377">
        <f t="shared" si="2"/>
        <v>69.086014768183986</v>
      </c>
      <c r="I16" s="377">
        <f>G16*'92'!$C$20/100</f>
        <v>62.455911843789117</v>
      </c>
      <c r="J16" s="377">
        <f>F16*'мат. рул.шиф'!$F$28</f>
        <v>61.705189624993466</v>
      </c>
      <c r="K16" s="402">
        <f t="shared" si="3"/>
        <v>5.5355134885677469E-2</v>
      </c>
    </row>
    <row r="17" spans="1:11" s="425" customFormat="1" ht="10.5" x14ac:dyDescent="0.2">
      <c r="A17" s="381">
        <v>15</v>
      </c>
      <c r="B17" s="382" t="s">
        <v>345</v>
      </c>
      <c r="C17" s="384">
        <v>922.1</v>
      </c>
      <c r="D17" s="454">
        <v>862.8</v>
      </c>
      <c r="E17" s="377" t="s">
        <v>320</v>
      </c>
      <c r="F17" s="379">
        <f t="shared" si="0"/>
        <v>3.2836369895160901E-2</v>
      </c>
      <c r="G17" s="377">
        <f t="shared" si="1"/>
        <v>314.02733985538174</v>
      </c>
      <c r="H17" s="377">
        <f t="shared" si="2"/>
        <v>69.086014768183986</v>
      </c>
      <c r="I17" s="377">
        <f>G17*'92'!$C$20/100</f>
        <v>62.455911843789117</v>
      </c>
      <c r="J17" s="377">
        <f>F17*'мат. рул.шиф'!$F$28</f>
        <v>61.705189624993466</v>
      </c>
      <c r="K17" s="402">
        <f t="shared" si="3"/>
        <v>5.5012954787154129E-2</v>
      </c>
    </row>
    <row r="18" spans="1:11" s="425" customFormat="1" ht="10.5" x14ac:dyDescent="0.2">
      <c r="A18" s="381">
        <v>16</v>
      </c>
      <c r="B18" s="382" t="s">
        <v>346</v>
      </c>
      <c r="C18" s="384">
        <v>490.3</v>
      </c>
      <c r="D18" s="454">
        <v>472.4</v>
      </c>
      <c r="E18" s="377" t="s">
        <v>320</v>
      </c>
      <c r="F18" s="379">
        <f t="shared" si="0"/>
        <v>1.797855950217201E-2</v>
      </c>
      <c r="G18" s="377">
        <f t="shared" si="1"/>
        <v>171.93615594307181</v>
      </c>
      <c r="H18" s="377">
        <f t="shared" si="2"/>
        <v>37.825954307475797</v>
      </c>
      <c r="I18" s="377">
        <f>G18*'92'!$C$20/100</f>
        <v>34.195842321518292</v>
      </c>
      <c r="J18" s="377">
        <f>F18*'мат. рул.шиф'!$F$28</f>
        <v>33.784807115028876</v>
      </c>
      <c r="K18" s="402">
        <f t="shared" si="3"/>
        <v>5.664751370326223E-2</v>
      </c>
    </row>
    <row r="19" spans="1:11" s="425" customFormat="1" ht="10.5" x14ac:dyDescent="0.2">
      <c r="A19" s="381">
        <v>17</v>
      </c>
      <c r="B19" s="382" t="s">
        <v>347</v>
      </c>
      <c r="C19" s="384">
        <v>502.4</v>
      </c>
      <c r="D19" s="454">
        <v>472.4</v>
      </c>
      <c r="E19" s="377" t="s">
        <v>320</v>
      </c>
      <c r="F19" s="379">
        <f t="shared" si="0"/>
        <v>1.797855950217201E-2</v>
      </c>
      <c r="G19" s="377">
        <f t="shared" si="1"/>
        <v>171.93615594307181</v>
      </c>
      <c r="H19" s="377">
        <f t="shared" si="2"/>
        <v>37.825954307475797</v>
      </c>
      <c r="I19" s="377">
        <f>G19*'92'!$C$20/100</f>
        <v>34.195842321518292</v>
      </c>
      <c r="J19" s="377">
        <f>F19*'мат. рул.шиф'!$F$28</f>
        <v>33.784807115028876</v>
      </c>
      <c r="K19" s="402">
        <f t="shared" si="3"/>
        <v>5.528319261287714E-2</v>
      </c>
    </row>
    <row r="20" spans="1:11" s="425" customFormat="1" ht="10.5" x14ac:dyDescent="0.2">
      <c r="A20" s="381">
        <v>18</v>
      </c>
      <c r="B20" s="382" t="s">
        <v>348</v>
      </c>
      <c r="C20" s="384">
        <v>655.29999999999995</v>
      </c>
      <c r="D20" s="454">
        <v>617.5</v>
      </c>
      <c r="E20" s="377" t="s">
        <v>320</v>
      </c>
      <c r="F20" s="379">
        <f t="shared" si="0"/>
        <v>2.3500763108787504E-2</v>
      </c>
      <c r="G20" s="377">
        <f t="shared" si="1"/>
        <v>224.74719791457841</v>
      </c>
      <c r="H20" s="377">
        <f t="shared" si="2"/>
        <v>49.444383541207252</v>
      </c>
      <c r="I20" s="377">
        <f>G20*'92'!$C$20/100</f>
        <v>44.699264677259833</v>
      </c>
      <c r="J20" s="377">
        <f>F20*'мат. рул.шиф'!$F$28</f>
        <v>44.161977971063365</v>
      </c>
      <c r="K20" s="402">
        <f t="shared" si="3"/>
        <v>5.5402536869236824E-2</v>
      </c>
    </row>
    <row r="21" spans="1:11" s="425" customFormat="1" ht="10.5" x14ac:dyDescent="0.2">
      <c r="A21" s="381">
        <v>19</v>
      </c>
      <c r="B21" s="382" t="s">
        <v>349</v>
      </c>
      <c r="C21" s="384">
        <v>663.8</v>
      </c>
      <c r="D21" s="454">
        <v>617.5</v>
      </c>
      <c r="E21" s="377" t="s">
        <v>320</v>
      </c>
      <c r="F21" s="379">
        <f t="shared" si="0"/>
        <v>2.3500763108787504E-2</v>
      </c>
      <c r="G21" s="377">
        <f t="shared" si="1"/>
        <v>224.74719791457841</v>
      </c>
      <c r="H21" s="377">
        <f t="shared" si="2"/>
        <v>49.444383541207252</v>
      </c>
      <c r="I21" s="377">
        <f>G21*'92'!$C$20/100</f>
        <v>44.699264677259833</v>
      </c>
      <c r="J21" s="377">
        <f>F21*'мат. рул.шиф'!$F$28</f>
        <v>44.161977971063365</v>
      </c>
      <c r="K21" s="402">
        <f>((G21+H21+I21+J21)/C21)*50/100</f>
        <v>0.27346551981327871</v>
      </c>
    </row>
    <row r="22" spans="1:11" s="425" customFormat="1" ht="10.5" x14ac:dyDescent="0.2">
      <c r="A22" s="381">
        <v>20</v>
      </c>
      <c r="B22" s="382" t="s">
        <v>350</v>
      </c>
      <c r="C22" s="384">
        <v>679.3</v>
      </c>
      <c r="D22" s="454">
        <v>609.70000000000005</v>
      </c>
      <c r="E22" s="377" t="s">
        <v>320</v>
      </c>
      <c r="F22" s="379">
        <f t="shared" si="0"/>
        <v>2.3203911364255453E-2</v>
      </c>
      <c r="G22" s="377">
        <f t="shared" si="1"/>
        <v>221.90828594092059</v>
      </c>
      <c r="H22" s="377">
        <f t="shared" si="2"/>
        <v>48.819822907002525</v>
      </c>
      <c r="I22" s="377">
        <f>G22*'92'!$C$20/100</f>
        <v>44.134642386599715</v>
      </c>
      <c r="J22" s="377">
        <f>F22*'мат. рул.шиф'!$F$28</f>
        <v>43.604142459849932</v>
      </c>
      <c r="K22" s="402">
        <f>((G22+H22+I22+J22)/C22)*50/100</f>
        <v>0.26385020881375887</v>
      </c>
    </row>
    <row r="23" spans="1:11" s="425" customFormat="1" ht="10.5" x14ac:dyDescent="0.2">
      <c r="A23" s="381">
        <v>21</v>
      </c>
      <c r="B23" s="382" t="s">
        <v>351</v>
      </c>
      <c r="C23" s="384">
        <v>828.8</v>
      </c>
      <c r="D23" s="454">
        <v>773.2</v>
      </c>
      <c r="E23" s="377" t="s">
        <v>320</v>
      </c>
      <c r="F23" s="379">
        <f t="shared" si="0"/>
        <v>2.9426380624638863E-2</v>
      </c>
      <c r="G23" s="377">
        <f t="shared" si="1"/>
        <v>281.41624846567129</v>
      </c>
      <c r="H23" s="377">
        <f t="shared" si="2"/>
        <v>61.911574662447684</v>
      </c>
      <c r="I23" s="377">
        <f>G23*'92'!$C$20/100</f>
        <v>55.969994248513849</v>
      </c>
      <c r="J23" s="377">
        <f>F23*'мат. рул.шиф'!$F$28</f>
        <v>55.297232983362257</v>
      </c>
      <c r="K23" s="402">
        <f>((G23+H23+I23+J23)/C23)</f>
        <v>0.54849788894787055</v>
      </c>
    </row>
    <row r="24" spans="1:11" s="425" customFormat="1" ht="10.5" x14ac:dyDescent="0.2">
      <c r="A24" s="381">
        <v>22</v>
      </c>
      <c r="B24" s="382" t="s">
        <v>352</v>
      </c>
      <c r="C24" s="384">
        <v>1413.6</v>
      </c>
      <c r="D24" s="454">
        <v>1270.5999999999999</v>
      </c>
      <c r="E24" s="377" t="s">
        <v>320</v>
      </c>
      <c r="F24" s="379">
        <f t="shared" si="0"/>
        <v>4.835638802595206E-2</v>
      </c>
      <c r="G24" s="377">
        <f t="shared" si="1"/>
        <v>462.45148124738989</v>
      </c>
      <c r="H24" s="377">
        <f t="shared" si="2"/>
        <v>101.73932587442577</v>
      </c>
      <c r="I24" s="377">
        <f>G24*'92'!$C$20/100</f>
        <v>91.975523399070994</v>
      </c>
      <c r="J24" s="377">
        <f>F24*'мат. рул.шиф'!$F$28</f>
        <v>90.869974429203396</v>
      </c>
      <c r="K24" s="402">
        <f>((G24+H24+I24+J24)/C24)</f>
        <v>0.52846371317918084</v>
      </c>
    </row>
    <row r="25" spans="1:11" s="425" customFormat="1" ht="10.5" x14ac:dyDescent="0.2">
      <c r="A25" s="381">
        <v>23</v>
      </c>
      <c r="B25" s="382" t="s">
        <v>353</v>
      </c>
      <c r="C25" s="384">
        <v>1478</v>
      </c>
      <c r="D25" s="454">
        <v>1287</v>
      </c>
      <c r="E25" s="377" t="s">
        <v>320</v>
      </c>
      <c r="F25" s="379">
        <f t="shared" si="0"/>
        <v>4.8980537847788691E-2</v>
      </c>
      <c r="G25" s="377">
        <f t="shared" si="1"/>
        <v>468.42047565354233</v>
      </c>
      <c r="H25" s="377">
        <f t="shared" si="2"/>
        <v>103.05250464377932</v>
      </c>
      <c r="I25" s="377">
        <f>G25*'92'!$C$20/100</f>
        <v>93.162677958920483</v>
      </c>
      <c r="J25" s="377">
        <f>F25*'мат. рул.шиф'!$F$28</f>
        <v>92.042859350216276</v>
      </c>
      <c r="K25" s="402">
        <f>((G25+H25+I25+J25)/C25)</f>
        <v>0.51196110798813155</v>
      </c>
    </row>
    <row r="26" spans="1:11" s="425" customFormat="1" ht="15" customHeight="1" x14ac:dyDescent="0.2">
      <c r="A26" s="381">
        <v>24</v>
      </c>
      <c r="B26" s="382" t="s">
        <v>354</v>
      </c>
      <c r="C26" s="384">
        <v>848.6</v>
      </c>
      <c r="D26" s="454">
        <v>778.8</v>
      </c>
      <c r="E26" s="377" t="s">
        <v>320</v>
      </c>
      <c r="F26" s="379">
        <f t="shared" si="0"/>
        <v>2.9639504954046488E-2</v>
      </c>
      <c r="G26" s="377">
        <f t="shared" si="1"/>
        <v>283.45444167752817</v>
      </c>
      <c r="H26" s="377">
        <f t="shared" si="2"/>
        <v>62.359977169056201</v>
      </c>
      <c r="I26" s="377">
        <f>G26*'92'!$C$20/100</f>
        <v>56.375364098218554</v>
      </c>
      <c r="J26" s="377">
        <f>F26*'мат. рул.шиф'!$F$28</f>
        <v>55.697730273464202</v>
      </c>
      <c r="K26" s="402">
        <f>((G26+H26+I26+J26)/C26)</f>
        <v>0.53957991187634591</v>
      </c>
    </row>
    <row r="27" spans="1:11" s="425" customFormat="1" ht="10.5" x14ac:dyDescent="0.2">
      <c r="A27" s="381">
        <v>25</v>
      </c>
      <c r="B27" s="382" t="s">
        <v>355</v>
      </c>
      <c r="C27" s="384">
        <v>834.8</v>
      </c>
      <c r="D27" s="454">
        <v>775.6</v>
      </c>
      <c r="E27" s="377" t="s">
        <v>320</v>
      </c>
      <c r="F27" s="379">
        <f t="shared" si="0"/>
        <v>2.9517719622956417E-2</v>
      </c>
      <c r="G27" s="377">
        <f t="shared" si="1"/>
        <v>282.28975984218141</v>
      </c>
      <c r="H27" s="377">
        <f t="shared" si="2"/>
        <v>62.103747165279913</v>
      </c>
      <c r="I27" s="377">
        <f>G27*'92'!$C$20/100</f>
        <v>56.143724184101586</v>
      </c>
      <c r="J27" s="377">
        <f>F27*'мат. рул.шиф'!$F$28</f>
        <v>55.468874679120233</v>
      </c>
      <c r="K27" s="402">
        <f>((G27+H27+I27+J27)/C27)*20/100</f>
        <v>0.10924918684012536</v>
      </c>
    </row>
    <row r="28" spans="1:11" s="425" customFormat="1" ht="10.5" x14ac:dyDescent="0.2">
      <c r="A28" s="381">
        <v>26</v>
      </c>
      <c r="B28" s="382" t="s">
        <v>356</v>
      </c>
      <c r="C28" s="384">
        <v>848.8</v>
      </c>
      <c r="D28" s="454">
        <v>775.6</v>
      </c>
      <c r="E28" s="377" t="s">
        <v>320</v>
      </c>
      <c r="F28" s="379">
        <f t="shared" si="0"/>
        <v>2.9517719622956417E-2</v>
      </c>
      <c r="G28" s="377">
        <f t="shared" si="1"/>
        <v>282.28975984218141</v>
      </c>
      <c r="H28" s="377">
        <f t="shared" si="2"/>
        <v>62.103747165279913</v>
      </c>
      <c r="I28" s="377">
        <f>G28*'92'!$C$20/100</f>
        <v>56.143724184101586</v>
      </c>
      <c r="J28" s="377">
        <f>F28*'мат. рул.шиф'!$F$28</f>
        <v>55.468874679120233</v>
      </c>
      <c r="K28" s="402">
        <f>((G28+H28+I28+J28)/C28)*20/100</f>
        <v>0.10744724455011384</v>
      </c>
    </row>
    <row r="29" spans="1:11" s="425" customFormat="1" ht="10.5" x14ac:dyDescent="0.2">
      <c r="A29" s="381">
        <v>27</v>
      </c>
      <c r="B29" s="382" t="s">
        <v>357</v>
      </c>
      <c r="C29" s="384">
        <v>646.76</v>
      </c>
      <c r="D29" s="454">
        <v>612.9</v>
      </c>
      <c r="E29" s="377" t="s">
        <v>320</v>
      </c>
      <c r="F29" s="379">
        <f t="shared" si="0"/>
        <v>2.3325696695345521E-2</v>
      </c>
      <c r="G29" s="377">
        <f t="shared" si="1"/>
        <v>223.07296777626735</v>
      </c>
      <c r="H29" s="377">
        <f t="shared" si="2"/>
        <v>49.07605291077882</v>
      </c>
      <c r="I29" s="377">
        <f>G29*'92'!$C$20/100</f>
        <v>44.366282300716676</v>
      </c>
      <c r="J29" s="377">
        <f>F29*'мат. рул.шиф'!$F$28</f>
        <v>43.832998054193894</v>
      </c>
      <c r="K29" s="402">
        <f>((G29+H29+I29+J29)/C29)*10/100</f>
        <v>5.5715922605287405E-2</v>
      </c>
    </row>
    <row r="30" spans="1:11" s="425" customFormat="1" ht="10.5" x14ac:dyDescent="0.2">
      <c r="A30" s="381">
        <v>28</v>
      </c>
      <c r="B30" s="382" t="s">
        <v>358</v>
      </c>
      <c r="C30" s="384">
        <v>638.20000000000005</v>
      </c>
      <c r="D30" s="454">
        <v>613.6</v>
      </c>
      <c r="E30" s="377" t="s">
        <v>320</v>
      </c>
      <c r="F30" s="379">
        <f t="shared" si="0"/>
        <v>2.3352337236521477E-2</v>
      </c>
      <c r="G30" s="377">
        <f t="shared" si="1"/>
        <v>223.32774192774949</v>
      </c>
      <c r="H30" s="377">
        <f t="shared" si="2"/>
        <v>49.132103224104888</v>
      </c>
      <c r="I30" s="377">
        <f>G30*'92'!$C$20/100</f>
        <v>44.416953531929778</v>
      </c>
      <c r="J30" s="377">
        <f>F30*'мат. рул.шиф'!$F$28</f>
        <v>43.883060215456645</v>
      </c>
      <c r="K30" s="402">
        <f>((G30+H30+I30+J30)/C30)*10/100</f>
        <v>5.6527712143409702E-2</v>
      </c>
    </row>
    <row r="31" spans="1:11" s="425" customFormat="1" ht="10.5" x14ac:dyDescent="0.2">
      <c r="A31" s="381">
        <v>29</v>
      </c>
      <c r="B31" s="382" t="s">
        <v>359</v>
      </c>
      <c r="C31" s="384">
        <v>385.2</v>
      </c>
      <c r="D31" s="454">
        <v>337.7</v>
      </c>
      <c r="E31" s="377" t="s">
        <v>320</v>
      </c>
      <c r="F31" s="379">
        <f t="shared" si="0"/>
        <v>1.2852158221599254E-2</v>
      </c>
      <c r="G31" s="377">
        <f t="shared" si="1"/>
        <v>122.9103299364423</v>
      </c>
      <c r="H31" s="377">
        <f t="shared" si="2"/>
        <v>27.040272586017306</v>
      </c>
      <c r="I31" s="377">
        <f>G31*'92'!$C$20/100</f>
        <v>24.445249686656911</v>
      </c>
      <c r="J31" s="377">
        <f>F31*'мат. рул.шиф'!$F$28</f>
        <v>24.1514169406123</v>
      </c>
      <c r="K31" s="402">
        <f>((G31+H31+I31+J31)/C31)*10/100</f>
        <v>5.1543943185287863E-2</v>
      </c>
    </row>
    <row r="32" spans="1:11" s="425" customFormat="1" ht="10.5" x14ac:dyDescent="0.2">
      <c r="A32" s="381">
        <v>30</v>
      </c>
      <c r="B32" s="382" t="s">
        <v>360</v>
      </c>
      <c r="C32" s="384">
        <v>398.4</v>
      </c>
      <c r="D32" s="454">
        <v>337.7</v>
      </c>
      <c r="E32" s="377" t="s">
        <v>320</v>
      </c>
      <c r="F32" s="379">
        <f t="shared" si="0"/>
        <v>1.2852158221599254E-2</v>
      </c>
      <c r="G32" s="377">
        <f t="shared" si="1"/>
        <v>122.9103299364423</v>
      </c>
      <c r="H32" s="377">
        <f t="shared" si="2"/>
        <v>27.040272586017306</v>
      </c>
      <c r="I32" s="377">
        <f>G32*'92'!$C$20/100</f>
        <v>24.445249686656911</v>
      </c>
      <c r="J32" s="377">
        <f>F32*'мат. рул.шиф'!$F$28</f>
        <v>24.1514169406123</v>
      </c>
      <c r="K32" s="402">
        <f>((G32+H32+I32+J32)/C32)*10/100</f>
        <v>4.9836161935172901E-2</v>
      </c>
    </row>
    <row r="33" spans="1:11" s="425" customFormat="1" ht="10.5" x14ac:dyDescent="0.2">
      <c r="A33" s="381">
        <v>31</v>
      </c>
      <c r="B33" s="382" t="s">
        <v>361</v>
      </c>
      <c r="C33" s="384">
        <v>977.25</v>
      </c>
      <c r="D33" s="454">
        <v>887.8</v>
      </c>
      <c r="E33" s="377" t="s">
        <v>320</v>
      </c>
      <c r="F33" s="379">
        <f t="shared" si="0"/>
        <v>3.3787817794302094E-2</v>
      </c>
      <c r="G33" s="377">
        <f t="shared" si="1"/>
        <v>323.12641669402865</v>
      </c>
      <c r="H33" s="377">
        <f t="shared" si="2"/>
        <v>71.0878116726863</v>
      </c>
      <c r="I33" s="377">
        <f>G33*'92'!$C$20/100</f>
        <v>64.265598672827977</v>
      </c>
      <c r="J33" s="377">
        <f>F33*'мат. рул.шиф'!$F$28</f>
        <v>63.49312395580575</v>
      </c>
      <c r="K33" s="402">
        <f>((G33+H33+I33+J33)/C33)</f>
        <v>0.5341242783272947</v>
      </c>
    </row>
    <row r="34" spans="1:11" s="425" customFormat="1" ht="10.5" x14ac:dyDescent="0.2">
      <c r="A34" s="381">
        <v>32</v>
      </c>
      <c r="B34" s="382" t="s">
        <v>362</v>
      </c>
      <c r="C34" s="384">
        <v>796.2</v>
      </c>
      <c r="D34" s="454">
        <v>809</v>
      </c>
      <c r="E34" s="377" t="s">
        <v>320</v>
      </c>
      <c r="F34" s="379">
        <f t="shared" si="0"/>
        <v>3.0788854016209052E-2</v>
      </c>
      <c r="G34" s="377">
        <f t="shared" si="1"/>
        <v>294.44612649861364</v>
      </c>
      <c r="H34" s="377">
        <f t="shared" si="2"/>
        <v>64.778147829695001</v>
      </c>
      <c r="I34" s="377">
        <f>G34*'92'!$C$20/100</f>
        <v>58.5614657876975</v>
      </c>
      <c r="J34" s="377">
        <f>F34*'мат. рул.шиф'!$F$28</f>
        <v>57.85755494508544</v>
      </c>
      <c r="K34" s="402">
        <f>((G34+H34+I34+J34)/C34)*20/100</f>
        <v>0.11947834590833749</v>
      </c>
    </row>
    <row r="35" spans="1:11" s="425" customFormat="1" ht="10.5" x14ac:dyDescent="0.2">
      <c r="A35" s="381">
        <v>33</v>
      </c>
      <c r="B35" s="382" t="s">
        <v>363</v>
      </c>
      <c r="C35" s="384">
        <v>394.3</v>
      </c>
      <c r="D35" s="454">
        <v>375.5</v>
      </c>
      <c r="E35" s="377" t="s">
        <v>320</v>
      </c>
      <c r="F35" s="379">
        <f t="shared" si="0"/>
        <v>1.429074744510074E-2</v>
      </c>
      <c r="G35" s="377">
        <f t="shared" si="1"/>
        <v>136.66813411647641</v>
      </c>
      <c r="H35" s="377">
        <f t="shared" si="2"/>
        <v>30.066989505624811</v>
      </c>
      <c r="I35" s="377">
        <f>G35*'92'!$C$20/100</f>
        <v>27.181496172163669</v>
      </c>
      <c r="J35" s="377">
        <f>F35*'мат. рул.шиф'!$F$28</f>
        <v>26.854773648800474</v>
      </c>
      <c r="K35" s="402">
        <f>((G35+H35+I35+J35)/C35)*10/100</f>
        <v>5.599071606468814E-2</v>
      </c>
    </row>
    <row r="36" spans="1:11" s="425" customFormat="1" ht="10.5" x14ac:dyDescent="0.2">
      <c r="A36" s="381">
        <v>34</v>
      </c>
      <c r="B36" s="382" t="s">
        <v>364</v>
      </c>
      <c r="C36" s="384">
        <v>462.9</v>
      </c>
      <c r="D36" s="454">
        <v>436</v>
      </c>
      <c r="E36" s="377" t="s">
        <v>320</v>
      </c>
      <c r="F36" s="379">
        <f t="shared" si="0"/>
        <v>1.6593251361022431E-2</v>
      </c>
      <c r="G36" s="377">
        <f t="shared" si="1"/>
        <v>158.6879000660019</v>
      </c>
      <c r="H36" s="377">
        <f t="shared" si="2"/>
        <v>34.911338014520418</v>
      </c>
      <c r="I36" s="377">
        <f>G36*'92'!$C$20/100</f>
        <v>31.560938298437708</v>
      </c>
      <c r="J36" s="377">
        <f>F36*'мат. рул.шиф'!$F$28</f>
        <v>31.181574729366194</v>
      </c>
      <c r="K36" s="402">
        <f>((G36+H36+I36+J36)/C36)*30/100</f>
        <v>0.1661320486768155</v>
      </c>
    </row>
    <row r="37" spans="1:11" s="425" customFormat="1" ht="10.5" x14ac:dyDescent="0.2">
      <c r="A37" s="381">
        <v>35</v>
      </c>
      <c r="B37" s="382" t="s">
        <v>365</v>
      </c>
      <c r="C37" s="384">
        <v>411.79</v>
      </c>
      <c r="D37" s="454">
        <v>390.1</v>
      </c>
      <c r="E37" s="377" t="s">
        <v>320</v>
      </c>
      <c r="F37" s="379">
        <f t="shared" si="0"/>
        <v>1.4846393018199198E-2</v>
      </c>
      <c r="G37" s="377">
        <f t="shared" si="1"/>
        <v>141.98199499024622</v>
      </c>
      <c r="H37" s="377">
        <f t="shared" si="2"/>
        <v>31.236038897854169</v>
      </c>
      <c r="I37" s="377">
        <f>G37*'92'!$C$20/100</f>
        <v>28.238353280322368</v>
      </c>
      <c r="J37" s="377">
        <f>F37*'мат. рул.шиф'!$F$28</f>
        <v>27.898927297994845</v>
      </c>
      <c r="K37" s="402">
        <f>((G37+H37+I37+J37)/C37)*18/100</f>
        <v>0.10025487895275545</v>
      </c>
    </row>
    <row r="38" spans="1:11" s="425" customFormat="1" ht="10.5" x14ac:dyDescent="0.2">
      <c r="A38" s="381">
        <v>36</v>
      </c>
      <c r="B38" s="382" t="s">
        <v>366</v>
      </c>
      <c r="C38" s="384">
        <v>674.2</v>
      </c>
      <c r="D38" s="454">
        <v>626</v>
      </c>
      <c r="E38" s="377" t="s">
        <v>320</v>
      </c>
      <c r="F38" s="379">
        <f t="shared" si="0"/>
        <v>2.3824255394495508E-2</v>
      </c>
      <c r="G38" s="377">
        <f t="shared" si="1"/>
        <v>227.84088403971833</v>
      </c>
      <c r="H38" s="377">
        <f t="shared" si="2"/>
        <v>50.124994488738032</v>
      </c>
      <c r="I38" s="377">
        <f>G38*'92'!$C$20/100</f>
        <v>45.314558199133046</v>
      </c>
      <c r="J38" s="377">
        <f>F38*'мат. рул.шиф'!$F$28</f>
        <v>44.769875643539535</v>
      </c>
      <c r="K38" s="402">
        <f>((G38+H38+I38+J38)/C38)*20/100</f>
        <v>0.10918134451828208</v>
      </c>
    </row>
    <row r="39" spans="1:11" s="425" customFormat="1" ht="10.5" x14ac:dyDescent="0.2">
      <c r="A39" s="381">
        <v>37</v>
      </c>
      <c r="B39" s="382" t="s">
        <v>367</v>
      </c>
      <c r="C39" s="384">
        <v>169</v>
      </c>
      <c r="D39" s="454">
        <v>179.4</v>
      </c>
      <c r="E39" s="377" t="s">
        <v>320</v>
      </c>
      <c r="F39" s="379">
        <f t="shared" si="0"/>
        <v>6.8275901242372114E-3</v>
      </c>
      <c r="G39" s="377">
        <f t="shared" si="1"/>
        <v>65.294975394130148</v>
      </c>
      <c r="H39" s="377">
        <f t="shared" si="2"/>
        <v>14.364894586708633</v>
      </c>
      <c r="I39" s="377">
        <f>G39*'92'!$C$20/100</f>
        <v>12.986312685182856</v>
      </c>
      <c r="J39" s="377">
        <f>F39*'мат. рул.шиф'!$F$28</f>
        <v>12.830216757908934</v>
      </c>
      <c r="K39" s="402">
        <f>((G39+H39+I39+J39)/C39)*10/100</f>
        <v>6.241207066504767E-2</v>
      </c>
    </row>
    <row r="40" spans="1:11" s="425" customFormat="1" ht="10.5" x14ac:dyDescent="0.2">
      <c r="A40" s="381">
        <v>38</v>
      </c>
      <c r="B40" s="382" t="s">
        <v>368</v>
      </c>
      <c r="C40" s="384">
        <v>175.4</v>
      </c>
      <c r="D40" s="454">
        <v>176.8</v>
      </c>
      <c r="E40" s="377" t="s">
        <v>320</v>
      </c>
      <c r="F40" s="379">
        <f t="shared" si="0"/>
        <v>6.7286395427265276E-3</v>
      </c>
      <c r="G40" s="377">
        <f t="shared" si="1"/>
        <v>64.348671402910867</v>
      </c>
      <c r="H40" s="377">
        <f t="shared" si="2"/>
        <v>14.15670770864039</v>
      </c>
      <c r="I40" s="377">
        <f>G40*'92'!$C$20/100</f>
        <v>12.798105254962815</v>
      </c>
      <c r="J40" s="377">
        <f>F40*'мат. рул.шиф'!$F$28</f>
        <v>12.644271587504457</v>
      </c>
      <c r="K40" s="402">
        <f>((G40+H40+I40+J40)/C40)*20/100</f>
        <v>0.11852651762145784</v>
      </c>
    </row>
    <row r="41" spans="1:11" s="425" customFormat="1" ht="10.5" x14ac:dyDescent="0.2">
      <c r="A41" s="381">
        <v>39</v>
      </c>
      <c r="B41" s="382" t="s">
        <v>369</v>
      </c>
      <c r="C41" s="384">
        <v>173.5</v>
      </c>
      <c r="D41" s="454">
        <v>191.1</v>
      </c>
      <c r="E41" s="377" t="s">
        <v>320</v>
      </c>
      <c r="F41" s="379">
        <f t="shared" si="0"/>
        <v>7.2728677410352901E-3</v>
      </c>
      <c r="G41" s="377">
        <f t="shared" si="1"/>
        <v>69.553343354616885</v>
      </c>
      <c r="H41" s="377">
        <f t="shared" si="2"/>
        <v>15.301735538015715</v>
      </c>
      <c r="I41" s="377">
        <f>G41*'92'!$C$20/100</f>
        <v>13.83324612117304</v>
      </c>
      <c r="J41" s="377">
        <f>F41*'мат. рул.шиф'!$F$28</f>
        <v>13.666970024729082</v>
      </c>
      <c r="K41" s="402">
        <f>((G41+H41+I41+J41)/C41)*10/100</f>
        <v>6.475809512307476E-2</v>
      </c>
    </row>
    <row r="42" spans="1:11" s="425" customFormat="1" ht="10.5" x14ac:dyDescent="0.2">
      <c r="A42" s="381">
        <v>40</v>
      </c>
      <c r="B42" s="382" t="s">
        <v>370</v>
      </c>
      <c r="C42" s="384">
        <v>182</v>
      </c>
      <c r="D42" s="454">
        <v>179.4</v>
      </c>
      <c r="E42" s="377" t="s">
        <v>320</v>
      </c>
      <c r="F42" s="379">
        <f t="shared" si="0"/>
        <v>6.8275901242372114E-3</v>
      </c>
      <c r="G42" s="377">
        <f t="shared" si="1"/>
        <v>65.294975394130148</v>
      </c>
      <c r="H42" s="377">
        <f t="shared" si="2"/>
        <v>14.364894586708633</v>
      </c>
      <c r="I42" s="377">
        <f>G42*'92'!$C$20/100</f>
        <v>12.986312685182856</v>
      </c>
      <c r="J42" s="377">
        <f>F42*'мат. рул.шиф'!$F$28</f>
        <v>12.830216757908934</v>
      </c>
      <c r="K42" s="402">
        <f>((G42+H42+I42+J42)/C42)*15/100</f>
        <v>8.6931098426316383E-2</v>
      </c>
    </row>
    <row r="43" spans="1:11" s="425" customFormat="1" ht="10.5" x14ac:dyDescent="0.2">
      <c r="A43" s="381">
        <v>41</v>
      </c>
      <c r="B43" s="382" t="s">
        <v>371</v>
      </c>
      <c r="C43" s="384">
        <v>629.6</v>
      </c>
      <c r="D43" s="454">
        <v>561.6</v>
      </c>
      <c r="E43" s="377" t="s">
        <v>320</v>
      </c>
      <c r="F43" s="379">
        <f t="shared" si="0"/>
        <v>2.1373325606307794E-2</v>
      </c>
      <c r="G43" s="377">
        <f t="shared" si="1"/>
        <v>204.40166210336395</v>
      </c>
      <c r="H43" s="377">
        <f t="shared" si="2"/>
        <v>44.968365662740069</v>
      </c>
      <c r="I43" s="377">
        <f>G43*'92'!$C$20/100</f>
        <v>40.652804927528948</v>
      </c>
      <c r="J43" s="377">
        <f>F43*'мат. рул.шиф'!$F$28</f>
        <v>40.164156807367107</v>
      </c>
      <c r="K43" s="402">
        <f>((G43+H43+I43+J43)/C43)*85/100</f>
        <v>0.44577341339874527</v>
      </c>
    </row>
    <row r="44" spans="1:11" s="425" customFormat="1" ht="10.5" x14ac:dyDescent="0.2">
      <c r="A44" s="381">
        <v>42</v>
      </c>
      <c r="B44" s="382" t="s">
        <v>372</v>
      </c>
      <c r="C44" s="384">
        <v>628.9</v>
      </c>
      <c r="D44" s="454">
        <v>563</v>
      </c>
      <c r="E44" s="377" t="s">
        <v>320</v>
      </c>
      <c r="F44" s="379">
        <f t="shared" si="0"/>
        <v>2.14266066886597E-2</v>
      </c>
      <c r="G44" s="377">
        <f t="shared" si="1"/>
        <v>204.91121040632817</v>
      </c>
      <c r="H44" s="377">
        <f t="shared" si="2"/>
        <v>45.080466289392199</v>
      </c>
      <c r="I44" s="377">
        <f>G44*'92'!$C$20/100</f>
        <v>40.754147389955122</v>
      </c>
      <c r="J44" s="377">
        <f>F44*'мат. рул.шиф'!$F$28</f>
        <v>40.264281129892588</v>
      </c>
      <c r="K44" s="402">
        <f>((G44+H44+I44+J44)/C44)*60/100</f>
        <v>0.31579911453226406</v>
      </c>
    </row>
    <row r="45" spans="1:11" s="425" customFormat="1" ht="12" customHeight="1" x14ac:dyDescent="0.2">
      <c r="A45" s="381">
        <v>43</v>
      </c>
      <c r="B45" s="382" t="s">
        <v>373</v>
      </c>
      <c r="C45" s="384">
        <v>509.3</v>
      </c>
      <c r="D45" s="454">
        <v>466.8</v>
      </c>
      <c r="E45" s="377" t="s">
        <v>320</v>
      </c>
      <c r="F45" s="379">
        <f t="shared" si="0"/>
        <v>1.7765435172764382E-2</v>
      </c>
      <c r="G45" s="377">
        <f t="shared" si="1"/>
        <v>169.89796273121488</v>
      </c>
      <c r="H45" s="377">
        <f t="shared" si="2"/>
        <v>37.377551800867273</v>
      </c>
      <c r="I45" s="377">
        <f>G45*'92'!$C$20/100</f>
        <v>33.79047247181358</v>
      </c>
      <c r="J45" s="377">
        <f>F45*'мат. рул.шиф'!$F$28</f>
        <v>33.384309824926923</v>
      </c>
      <c r="K45" s="402">
        <f>((G45+H45+I45+J45)/C45)*30/100</f>
        <v>0.161663241799817</v>
      </c>
    </row>
    <row r="46" spans="1:11" s="425" customFormat="1" ht="10.5" x14ac:dyDescent="0.2">
      <c r="A46" s="381">
        <v>44</v>
      </c>
      <c r="B46" s="382" t="s">
        <v>374</v>
      </c>
      <c r="C46" s="384">
        <v>404.4</v>
      </c>
      <c r="D46" s="454">
        <v>354</v>
      </c>
      <c r="E46" s="377" t="s">
        <v>320</v>
      </c>
      <c r="F46" s="379">
        <f t="shared" si="0"/>
        <v>1.3472502251839314E-2</v>
      </c>
      <c r="G46" s="377">
        <f t="shared" si="1"/>
        <v>128.84292803524008</v>
      </c>
      <c r="H46" s="377">
        <f t="shared" si="2"/>
        <v>28.345444167752817</v>
      </c>
      <c r="I46" s="377">
        <f>G46*'92'!$C$20/100</f>
        <v>25.625165499190253</v>
      </c>
      <c r="J46" s="377">
        <f>F46*'мат. рул.шиф'!$F$28</f>
        <v>25.317150124301911</v>
      </c>
      <c r="K46" s="402">
        <f>((G46+H46+I46+J46)/C46)</f>
        <v>0.51466540016440421</v>
      </c>
    </row>
    <row r="47" spans="1:11" s="425" customFormat="1" ht="10.5" x14ac:dyDescent="0.2">
      <c r="A47" s="381">
        <v>45</v>
      </c>
      <c r="B47" s="382" t="s">
        <v>375</v>
      </c>
      <c r="C47" s="384">
        <v>409.8</v>
      </c>
      <c r="D47" s="454">
        <v>369.4</v>
      </c>
      <c r="E47" s="377" t="s">
        <v>320</v>
      </c>
      <c r="F47" s="379">
        <f t="shared" si="0"/>
        <v>1.4058594157710288E-2</v>
      </c>
      <c r="G47" s="377">
        <f t="shared" si="1"/>
        <v>134.44795936784658</v>
      </c>
      <c r="H47" s="377">
        <f t="shared" si="2"/>
        <v>29.578551060926248</v>
      </c>
      <c r="I47" s="377">
        <f>G47*'92'!$C$20/100</f>
        <v>26.73993258587819</v>
      </c>
      <c r="J47" s="377">
        <f>F47*'мат. рул.шиф'!$F$28</f>
        <v>26.418517672082274</v>
      </c>
      <c r="K47" s="402">
        <f>((G47+H47+I47+J47)/C47)*35/100</f>
        <v>0.18549227974708798</v>
      </c>
    </row>
    <row r="48" spans="1:11" s="425" customFormat="1" ht="10.5" x14ac:dyDescent="0.2">
      <c r="A48" s="381">
        <v>46</v>
      </c>
      <c r="B48" s="382" t="s">
        <v>376</v>
      </c>
      <c r="C48" s="384">
        <v>374.7</v>
      </c>
      <c r="D48" s="454">
        <v>255</v>
      </c>
      <c r="E48" s="377" t="s">
        <v>320</v>
      </c>
      <c r="F48" s="379">
        <f t="shared" si="0"/>
        <v>9.7047685712401827E-3</v>
      </c>
      <c r="G48" s="377">
        <f t="shared" si="1"/>
        <v>92.810583754198362</v>
      </c>
      <c r="H48" s="377">
        <f t="shared" si="2"/>
        <v>20.41832842592364</v>
      </c>
      <c r="I48" s="377">
        <f>G48*'92'!$C$20/100</f>
        <v>18.458805656196365</v>
      </c>
      <c r="J48" s="377">
        <f>F48*'мат. рул.шиф'!$F$28</f>
        <v>18.236930174285273</v>
      </c>
      <c r="K48" s="402">
        <f>((G48+H48+I48+J48)/C48)</f>
        <v>0.4001191566869593</v>
      </c>
    </row>
    <row r="49" spans="1:11" s="425" customFormat="1" ht="10.5" x14ac:dyDescent="0.2">
      <c r="A49" s="381">
        <v>47</v>
      </c>
      <c r="B49" s="382" t="s">
        <v>377</v>
      </c>
      <c r="C49" s="384">
        <v>618.4</v>
      </c>
      <c r="D49" s="454">
        <v>443</v>
      </c>
      <c r="E49" s="377" t="s">
        <v>320</v>
      </c>
      <c r="F49" s="379">
        <f t="shared" si="0"/>
        <v>1.6859656772781964E-2</v>
      </c>
      <c r="G49" s="377">
        <f t="shared" si="1"/>
        <v>161.23564158082303</v>
      </c>
      <c r="H49" s="377">
        <f t="shared" si="2"/>
        <v>35.471841147781063</v>
      </c>
      <c r="I49" s="377">
        <f>G49*'92'!$C$20/100</f>
        <v>32.067650610568592</v>
      </c>
      <c r="J49" s="377">
        <f>F49*'мат. рул.шиф'!$F$28</f>
        <v>31.682196341993631</v>
      </c>
      <c r="K49" s="402">
        <f>((G49+H49+I49+J49)/C49)*10/100</f>
        <v>4.2117938176126503E-2</v>
      </c>
    </row>
    <row r="50" spans="1:11" s="425" customFormat="1" ht="10.5" x14ac:dyDescent="0.2">
      <c r="A50" s="381">
        <v>48</v>
      </c>
      <c r="B50" s="382" t="s">
        <v>378</v>
      </c>
      <c r="C50" s="384">
        <v>1126.3</v>
      </c>
      <c r="D50" s="454">
        <v>942</v>
      </c>
      <c r="E50" s="377" t="s">
        <v>320</v>
      </c>
      <c r="F50" s="379">
        <f t="shared" si="0"/>
        <v>3.5850556839640203E-2</v>
      </c>
      <c r="G50" s="377">
        <f t="shared" si="1"/>
        <v>342.85321528021512</v>
      </c>
      <c r="H50" s="377">
        <f t="shared" si="2"/>
        <v>75.427707361647322</v>
      </c>
      <c r="I50" s="377">
        <f>G50*'92'!$C$20/100</f>
        <v>68.18899971818422</v>
      </c>
      <c r="J50" s="377">
        <f>F50*'мат. рул.шиф'!$F$28</f>
        <v>67.369365585006776</v>
      </c>
      <c r="K50" s="402">
        <f>((G50+H50+I50+J50)/C50)*85/100</f>
        <v>0.41797335945422659</v>
      </c>
    </row>
    <row r="51" spans="1:11" s="425" customFormat="1" ht="10.5" x14ac:dyDescent="0.2">
      <c r="A51" s="381">
        <v>49</v>
      </c>
      <c r="B51" s="382" t="s">
        <v>379</v>
      </c>
      <c r="C51" s="384">
        <v>617</v>
      </c>
      <c r="D51" s="454">
        <v>308.8</v>
      </c>
      <c r="E51" s="377" t="s">
        <v>320</v>
      </c>
      <c r="F51" s="379">
        <f t="shared" si="0"/>
        <v>1.1752284450192035E-2</v>
      </c>
      <c r="G51" s="377">
        <f t="shared" si="1"/>
        <v>112.39179711096649</v>
      </c>
      <c r="H51" s="377">
        <f t="shared" si="2"/>
        <v>24.726195364412629</v>
      </c>
      <c r="I51" s="377">
        <f>G51*'92'!$C$20/100</f>
        <v>22.353251712287992</v>
      </c>
      <c r="J51" s="377">
        <f>F51*'мат. рул.шиф'!$F$28</f>
        <v>22.084564854193307</v>
      </c>
      <c r="K51" s="402">
        <f>((G51+H51+I51+J51)/C51)*10/100</f>
        <v>2.9425576830123246E-2</v>
      </c>
    </row>
    <row r="52" spans="1:11" s="425" customFormat="1" ht="10.5" x14ac:dyDescent="0.2">
      <c r="A52" s="381">
        <v>50</v>
      </c>
      <c r="B52" s="382" t="s">
        <v>380</v>
      </c>
      <c r="C52" s="384">
        <v>452</v>
      </c>
      <c r="D52" s="454">
        <v>371</v>
      </c>
      <c r="E52" s="377" t="s">
        <v>320</v>
      </c>
      <c r="F52" s="379">
        <f t="shared" si="0"/>
        <v>1.4119486823255326E-2</v>
      </c>
      <c r="G52" s="377">
        <f t="shared" si="1"/>
        <v>135.03030028551998</v>
      </c>
      <c r="H52" s="377">
        <f t="shared" si="2"/>
        <v>29.706666062814396</v>
      </c>
      <c r="I52" s="377">
        <f>G52*'92'!$C$20/100</f>
        <v>26.855752542936681</v>
      </c>
      <c r="J52" s="377">
        <f>F52*'мат. рул.шиф'!$F$28</f>
        <v>26.532945469254262</v>
      </c>
      <c r="K52" s="402">
        <f>((G52+H52+I52+J52)/C52)*10/100</f>
        <v>4.8257890345248973E-2</v>
      </c>
    </row>
    <row r="53" spans="1:11" s="425" customFormat="1" ht="10.5" x14ac:dyDescent="0.2">
      <c r="A53" s="381">
        <v>51</v>
      </c>
      <c r="B53" s="382" t="s">
        <v>381</v>
      </c>
      <c r="C53" s="384">
        <v>1245.5999999999999</v>
      </c>
      <c r="D53" s="454">
        <v>787.5</v>
      </c>
      <c r="E53" s="377" t="s">
        <v>320</v>
      </c>
      <c r="F53" s="379">
        <f t="shared" si="0"/>
        <v>2.9970608822947626E-2</v>
      </c>
      <c r="G53" s="377">
        <f t="shared" si="1"/>
        <v>286.62092041737731</v>
      </c>
      <c r="H53" s="377">
        <f t="shared" si="2"/>
        <v>63.056602491823007</v>
      </c>
      <c r="I53" s="377">
        <f>G53*'92'!$C$20/100</f>
        <v>57.005135114724084</v>
      </c>
      <c r="J53" s="377">
        <f>F53*'мат. рул.шиф'!$F$28</f>
        <v>56.319931420586883</v>
      </c>
      <c r="K53" s="402">
        <f>((G53+H53+I53+J53)/C53)</f>
        <v>0.37171049248917098</v>
      </c>
    </row>
    <row r="54" spans="1:11" s="425" customFormat="1" ht="10.5" x14ac:dyDescent="0.2">
      <c r="A54" s="381">
        <v>52</v>
      </c>
      <c r="B54" s="382" t="s">
        <v>382</v>
      </c>
      <c r="C54" s="384">
        <v>1275.5999999999999</v>
      </c>
      <c r="D54" s="454">
        <v>797.7</v>
      </c>
      <c r="E54" s="377" t="s">
        <v>320</v>
      </c>
      <c r="F54" s="379">
        <f t="shared" si="0"/>
        <v>3.0358799565797234E-2</v>
      </c>
      <c r="G54" s="377">
        <f t="shared" si="1"/>
        <v>290.33334376754527</v>
      </c>
      <c r="H54" s="377">
        <f t="shared" si="2"/>
        <v>63.873335628859962</v>
      </c>
      <c r="I54" s="377">
        <f>G54*'92'!$C$20/100</f>
        <v>57.743487340971939</v>
      </c>
      <c r="J54" s="377">
        <f>F54*'мат. рул.шиф'!$F$28</f>
        <v>57.049408627558293</v>
      </c>
      <c r="K54" s="402">
        <f>((G54+H54+I54+J54)/C54)</f>
        <v>0.36766978313337678</v>
      </c>
    </row>
    <row r="55" spans="1:11" s="425" customFormat="1" ht="10.5" x14ac:dyDescent="0.2">
      <c r="A55" s="381">
        <v>53</v>
      </c>
      <c r="B55" s="382" t="s">
        <v>383</v>
      </c>
      <c r="C55" s="384">
        <v>942.4</v>
      </c>
      <c r="D55" s="454">
        <v>561.6</v>
      </c>
      <c r="E55" s="377" t="s">
        <v>320</v>
      </c>
      <c r="F55" s="379">
        <f t="shared" si="0"/>
        <v>2.1373325606307794E-2</v>
      </c>
      <c r="G55" s="377">
        <f t="shared" si="1"/>
        <v>204.40166210336395</v>
      </c>
      <c r="H55" s="377">
        <f t="shared" si="2"/>
        <v>44.968365662740069</v>
      </c>
      <c r="I55" s="377">
        <f>G55*'92'!$C$20/100</f>
        <v>40.652804927528948</v>
      </c>
      <c r="J55" s="377">
        <f>F55*'мат. рул.шиф'!$F$28</f>
        <v>40.164156807367107</v>
      </c>
      <c r="K55" s="402">
        <f>((G55+H55+I55+J55)/C55)</f>
        <v>0.35036819768781846</v>
      </c>
    </row>
    <row r="56" spans="1:11" s="425" customFormat="1" ht="10.5" x14ac:dyDescent="0.2">
      <c r="A56" s="381">
        <v>54</v>
      </c>
      <c r="B56" s="382" t="s">
        <v>384</v>
      </c>
      <c r="C56" s="384">
        <v>567.95000000000005</v>
      </c>
      <c r="D56" s="454">
        <v>332</v>
      </c>
      <c r="E56" s="377" t="s">
        <v>320</v>
      </c>
      <c r="F56" s="379">
        <f t="shared" si="0"/>
        <v>1.2635228100595062E-2</v>
      </c>
      <c r="G56" s="377">
        <f t="shared" si="1"/>
        <v>120.83574041723081</v>
      </c>
      <c r="H56" s="377">
        <f t="shared" si="2"/>
        <v>26.583862891790776</v>
      </c>
      <c r="I56" s="377">
        <f>G56*'92'!$C$20/100</f>
        <v>24.032641089636055</v>
      </c>
      <c r="J56" s="377">
        <f>F56*'мат. рул.шиф'!$F$28</f>
        <v>23.743767913187103</v>
      </c>
      <c r="K56" s="402">
        <f>((G56+H56+I56+J56)/C56)</f>
        <v>0.34368520523258161</v>
      </c>
    </row>
    <row r="57" spans="1:11" s="425" customFormat="1" ht="10.5" x14ac:dyDescent="0.2">
      <c r="A57" s="381">
        <v>55</v>
      </c>
      <c r="B57" s="382" t="s">
        <v>385</v>
      </c>
      <c r="C57" s="384">
        <v>1119.5999999999999</v>
      </c>
      <c r="D57" s="454">
        <v>654.29999999999995</v>
      </c>
      <c r="E57" s="377" t="s">
        <v>320</v>
      </c>
      <c r="F57" s="379">
        <f t="shared" si="0"/>
        <v>2.4901294416323338E-2</v>
      </c>
      <c r="G57" s="377">
        <f t="shared" si="1"/>
        <v>238.1410390210666</v>
      </c>
      <c r="H57" s="377">
        <f t="shared" si="2"/>
        <v>52.391028584634654</v>
      </c>
      <c r="I57" s="377">
        <f>G57*'92'!$C$20/100</f>
        <v>47.363123689605025</v>
      </c>
      <c r="J57" s="377">
        <f>F57*'мат. рул.шиф'!$F$28</f>
        <v>46.793817306019037</v>
      </c>
      <c r="K57" s="402">
        <f>((G57+H57+I57+J57)/C57)*50/100</f>
        <v>0.17179752081159586</v>
      </c>
    </row>
    <row r="58" spans="1:11" s="425" customFormat="1" ht="10.5" x14ac:dyDescent="0.2">
      <c r="A58" s="381">
        <v>56</v>
      </c>
      <c r="B58" s="382" t="s">
        <v>386</v>
      </c>
      <c r="C58" s="384">
        <v>946.6</v>
      </c>
      <c r="D58" s="454">
        <v>559.79999999999995</v>
      </c>
      <c r="E58" s="377" t="s">
        <v>320</v>
      </c>
      <c r="F58" s="379">
        <f t="shared" si="0"/>
        <v>2.1304821357569625E-2</v>
      </c>
      <c r="G58" s="377">
        <f t="shared" si="1"/>
        <v>203.74652857098135</v>
      </c>
      <c r="H58" s="377">
        <f t="shared" si="2"/>
        <v>44.824236285615896</v>
      </c>
      <c r="I58" s="377">
        <f>G58*'92'!$C$20/100</f>
        <v>40.52250747583814</v>
      </c>
      <c r="J58" s="377">
        <f>F58*'мат. рул.шиф'!$F$28</f>
        <v>40.035425535548612</v>
      </c>
      <c r="K58" s="402">
        <f>((G58+H58+I58+J58)/C58)*50/100</f>
        <v>0.17384782266426366</v>
      </c>
    </row>
    <row r="59" spans="1:11" s="425" customFormat="1" ht="10.5" x14ac:dyDescent="0.2">
      <c r="A59" s="381">
        <v>57</v>
      </c>
      <c r="B59" s="382" t="s">
        <v>387</v>
      </c>
      <c r="C59" s="384">
        <v>1375.7</v>
      </c>
      <c r="D59" s="454">
        <v>822.3</v>
      </c>
      <c r="E59" s="377" t="s">
        <v>320</v>
      </c>
      <c r="F59" s="379">
        <f t="shared" si="0"/>
        <v>3.1295024298552167E-2</v>
      </c>
      <c r="G59" s="377">
        <f t="shared" si="1"/>
        <v>299.28683537677381</v>
      </c>
      <c r="H59" s="377">
        <f t="shared" si="2"/>
        <v>65.843103782890239</v>
      </c>
      <c r="I59" s="377">
        <f>G59*'92'!$C$20/100</f>
        <v>59.524219180746179</v>
      </c>
      <c r="J59" s="377">
        <f>F59*'мат. рул.шиф'!$F$28</f>
        <v>58.80873600907757</v>
      </c>
      <c r="K59" s="402">
        <f>((G59+H59+I59+J59)/C59)</f>
        <v>0.35143046765245894</v>
      </c>
    </row>
    <row r="60" spans="1:11" s="425" customFormat="1" ht="10.5" x14ac:dyDescent="0.2">
      <c r="A60" s="381">
        <v>58</v>
      </c>
      <c r="B60" s="382" t="s">
        <v>388</v>
      </c>
      <c r="C60" s="384">
        <v>1540.17</v>
      </c>
      <c r="D60" s="454">
        <v>995</v>
      </c>
      <c r="E60" s="377" t="s">
        <v>320</v>
      </c>
      <c r="F60" s="379">
        <f t="shared" si="0"/>
        <v>3.7867626385819537E-2</v>
      </c>
      <c r="G60" s="377">
        <f t="shared" si="1"/>
        <v>362.14325817814654</v>
      </c>
      <c r="H60" s="377">
        <f t="shared" si="2"/>
        <v>79.671516799192247</v>
      </c>
      <c r="I60" s="377">
        <f>G60*'92'!$C$20/100</f>
        <v>72.025535795746606</v>
      </c>
      <c r="J60" s="377">
        <f>F60*'мат. рул.шиф'!$F$28</f>
        <v>71.159786366328817</v>
      </c>
      <c r="K60" s="402">
        <f>((G60+H60+I60+J60)/C60)*30/100</f>
        <v>0.11394847915608293</v>
      </c>
    </row>
    <row r="61" spans="1:11" s="425" customFormat="1" ht="10.5" x14ac:dyDescent="0.2">
      <c r="A61" s="381">
        <v>59</v>
      </c>
      <c r="B61" s="382" t="s">
        <v>389</v>
      </c>
      <c r="C61" s="384">
        <v>1571.33</v>
      </c>
      <c r="D61" s="454">
        <v>995</v>
      </c>
      <c r="E61" s="377" t="s">
        <v>320</v>
      </c>
      <c r="F61" s="379">
        <f t="shared" si="0"/>
        <v>3.7867626385819537E-2</v>
      </c>
      <c r="G61" s="377">
        <f t="shared" si="1"/>
        <v>362.14325817814654</v>
      </c>
      <c r="H61" s="377">
        <f t="shared" si="2"/>
        <v>79.671516799192247</v>
      </c>
      <c r="I61" s="377">
        <f>G61*'92'!$C$20/100</f>
        <v>72.025535795746606</v>
      </c>
      <c r="J61" s="377">
        <f>F61*'мат. рул.шиф'!$F$28</f>
        <v>71.159786366328817</v>
      </c>
      <c r="K61" s="402">
        <f>((G61+H61+I61+J61)/C61)</f>
        <v>0.37229614221036594</v>
      </c>
    </row>
    <row r="62" spans="1:11" s="425" customFormat="1" ht="10.5" x14ac:dyDescent="0.2">
      <c r="A62" s="381">
        <v>60</v>
      </c>
      <c r="B62" s="382" t="s">
        <v>390</v>
      </c>
      <c r="C62" s="384">
        <v>1686.29</v>
      </c>
      <c r="D62" s="454">
        <v>824.2</v>
      </c>
      <c r="E62" s="377" t="s">
        <v>320</v>
      </c>
      <c r="F62" s="379">
        <f t="shared" si="0"/>
        <v>3.1367334338886901E-2</v>
      </c>
      <c r="G62" s="377">
        <f t="shared" si="1"/>
        <v>299.97836521651101</v>
      </c>
      <c r="H62" s="377">
        <f t="shared" si="2"/>
        <v>65.995240347632432</v>
      </c>
      <c r="I62" s="377">
        <f>G62*'92'!$C$20/100</f>
        <v>59.661755379753131</v>
      </c>
      <c r="J62" s="377">
        <f>F62*'мат. рул.шиф'!$F$28</f>
        <v>58.944619018219313</v>
      </c>
      <c r="K62" s="402">
        <f>((G62+H62+I62+J62)/C62)</f>
        <v>0.28736455767520169</v>
      </c>
    </row>
    <row r="63" spans="1:11" s="425" customFormat="1" ht="10.5" x14ac:dyDescent="0.2">
      <c r="A63" s="381">
        <v>61</v>
      </c>
      <c r="B63" s="382" t="s">
        <v>391</v>
      </c>
      <c r="C63" s="384">
        <v>454.2</v>
      </c>
      <c r="D63" s="454">
        <v>431</v>
      </c>
      <c r="E63" s="377" t="s">
        <v>320</v>
      </c>
      <c r="F63" s="379">
        <f t="shared" si="0"/>
        <v>1.6402961781194193E-2</v>
      </c>
      <c r="G63" s="377">
        <f t="shared" si="1"/>
        <v>156.86808469827255</v>
      </c>
      <c r="H63" s="377">
        <f t="shared" si="2"/>
        <v>34.510978633619963</v>
      </c>
      <c r="I63" s="377">
        <f>G63*'92'!$C$20/100</f>
        <v>31.199000932629943</v>
      </c>
      <c r="J63" s="377">
        <f>F63*'мат. рул.шиф'!$F$28</f>
        <v>30.82398786320374</v>
      </c>
      <c r="K63" s="402">
        <f>((G63+H63+I63+J63)/C63)*10/100</f>
        <v>5.579085251601193E-2</v>
      </c>
    </row>
    <row r="64" spans="1:11" s="425" customFormat="1" ht="10.5" x14ac:dyDescent="0.2">
      <c r="A64" s="381">
        <v>62</v>
      </c>
      <c r="B64" s="382" t="s">
        <v>392</v>
      </c>
      <c r="C64" s="384">
        <v>752.4</v>
      </c>
      <c r="D64" s="454">
        <v>469.6</v>
      </c>
      <c r="E64" s="377" t="s">
        <v>320</v>
      </c>
      <c r="F64" s="379">
        <f t="shared" si="0"/>
        <v>1.7871997337468196E-2</v>
      </c>
      <c r="G64" s="377">
        <f t="shared" si="1"/>
        <v>170.91705933714334</v>
      </c>
      <c r="H64" s="377">
        <f t="shared" si="2"/>
        <v>37.601753054171539</v>
      </c>
      <c r="I64" s="377">
        <f>G64*'92'!$C$20/100</f>
        <v>33.993157396665936</v>
      </c>
      <c r="J64" s="377">
        <f>F64*'мат. рул.шиф'!$F$28</f>
        <v>33.5845584699779</v>
      </c>
      <c r="K64" s="402">
        <f>((G64+H64+I64+J64)/C64)*40/100</f>
        <v>0.14678178004144535</v>
      </c>
    </row>
    <row r="65" spans="1:11" s="425" customFormat="1" ht="10.5" x14ac:dyDescent="0.2">
      <c r="A65" s="381">
        <v>63</v>
      </c>
      <c r="B65" s="382" t="s">
        <v>393</v>
      </c>
      <c r="C65" s="384">
        <v>956.4</v>
      </c>
      <c r="D65" s="454">
        <v>705</v>
      </c>
      <c r="E65" s="377" t="s">
        <v>320</v>
      </c>
      <c r="F65" s="379">
        <f t="shared" si="0"/>
        <v>2.6830830755781684E-2</v>
      </c>
      <c r="G65" s="377">
        <f t="shared" si="1"/>
        <v>256.59396684984256</v>
      </c>
      <c r="H65" s="377">
        <f t="shared" si="2"/>
        <v>56.450672706965364</v>
      </c>
      <c r="I65" s="377">
        <f>G65*'92'!$C$20/100</f>
        <v>51.033168578895847</v>
      </c>
      <c r="J65" s="377">
        <f>F65*'мат. рул.шиф'!$F$28</f>
        <v>50.419748128906349</v>
      </c>
      <c r="K65" s="402">
        <f>((G65+H65+I65+J65)/C65)</f>
        <v>0.43339351345107707</v>
      </c>
    </row>
    <row r="66" spans="1:11" s="425" customFormat="1" ht="10.5" x14ac:dyDescent="0.2">
      <c r="A66" s="381">
        <v>64</v>
      </c>
      <c r="B66" s="382" t="s">
        <v>394</v>
      </c>
      <c r="C66" s="384">
        <v>955.5</v>
      </c>
      <c r="D66" s="454">
        <v>705</v>
      </c>
      <c r="E66" s="377" t="s">
        <v>320</v>
      </c>
      <c r="F66" s="379">
        <f t="shared" si="0"/>
        <v>2.6830830755781684E-2</v>
      </c>
      <c r="G66" s="377">
        <f t="shared" si="1"/>
        <v>256.59396684984256</v>
      </c>
      <c r="H66" s="377">
        <f t="shared" si="2"/>
        <v>56.450672706965364</v>
      </c>
      <c r="I66" s="377">
        <f>G66*'92'!$C$20/100</f>
        <v>51.033168578895847</v>
      </c>
      <c r="J66" s="377">
        <f>F66*'мат. рул.шиф'!$F$28</f>
        <v>50.419748128906349</v>
      </c>
      <c r="K66" s="402">
        <f>((G66+H66+I66+J66)/C66)*88/100</f>
        <v>0.38174552539283824</v>
      </c>
    </row>
    <row r="67" spans="1:11" s="425" customFormat="1" ht="10.5" x14ac:dyDescent="0.2">
      <c r="A67" s="381">
        <v>65</v>
      </c>
      <c r="B67" s="382" t="s">
        <v>395</v>
      </c>
      <c r="C67" s="384">
        <v>1548.5</v>
      </c>
      <c r="D67" s="454">
        <v>995</v>
      </c>
      <c r="E67" s="377" t="s">
        <v>320</v>
      </c>
      <c r="F67" s="379">
        <f t="shared" ref="F67:F130" si="4">D67/$F$163</f>
        <v>3.7867626385819537E-2</v>
      </c>
      <c r="G67" s="377">
        <f t="shared" ref="G67:G130" si="5">F67*$G$163</f>
        <v>362.14325817814654</v>
      </c>
      <c r="H67" s="377">
        <f t="shared" si="2"/>
        <v>79.671516799192247</v>
      </c>
      <c r="I67" s="377">
        <f>G67*'92'!$C$20/100</f>
        <v>72.025535795746606</v>
      </c>
      <c r="J67" s="377">
        <f>F67*'мат. рул.шиф'!$F$28</f>
        <v>71.159786366328817</v>
      </c>
      <c r="K67" s="402">
        <f>((G67+H67+I67+J67)/C67)*30/100</f>
        <v>0.11333550477353845</v>
      </c>
    </row>
    <row r="68" spans="1:11" s="425" customFormat="1" ht="10.5" x14ac:dyDescent="0.2">
      <c r="A68" s="381">
        <v>66</v>
      </c>
      <c r="B68" s="382" t="s">
        <v>396</v>
      </c>
      <c r="C68" s="384">
        <v>1567.3</v>
      </c>
      <c r="D68" s="454">
        <v>995</v>
      </c>
      <c r="E68" s="377" t="s">
        <v>320</v>
      </c>
      <c r="F68" s="379">
        <f t="shared" si="4"/>
        <v>3.7867626385819537E-2</v>
      </c>
      <c r="G68" s="377">
        <f t="shared" si="5"/>
        <v>362.14325817814654</v>
      </c>
      <c r="H68" s="377">
        <f t="shared" ref="H68:H131" si="6">G68*22/100</f>
        <v>79.671516799192247</v>
      </c>
      <c r="I68" s="377">
        <f>G68*'92'!$C$20/100</f>
        <v>72.025535795746606</v>
      </c>
      <c r="J68" s="377">
        <f>F68*'мат. рул.шиф'!$F$28</f>
        <v>71.159786366328817</v>
      </c>
      <c r="K68" s="402">
        <f>((G68+H68+I68+J68)/C68)*50/100</f>
        <v>0.18662671381975826</v>
      </c>
    </row>
    <row r="69" spans="1:11" s="425" customFormat="1" ht="10.5" x14ac:dyDescent="0.2">
      <c r="A69" s="381">
        <v>67</v>
      </c>
      <c r="B69" s="382" t="s">
        <v>397</v>
      </c>
      <c r="C69" s="384">
        <v>1558.46</v>
      </c>
      <c r="D69" s="454">
        <v>995</v>
      </c>
      <c r="E69" s="377" t="s">
        <v>320</v>
      </c>
      <c r="F69" s="379">
        <f t="shared" si="4"/>
        <v>3.7867626385819537E-2</v>
      </c>
      <c r="G69" s="377">
        <f t="shared" si="5"/>
        <v>362.14325817814654</v>
      </c>
      <c r="H69" s="377">
        <f t="shared" si="6"/>
        <v>79.671516799192247</v>
      </c>
      <c r="I69" s="377">
        <f>G69*'92'!$C$20/100</f>
        <v>72.025535795746606</v>
      </c>
      <c r="J69" s="377">
        <f>F69*'мат. рул.шиф'!$F$28</f>
        <v>71.159786366328817</v>
      </c>
      <c r="K69" s="402">
        <f t="shared" ref="K69:K130" si="7">((G69+H69+I69+J69)/C69)</f>
        <v>0.37537062044544889</v>
      </c>
    </row>
    <row r="70" spans="1:11" s="425" customFormat="1" ht="10.5" x14ac:dyDescent="0.2">
      <c r="A70" s="381">
        <v>68</v>
      </c>
      <c r="B70" s="382" t="s">
        <v>398</v>
      </c>
      <c r="C70" s="384">
        <v>1575.7</v>
      </c>
      <c r="D70" s="454">
        <v>995</v>
      </c>
      <c r="E70" s="377" t="s">
        <v>320</v>
      </c>
      <c r="F70" s="379">
        <f t="shared" si="4"/>
        <v>3.7867626385819537E-2</v>
      </c>
      <c r="G70" s="377">
        <f t="shared" si="5"/>
        <v>362.14325817814654</v>
      </c>
      <c r="H70" s="377">
        <f t="shared" si="6"/>
        <v>79.671516799192247</v>
      </c>
      <c r="I70" s="377">
        <f>G70*'92'!$C$20/100</f>
        <v>72.025535795746606</v>
      </c>
      <c r="J70" s="377">
        <f>F70*'мат. рул.шиф'!$F$28</f>
        <v>71.159786366328817</v>
      </c>
      <c r="K70" s="402">
        <f>((G70+H70+I70+J70)/C70)*10/100</f>
        <v>3.7126362704792422E-2</v>
      </c>
    </row>
    <row r="71" spans="1:11" s="425" customFormat="1" ht="10.5" x14ac:dyDescent="0.2">
      <c r="A71" s="381">
        <v>69</v>
      </c>
      <c r="B71" s="382" t="s">
        <v>399</v>
      </c>
      <c r="C71" s="384">
        <v>1546.3</v>
      </c>
      <c r="D71" s="454">
        <v>995</v>
      </c>
      <c r="E71" s="377" t="s">
        <v>320</v>
      </c>
      <c r="F71" s="379">
        <f t="shared" si="4"/>
        <v>3.7867626385819537E-2</v>
      </c>
      <c r="G71" s="377">
        <f t="shared" si="5"/>
        <v>362.14325817814654</v>
      </c>
      <c r="H71" s="377">
        <f t="shared" si="6"/>
        <v>79.671516799192247</v>
      </c>
      <c r="I71" s="377">
        <f>G71*'92'!$C$20/100</f>
        <v>72.025535795746606</v>
      </c>
      <c r="J71" s="377">
        <f>F71*'мат. рул.шиф'!$F$28</f>
        <v>71.159786366328817</v>
      </c>
      <c r="K71" s="402">
        <f>((G71+H71+I71+J71)/C71)*60/100</f>
        <v>0.22699350597144705</v>
      </c>
    </row>
    <row r="72" spans="1:11" s="425" customFormat="1" ht="10.5" x14ac:dyDescent="0.2">
      <c r="A72" s="381">
        <v>70</v>
      </c>
      <c r="B72" s="382" t="s">
        <v>400</v>
      </c>
      <c r="C72" s="384">
        <v>563.1</v>
      </c>
      <c r="D72" s="454">
        <v>330.9</v>
      </c>
      <c r="E72" s="377" t="s">
        <v>320</v>
      </c>
      <c r="F72" s="379">
        <f t="shared" si="4"/>
        <v>1.2593364393032849E-2</v>
      </c>
      <c r="G72" s="377">
        <f t="shared" si="5"/>
        <v>120.43538103633034</v>
      </c>
      <c r="H72" s="377">
        <f t="shared" si="6"/>
        <v>26.495783827992671</v>
      </c>
      <c r="I72" s="377">
        <f>G72*'92'!$C$20/100</f>
        <v>23.953014869158341</v>
      </c>
      <c r="J72" s="377">
        <f>F72*'мат. рул.шиф'!$F$28</f>
        <v>23.665098802631359</v>
      </c>
      <c r="K72" s="402">
        <f t="shared" si="7"/>
        <v>0.3454968540865081</v>
      </c>
    </row>
    <row r="73" spans="1:11" s="425" customFormat="1" ht="10.5" x14ac:dyDescent="0.2">
      <c r="A73" s="381">
        <v>71</v>
      </c>
      <c r="B73" s="382" t="s">
        <v>401</v>
      </c>
      <c r="C73" s="384">
        <v>549.6</v>
      </c>
      <c r="D73" s="454">
        <v>341</v>
      </c>
      <c r="E73" s="377" t="s">
        <v>320</v>
      </c>
      <c r="F73" s="379">
        <f t="shared" si="4"/>
        <v>1.2977749344285892E-2</v>
      </c>
      <c r="G73" s="377">
        <f t="shared" si="5"/>
        <v>124.11140807914369</v>
      </c>
      <c r="H73" s="377">
        <f t="shared" si="6"/>
        <v>27.304509777411614</v>
      </c>
      <c r="I73" s="377">
        <f>G73*'92'!$C$20/100</f>
        <v>24.684128348090045</v>
      </c>
      <c r="J73" s="377">
        <f>F73*'мат. рул.шиф'!$F$28</f>
        <v>24.387424272279524</v>
      </c>
      <c r="K73" s="402">
        <f>((G73+H73+I73+J73)/C73)*50/100</f>
        <v>0.18239398696954587</v>
      </c>
    </row>
    <row r="74" spans="1:11" s="425" customFormat="1" ht="10.5" x14ac:dyDescent="0.2">
      <c r="A74" s="381">
        <v>72</v>
      </c>
      <c r="B74" s="382" t="s">
        <v>402</v>
      </c>
      <c r="C74" s="384">
        <v>983</v>
      </c>
      <c r="D74" s="454">
        <v>596</v>
      </c>
      <c r="E74" s="377" t="s">
        <v>320</v>
      </c>
      <c r="F74" s="379">
        <f t="shared" si="4"/>
        <v>2.2682517915526074E-2</v>
      </c>
      <c r="G74" s="377">
        <f t="shared" si="5"/>
        <v>216.92199183334205</v>
      </c>
      <c r="H74" s="377">
        <f t="shared" si="6"/>
        <v>47.72283820333525</v>
      </c>
      <c r="I74" s="377">
        <f>G74*'92'!$C$20/100</f>
        <v>43.14293400428641</v>
      </c>
      <c r="J74" s="377">
        <f>F74*'мат. рул.шиф'!$F$28</f>
        <v>42.624354446564794</v>
      </c>
      <c r="K74" s="402">
        <f t="shared" si="7"/>
        <v>0.35647214495170754</v>
      </c>
    </row>
    <row r="75" spans="1:11" s="425" customFormat="1" ht="10.5" x14ac:dyDescent="0.2">
      <c r="A75" s="381">
        <v>73</v>
      </c>
      <c r="B75" s="382" t="s">
        <v>403</v>
      </c>
      <c r="C75" s="384">
        <v>1093.5999999999999</v>
      </c>
      <c r="D75" s="454">
        <v>655</v>
      </c>
      <c r="E75" s="377" t="s">
        <v>320</v>
      </c>
      <c r="F75" s="379">
        <f t="shared" si="4"/>
        <v>2.4927934957499294E-2</v>
      </c>
      <c r="G75" s="377">
        <f t="shared" si="5"/>
        <v>238.39581317254874</v>
      </c>
      <c r="H75" s="377">
        <f t="shared" si="6"/>
        <v>52.447078897960729</v>
      </c>
      <c r="I75" s="377">
        <f>G75*'92'!$C$20/100</f>
        <v>47.41379492081812</v>
      </c>
      <c r="J75" s="377">
        <f>F75*'мат. рул.шиф'!$F$28</f>
        <v>46.843879467281781</v>
      </c>
      <c r="K75" s="402">
        <f t="shared" si="7"/>
        <v>0.35214023999507083</v>
      </c>
    </row>
    <row r="76" spans="1:11" s="425" customFormat="1" ht="10.5" x14ac:dyDescent="0.2">
      <c r="A76" s="381">
        <v>74</v>
      </c>
      <c r="B76" s="382" t="s">
        <v>404</v>
      </c>
      <c r="C76" s="384">
        <v>773.53</v>
      </c>
      <c r="D76" s="454">
        <v>503.5</v>
      </c>
      <c r="E76" s="377" t="s">
        <v>320</v>
      </c>
      <c r="F76" s="379">
        <f t="shared" si="4"/>
        <v>1.9162160688703658E-2</v>
      </c>
      <c r="G76" s="377">
        <f t="shared" si="5"/>
        <v>183.25540753034855</v>
      </c>
      <c r="H76" s="377">
        <f t="shared" si="6"/>
        <v>40.316189656676677</v>
      </c>
      <c r="I76" s="377">
        <f>G76*'92'!$C$20/100</f>
        <v>36.447092736842635</v>
      </c>
      <c r="J76" s="377">
        <f>F76*'мат. рул.шиф'!$F$28</f>
        <v>36.008997422559361</v>
      </c>
      <c r="K76" s="402">
        <f t="shared" si="7"/>
        <v>0.3826970994614653</v>
      </c>
    </row>
    <row r="77" spans="1:11" s="425" customFormat="1" ht="10.5" x14ac:dyDescent="0.2">
      <c r="A77" s="381">
        <v>75</v>
      </c>
      <c r="B77" s="382" t="s">
        <v>405</v>
      </c>
      <c r="C77" s="384">
        <v>1603.4</v>
      </c>
      <c r="D77" s="454">
        <v>983.8</v>
      </c>
      <c r="E77" s="377" t="s">
        <v>320</v>
      </c>
      <c r="F77" s="379">
        <f t="shared" si="4"/>
        <v>3.7441377727004281E-2</v>
      </c>
      <c r="G77" s="377">
        <f t="shared" si="5"/>
        <v>358.06687175443273</v>
      </c>
      <c r="H77" s="377">
        <f t="shared" si="6"/>
        <v>78.7747117859752</v>
      </c>
      <c r="I77" s="377">
        <f>G77*'92'!$C$20/100</f>
        <v>71.214796096337196</v>
      </c>
      <c r="J77" s="377">
        <f>F77*'мат. рул.шиф'!$F$28</f>
        <v>70.358791786124911</v>
      </c>
      <c r="K77" s="402">
        <f>((G77+H77+I77+J77)/C77)*10/100</f>
        <v>3.6074290346942123E-2</v>
      </c>
    </row>
    <row r="78" spans="1:11" s="425" customFormat="1" ht="10.5" x14ac:dyDescent="0.2">
      <c r="A78" s="381">
        <v>76</v>
      </c>
      <c r="B78" s="382" t="s">
        <v>406</v>
      </c>
      <c r="C78" s="384">
        <v>561.1</v>
      </c>
      <c r="D78" s="454">
        <v>341.9</v>
      </c>
      <c r="E78" s="377" t="s">
        <v>320</v>
      </c>
      <c r="F78" s="379">
        <f t="shared" si="4"/>
        <v>1.3012001468654975E-2</v>
      </c>
      <c r="G78" s="377">
        <f t="shared" si="5"/>
        <v>124.43897484533498</v>
      </c>
      <c r="H78" s="377">
        <f t="shared" si="6"/>
        <v>27.376574465973693</v>
      </c>
      <c r="I78" s="377">
        <f>G78*'92'!$C$20/100</f>
        <v>24.749277073935442</v>
      </c>
      <c r="J78" s="377">
        <f>F78*'мат. рул.шиф'!$F$28</f>
        <v>24.451789908188765</v>
      </c>
      <c r="K78" s="402">
        <f t="shared" si="7"/>
        <v>0.35825452912748684</v>
      </c>
    </row>
    <row r="79" spans="1:11" s="425" customFormat="1" ht="10.5" x14ac:dyDescent="0.2">
      <c r="A79" s="381">
        <v>77</v>
      </c>
      <c r="B79" s="382" t="s">
        <v>407</v>
      </c>
      <c r="C79" s="384">
        <v>780.4</v>
      </c>
      <c r="D79" s="454">
        <v>479</v>
      </c>
      <c r="E79" s="377" t="s">
        <v>320</v>
      </c>
      <c r="F79" s="379">
        <f t="shared" si="4"/>
        <v>1.8229741747545287E-2</v>
      </c>
      <c r="G79" s="377">
        <f t="shared" si="5"/>
        <v>174.33831222847459</v>
      </c>
      <c r="H79" s="377">
        <f t="shared" si="6"/>
        <v>38.354428690264413</v>
      </c>
      <c r="I79" s="377">
        <f>G79*'92'!$C$20/100</f>
        <v>34.673599644384552</v>
      </c>
      <c r="J79" s="377">
        <f>F79*'мат. рул.шиф'!$F$28</f>
        <v>34.256821778363324</v>
      </c>
      <c r="K79" s="402">
        <f>((G79+H79+I79+J79)/C79)*70/100</f>
        <v>0.25260919225915024</v>
      </c>
    </row>
    <row r="80" spans="1:11" s="425" customFormat="1" ht="10.5" x14ac:dyDescent="0.2">
      <c r="A80" s="381">
        <v>78</v>
      </c>
      <c r="B80" s="382" t="s">
        <v>408</v>
      </c>
      <c r="C80" s="384">
        <v>1890.1</v>
      </c>
      <c r="D80" s="454">
        <v>973.7</v>
      </c>
      <c r="E80" s="377" t="s">
        <v>320</v>
      </c>
      <c r="F80" s="379">
        <f t="shared" si="4"/>
        <v>3.7056992775751245E-2</v>
      </c>
      <c r="G80" s="377">
        <f t="shared" si="5"/>
        <v>354.39084471161942</v>
      </c>
      <c r="H80" s="377">
        <f t="shared" si="6"/>
        <v>77.965985836556271</v>
      </c>
      <c r="I80" s="377">
        <f>G80*'92'!$C$20/100</f>
        <v>70.483682617405506</v>
      </c>
      <c r="J80" s="377">
        <f>F80*'мат. рул.шиф'!$F$28</f>
        <v>69.636466316476756</v>
      </c>
      <c r="K80" s="402">
        <f t="shared" si="7"/>
        <v>0.3028818472472663</v>
      </c>
    </row>
    <row r="81" spans="1:11" s="425" customFormat="1" ht="10.5" x14ac:dyDescent="0.2">
      <c r="A81" s="381">
        <v>79</v>
      </c>
      <c r="B81" s="382" t="s">
        <v>409</v>
      </c>
      <c r="C81" s="384">
        <v>1734.5</v>
      </c>
      <c r="D81" s="454">
        <v>827</v>
      </c>
      <c r="E81" s="377" t="s">
        <v>320</v>
      </c>
      <c r="F81" s="379">
        <f t="shared" si="4"/>
        <v>3.1473896503590712E-2</v>
      </c>
      <c r="G81" s="377">
        <f t="shared" si="5"/>
        <v>300.99746182243939</v>
      </c>
      <c r="H81" s="377">
        <f t="shared" si="6"/>
        <v>66.219441600936662</v>
      </c>
      <c r="I81" s="377">
        <f>G81*'92'!$C$20/100</f>
        <v>59.864440304605466</v>
      </c>
      <c r="J81" s="377">
        <f>F81*'мат. рул.шиф'!$F$28</f>
        <v>59.144867663270283</v>
      </c>
      <c r="K81" s="402">
        <f t="shared" si="7"/>
        <v>0.28032644069832907</v>
      </c>
    </row>
    <row r="82" spans="1:11" s="425" customFormat="1" ht="10.5" x14ac:dyDescent="0.2">
      <c r="A82" s="381">
        <v>80</v>
      </c>
      <c r="B82" s="382" t="s">
        <v>410</v>
      </c>
      <c r="C82" s="384">
        <v>1565.58</v>
      </c>
      <c r="D82" s="454">
        <v>875</v>
      </c>
      <c r="E82" s="377" t="s">
        <v>320</v>
      </c>
      <c r="F82" s="379">
        <f t="shared" si="4"/>
        <v>3.3300676469941802E-2</v>
      </c>
      <c r="G82" s="377">
        <f t="shared" si="5"/>
        <v>318.4676893526414</v>
      </c>
      <c r="H82" s="377">
        <f t="shared" si="6"/>
        <v>70.062891657581119</v>
      </c>
      <c r="I82" s="377">
        <f>G82*'92'!$C$20/100</f>
        <v>63.339039016360076</v>
      </c>
      <c r="J82" s="377">
        <f>F82*'мат. рул.шиф'!$F$28</f>
        <v>62.57770157842986</v>
      </c>
      <c r="K82" s="402">
        <f t="shared" si="7"/>
        <v>0.32859855236079438</v>
      </c>
    </row>
    <row r="83" spans="1:11" s="425" customFormat="1" ht="10.5" x14ac:dyDescent="0.2">
      <c r="A83" s="381">
        <v>81</v>
      </c>
      <c r="B83" s="382" t="s">
        <v>411</v>
      </c>
      <c r="C83" s="384">
        <v>2043.8</v>
      </c>
      <c r="D83" s="454">
        <v>1042</v>
      </c>
      <c r="E83" s="377" t="s">
        <v>320</v>
      </c>
      <c r="F83" s="379">
        <f t="shared" si="4"/>
        <v>3.9656348436204983E-2</v>
      </c>
      <c r="G83" s="377">
        <f t="shared" si="5"/>
        <v>379.2495226348027</v>
      </c>
      <c r="H83" s="377">
        <f t="shared" si="6"/>
        <v>83.434894979656605</v>
      </c>
      <c r="I83" s="377">
        <f>G83*'92'!$C$20/100</f>
        <v>75.42774703433966</v>
      </c>
      <c r="J83" s="377">
        <f>F83*'мат. рул.шиф'!$F$28</f>
        <v>74.521102908255898</v>
      </c>
      <c r="K83" s="402">
        <f t="shared" si="7"/>
        <v>0.29975206358599416</v>
      </c>
    </row>
    <row r="84" spans="1:11" s="425" customFormat="1" ht="10.5" x14ac:dyDescent="0.2">
      <c r="A84" s="381">
        <v>82</v>
      </c>
      <c r="B84" s="382" t="s">
        <v>412</v>
      </c>
      <c r="C84" s="384">
        <v>1277.5999999999999</v>
      </c>
      <c r="D84" s="454">
        <v>621</v>
      </c>
      <c r="E84" s="377" t="s">
        <v>320</v>
      </c>
      <c r="F84" s="379">
        <f t="shared" si="4"/>
        <v>2.3633965814667271E-2</v>
      </c>
      <c r="G84" s="377">
        <f t="shared" si="5"/>
        <v>226.02106867198896</v>
      </c>
      <c r="H84" s="377">
        <f t="shared" si="6"/>
        <v>49.724635107837564</v>
      </c>
      <c r="I84" s="377">
        <f>G84*'92'!$C$20/100</f>
        <v>44.95262083332527</v>
      </c>
      <c r="J84" s="377">
        <f>F84*'мат. рул.шиф'!$F$28</f>
        <v>44.412288777377086</v>
      </c>
      <c r="K84" s="402">
        <f t="shared" si="7"/>
        <v>0.28577850140147848</v>
      </c>
    </row>
    <row r="85" spans="1:11" s="425" customFormat="1" ht="10.5" x14ac:dyDescent="0.2">
      <c r="A85" s="381">
        <v>83</v>
      </c>
      <c r="B85" s="382" t="s">
        <v>413</v>
      </c>
      <c r="C85" s="384">
        <v>1281.1500000000001</v>
      </c>
      <c r="D85" s="454">
        <v>615</v>
      </c>
      <c r="E85" s="377" t="s">
        <v>320</v>
      </c>
      <c r="F85" s="379">
        <f t="shared" si="4"/>
        <v>2.3405618318873382E-2</v>
      </c>
      <c r="G85" s="377">
        <f t="shared" si="5"/>
        <v>223.83729023071371</v>
      </c>
      <c r="H85" s="377">
        <f t="shared" si="6"/>
        <v>49.24420385075701</v>
      </c>
      <c r="I85" s="377">
        <f>G85*'92'!$C$20/100</f>
        <v>44.518295994355952</v>
      </c>
      <c r="J85" s="377">
        <f>F85*'мат. рул.шиф'!$F$28</f>
        <v>43.983184537982133</v>
      </c>
      <c r="K85" s="402">
        <f t="shared" si="7"/>
        <v>0.28223313008922363</v>
      </c>
    </row>
    <row r="86" spans="1:11" s="425" customFormat="1" ht="10.5" x14ac:dyDescent="0.2">
      <c r="A86" s="381">
        <v>84</v>
      </c>
      <c r="B86" s="382" t="s">
        <v>414</v>
      </c>
      <c r="C86" s="384">
        <v>1492.3</v>
      </c>
      <c r="D86" s="454">
        <v>672</v>
      </c>
      <c r="E86" s="377" t="s">
        <v>320</v>
      </c>
      <c r="F86" s="379">
        <f t="shared" si="4"/>
        <v>2.5574919528915305E-2</v>
      </c>
      <c r="G86" s="377">
        <f t="shared" si="5"/>
        <v>244.58318542282862</v>
      </c>
      <c r="H86" s="377">
        <f t="shared" si="6"/>
        <v>53.808300793022298</v>
      </c>
      <c r="I86" s="377">
        <f>G86*'92'!$C$20/100</f>
        <v>48.644381964564545</v>
      </c>
      <c r="J86" s="377">
        <f>F86*'мат. рул.шиф'!$F$28</f>
        <v>48.059674812234135</v>
      </c>
      <c r="K86" s="402">
        <f t="shared" si="7"/>
        <v>0.26475611002656946</v>
      </c>
    </row>
    <row r="87" spans="1:11" s="425" customFormat="1" ht="10.5" x14ac:dyDescent="0.2">
      <c r="A87" s="381">
        <v>85</v>
      </c>
      <c r="B87" s="382" t="s">
        <v>415</v>
      </c>
      <c r="C87" s="384">
        <v>4130.75</v>
      </c>
      <c r="D87" s="454">
        <v>1349.27</v>
      </c>
      <c r="E87" s="377" t="s">
        <v>320</v>
      </c>
      <c r="F87" s="379">
        <f t="shared" si="4"/>
        <v>5.1350404274969577E-2</v>
      </c>
      <c r="G87" s="377">
        <f t="shared" si="5"/>
        <v>491.08445624324406</v>
      </c>
      <c r="H87" s="377">
        <f t="shared" si="6"/>
        <v>108.03858037351368</v>
      </c>
      <c r="I87" s="377">
        <f>G87*'92'!$C$20/100</f>
        <v>97.670245912690504</v>
      </c>
      <c r="J87" s="377">
        <f>F87*'мат. рул.шиф'!$F$28</f>
        <v>96.496246181403507</v>
      </c>
      <c r="K87" s="402">
        <f t="shared" si="7"/>
        <v>0.19204491404971294</v>
      </c>
    </row>
    <row r="88" spans="1:11" s="425" customFormat="1" ht="10.5" x14ac:dyDescent="0.2">
      <c r="A88" s="381">
        <v>86</v>
      </c>
      <c r="B88" s="382" t="s">
        <v>416</v>
      </c>
      <c r="C88" s="384">
        <v>3262.1</v>
      </c>
      <c r="D88" s="454">
        <v>1150</v>
      </c>
      <c r="E88" s="377" t="s">
        <v>320</v>
      </c>
      <c r="F88" s="379">
        <f t="shared" si="4"/>
        <v>4.3766603360494948E-2</v>
      </c>
      <c r="G88" s="377">
        <f t="shared" si="5"/>
        <v>418.55753457775734</v>
      </c>
      <c r="H88" s="377">
        <f t="shared" si="6"/>
        <v>92.082657607106611</v>
      </c>
      <c r="I88" s="377">
        <f>G88*'92'!$C$20/100</f>
        <v>83.245594135787542</v>
      </c>
      <c r="J88" s="377">
        <f>F88*'мат. рул.шиф'!$F$28</f>
        <v>82.244979217364971</v>
      </c>
      <c r="K88" s="402">
        <f t="shared" si="7"/>
        <v>0.20726855876215214</v>
      </c>
    </row>
    <row r="89" spans="1:11" s="425" customFormat="1" ht="10.5" x14ac:dyDescent="0.2">
      <c r="A89" s="381">
        <v>87</v>
      </c>
      <c r="B89" s="382" t="s">
        <v>417</v>
      </c>
      <c r="C89" s="384">
        <v>1516.8</v>
      </c>
      <c r="D89" s="454">
        <v>784</v>
      </c>
      <c r="E89" s="377" t="s">
        <v>596</v>
      </c>
      <c r="F89" s="379">
        <f t="shared" si="4"/>
        <v>2.9837406117067859E-2</v>
      </c>
      <c r="G89" s="377">
        <f t="shared" si="5"/>
        <v>285.34704965996673</v>
      </c>
      <c r="H89" s="377">
        <f t="shared" si="6"/>
        <v>62.776350925192681</v>
      </c>
      <c r="I89" s="377">
        <f>G89*'92'!$C$20/100</f>
        <v>56.751778958658633</v>
      </c>
      <c r="J89" s="377">
        <f>F89*'мат. рул.шиф'!$F$28</f>
        <v>56.069620614273163</v>
      </c>
      <c r="K89" s="402">
        <f t="shared" si="7"/>
        <v>0.30389293259367828</v>
      </c>
    </row>
    <row r="90" spans="1:11" s="425" customFormat="1" ht="10.5" x14ac:dyDescent="0.2">
      <c r="A90" s="381">
        <v>88</v>
      </c>
      <c r="B90" s="382" t="s">
        <v>418</v>
      </c>
      <c r="C90" s="384">
        <v>752.42</v>
      </c>
      <c r="D90" s="454">
        <v>320</v>
      </c>
      <c r="E90" s="377" t="s">
        <v>320</v>
      </c>
      <c r="F90" s="379">
        <f t="shared" si="4"/>
        <v>1.2178533109007289E-2</v>
      </c>
      <c r="G90" s="377">
        <f t="shared" si="5"/>
        <v>116.46818353468031</v>
      </c>
      <c r="H90" s="377">
        <f t="shared" si="6"/>
        <v>25.623000377629669</v>
      </c>
      <c r="I90" s="377">
        <f>G90*'92'!$C$20/100</f>
        <v>23.163991411697403</v>
      </c>
      <c r="J90" s="377">
        <f>F90*'мат. рул.шиф'!$F$28</f>
        <v>22.885559434397209</v>
      </c>
      <c r="K90" s="402">
        <f t="shared" si="7"/>
        <v>0.25004749310013635</v>
      </c>
    </row>
    <row r="91" spans="1:11" s="425" customFormat="1" ht="10.5" x14ac:dyDescent="0.2">
      <c r="A91" s="381">
        <v>89</v>
      </c>
      <c r="B91" s="382" t="s">
        <v>419</v>
      </c>
      <c r="C91" s="384">
        <v>771.7</v>
      </c>
      <c r="D91" s="454">
        <v>320</v>
      </c>
      <c r="E91" s="377" t="s">
        <v>320</v>
      </c>
      <c r="F91" s="379">
        <f t="shared" si="4"/>
        <v>1.2178533109007289E-2</v>
      </c>
      <c r="G91" s="377">
        <f t="shared" si="5"/>
        <v>116.46818353468031</v>
      </c>
      <c r="H91" s="377">
        <f t="shared" si="6"/>
        <v>25.623000377629669</v>
      </c>
      <c r="I91" s="377">
        <f>G91*'92'!$C$20/100</f>
        <v>23.163991411697403</v>
      </c>
      <c r="J91" s="377">
        <f>F91*'мат. рул.шиф'!$F$28</f>
        <v>22.885559434397209</v>
      </c>
      <c r="K91" s="402">
        <f t="shared" si="7"/>
        <v>0.24380035604302783</v>
      </c>
    </row>
    <row r="92" spans="1:11" s="425" customFormat="1" ht="10.5" x14ac:dyDescent="0.2">
      <c r="A92" s="381">
        <v>90</v>
      </c>
      <c r="B92" s="382" t="s">
        <v>420</v>
      </c>
      <c r="C92" s="384">
        <v>1545</v>
      </c>
      <c r="D92" s="454">
        <v>567</v>
      </c>
      <c r="E92" s="377" t="s">
        <v>320</v>
      </c>
      <c r="F92" s="379">
        <f t="shared" si="4"/>
        <v>2.1578838352522289E-2</v>
      </c>
      <c r="G92" s="377">
        <f t="shared" si="5"/>
        <v>206.36706270051164</v>
      </c>
      <c r="H92" s="377">
        <f t="shared" si="6"/>
        <v>45.400753794112561</v>
      </c>
      <c r="I92" s="377">
        <f>G92*'92'!$C$20/100</f>
        <v>41.043697282601336</v>
      </c>
      <c r="J92" s="377">
        <f>F92*'мат. рул.шиф'!$F$28</f>
        <v>40.550350622822549</v>
      </c>
      <c r="K92" s="402">
        <f t="shared" si="7"/>
        <v>0.21576819702268482</v>
      </c>
    </row>
    <row r="93" spans="1:11" s="425" customFormat="1" ht="10.5" x14ac:dyDescent="0.2">
      <c r="A93" s="381">
        <v>91</v>
      </c>
      <c r="B93" s="382" t="s">
        <v>421</v>
      </c>
      <c r="C93" s="384">
        <v>769.7</v>
      </c>
      <c r="D93" s="454">
        <v>320</v>
      </c>
      <c r="E93" s="377" t="s">
        <v>320</v>
      </c>
      <c r="F93" s="379">
        <f t="shared" si="4"/>
        <v>1.2178533109007289E-2</v>
      </c>
      <c r="G93" s="377">
        <f t="shared" si="5"/>
        <v>116.46818353468031</v>
      </c>
      <c r="H93" s="377">
        <f t="shared" si="6"/>
        <v>25.623000377629669</v>
      </c>
      <c r="I93" s="377">
        <f>G93*'92'!$C$20/100</f>
        <v>23.163991411697403</v>
      </c>
      <c r="J93" s="377">
        <f>F93*'мат. рул.шиф'!$F$28</f>
        <v>22.885559434397209</v>
      </c>
      <c r="K93" s="402">
        <f t="shared" si="7"/>
        <v>0.24443385053709832</v>
      </c>
    </row>
    <row r="94" spans="1:11" s="425" customFormat="1" ht="10.5" x14ac:dyDescent="0.2">
      <c r="A94" s="381">
        <v>92</v>
      </c>
      <c r="B94" s="382" t="s">
        <v>422</v>
      </c>
      <c r="C94" s="384">
        <v>776.9</v>
      </c>
      <c r="D94" s="454">
        <v>320</v>
      </c>
      <c r="E94" s="377" t="s">
        <v>320</v>
      </c>
      <c r="F94" s="379">
        <f t="shared" si="4"/>
        <v>1.2178533109007289E-2</v>
      </c>
      <c r="G94" s="377">
        <f t="shared" si="5"/>
        <v>116.46818353468031</v>
      </c>
      <c r="H94" s="377">
        <f t="shared" si="6"/>
        <v>25.623000377629669</v>
      </c>
      <c r="I94" s="377">
        <f>G94*'92'!$C$20/100</f>
        <v>23.163991411697403</v>
      </c>
      <c r="J94" s="377">
        <f>F94*'мат. рул.шиф'!$F$28</f>
        <v>22.885559434397209</v>
      </c>
      <c r="K94" s="402">
        <f t="shared" si="7"/>
        <v>0.24216853489304235</v>
      </c>
    </row>
    <row r="95" spans="1:11" s="425" customFormat="1" ht="10.5" x14ac:dyDescent="0.2">
      <c r="A95" s="381">
        <v>93</v>
      </c>
      <c r="B95" s="382" t="s">
        <v>423</v>
      </c>
      <c r="C95" s="384">
        <v>1935.6</v>
      </c>
      <c r="D95" s="454">
        <v>717.2</v>
      </c>
      <c r="E95" s="377" t="s">
        <v>596</v>
      </c>
      <c r="F95" s="379">
        <f t="shared" si="4"/>
        <v>2.7295137330562588E-2</v>
      </c>
      <c r="G95" s="377">
        <f t="shared" si="5"/>
        <v>261.03431634710222</v>
      </c>
      <c r="H95" s="377">
        <f t="shared" si="6"/>
        <v>57.427549596362489</v>
      </c>
      <c r="I95" s="377">
        <f>G95*'92'!$C$20/100</f>
        <v>51.916295751466805</v>
      </c>
      <c r="J95" s="377">
        <f>F95*'мат. рул.шиф'!$F$28</f>
        <v>51.292260082342743</v>
      </c>
      <c r="K95" s="402">
        <f t="shared" si="7"/>
        <v>0.21784998025277655</v>
      </c>
    </row>
    <row r="96" spans="1:11" s="425" customFormat="1" ht="10.5" x14ac:dyDescent="0.2">
      <c r="A96" s="381">
        <v>94</v>
      </c>
      <c r="B96" s="382" t="s">
        <v>424</v>
      </c>
      <c r="C96" s="384">
        <v>1513.72</v>
      </c>
      <c r="D96" s="454">
        <v>654</v>
      </c>
      <c r="E96" s="377" t="s">
        <v>320</v>
      </c>
      <c r="F96" s="379">
        <f t="shared" si="4"/>
        <v>2.4889877041533646E-2</v>
      </c>
      <c r="G96" s="377">
        <f t="shared" si="5"/>
        <v>238.03185009900287</v>
      </c>
      <c r="H96" s="377">
        <f t="shared" si="6"/>
        <v>52.36700702178063</v>
      </c>
      <c r="I96" s="377">
        <f>G96*'92'!$C$20/100</f>
        <v>47.341407447656564</v>
      </c>
      <c r="J96" s="377">
        <f>F96*'мат. рул.шиф'!$F$28</f>
        <v>46.772362094049292</v>
      </c>
      <c r="K96" s="402">
        <f t="shared" si="7"/>
        <v>0.2540183301155361</v>
      </c>
    </row>
    <row r="97" spans="1:11" s="425" customFormat="1" ht="10.5" x14ac:dyDescent="0.2">
      <c r="A97" s="381">
        <v>95</v>
      </c>
      <c r="B97" s="382" t="s">
        <v>425</v>
      </c>
      <c r="C97" s="384">
        <v>1500.3</v>
      </c>
      <c r="D97" s="454">
        <v>677.3</v>
      </c>
      <c r="E97" s="377" t="s">
        <v>320</v>
      </c>
      <c r="F97" s="379">
        <f t="shared" si="4"/>
        <v>2.5776626483533238E-2</v>
      </c>
      <c r="G97" s="377">
        <f t="shared" si="5"/>
        <v>246.51218971262176</v>
      </c>
      <c r="H97" s="377">
        <f t="shared" si="6"/>
        <v>54.232681736776783</v>
      </c>
      <c r="I97" s="377">
        <f>G97*'92'!$C$20/100</f>
        <v>49.028035572320775</v>
      </c>
      <c r="J97" s="377">
        <f>F97*'мат. рул.шиф'!$F$28</f>
        <v>48.438716890366337</v>
      </c>
      <c r="K97" s="402">
        <f>((G97+H97+I97+J97)/C97)*70/100</f>
        <v>0.18579493217253881</v>
      </c>
    </row>
    <row r="98" spans="1:11" s="425" customFormat="1" ht="10.5" x14ac:dyDescent="0.2">
      <c r="A98" s="381">
        <v>96</v>
      </c>
      <c r="B98" s="382" t="s">
        <v>426</v>
      </c>
      <c r="C98" s="384">
        <v>735.9</v>
      </c>
      <c r="D98" s="454">
        <v>249</v>
      </c>
      <c r="E98" s="377" t="s">
        <v>320</v>
      </c>
      <c r="F98" s="379">
        <f t="shared" si="4"/>
        <v>9.4764210754462973E-3</v>
      </c>
      <c r="G98" s="377">
        <f t="shared" si="5"/>
        <v>90.626805312923111</v>
      </c>
      <c r="H98" s="377">
        <f t="shared" si="6"/>
        <v>19.937897168843087</v>
      </c>
      <c r="I98" s="377">
        <f>G98*'92'!$C$20/100</f>
        <v>18.024480817227044</v>
      </c>
      <c r="J98" s="377">
        <f>F98*'мат. рул.шиф'!$F$28</f>
        <v>17.807825934890328</v>
      </c>
      <c r="K98" s="402">
        <f t="shared" si="7"/>
        <v>0.19893600928642965</v>
      </c>
    </row>
    <row r="99" spans="1:11" s="425" customFormat="1" ht="10.5" x14ac:dyDescent="0.2">
      <c r="A99" s="381">
        <v>97</v>
      </c>
      <c r="B99" s="382" t="s">
        <v>427</v>
      </c>
      <c r="C99" s="384">
        <v>757.7</v>
      </c>
      <c r="D99" s="454">
        <v>249</v>
      </c>
      <c r="E99" s="377" t="s">
        <v>320</v>
      </c>
      <c r="F99" s="379">
        <f t="shared" si="4"/>
        <v>9.4764210754462973E-3</v>
      </c>
      <c r="G99" s="377">
        <f t="shared" si="5"/>
        <v>90.626805312923111</v>
      </c>
      <c r="H99" s="377">
        <f t="shared" si="6"/>
        <v>19.937897168843087</v>
      </c>
      <c r="I99" s="377">
        <f>G99*'92'!$C$20/100</f>
        <v>18.024480817227044</v>
      </c>
      <c r="J99" s="377">
        <f>F99*'мат. рул.шиф'!$F$28</f>
        <v>17.807825934890328</v>
      </c>
      <c r="K99" s="402">
        <f t="shared" si="7"/>
        <v>0.19321236536080713</v>
      </c>
    </row>
    <row r="100" spans="1:11" s="425" customFormat="1" ht="10.5" x14ac:dyDescent="0.2">
      <c r="A100" s="381">
        <v>98</v>
      </c>
      <c r="B100" s="382" t="s">
        <v>428</v>
      </c>
      <c r="C100" s="384">
        <v>1915.15</v>
      </c>
      <c r="D100" s="454">
        <v>843.6</v>
      </c>
      <c r="E100" s="377" t="s">
        <v>320</v>
      </c>
      <c r="F100" s="379">
        <f t="shared" si="4"/>
        <v>3.2105657908620466E-2</v>
      </c>
      <c r="G100" s="377">
        <f t="shared" si="5"/>
        <v>307.03924884330098</v>
      </c>
      <c r="H100" s="377">
        <f t="shared" si="6"/>
        <v>67.548634745526215</v>
      </c>
      <c r="I100" s="377">
        <f>G100*'92'!$C$20/100</f>
        <v>61.066072359087286</v>
      </c>
      <c r="J100" s="377">
        <f>F100*'мат. рул.шиф'!$F$28</f>
        <v>60.332056058929638</v>
      </c>
      <c r="K100" s="402">
        <f t="shared" si="7"/>
        <v>0.25898024280439869</v>
      </c>
    </row>
    <row r="101" spans="1:11" s="425" customFormat="1" ht="10.5" x14ac:dyDescent="0.2">
      <c r="A101" s="381">
        <v>99</v>
      </c>
      <c r="B101" s="382" t="s">
        <v>429</v>
      </c>
      <c r="C101" s="384">
        <v>1544.5</v>
      </c>
      <c r="D101" s="454">
        <v>582.70000000000005</v>
      </c>
      <c r="E101" s="377" t="s">
        <v>596</v>
      </c>
      <c r="F101" s="379">
        <f t="shared" si="4"/>
        <v>2.2176347633182963E-2</v>
      </c>
      <c r="G101" s="377">
        <f t="shared" si="5"/>
        <v>212.08128295518193</v>
      </c>
      <c r="H101" s="377">
        <f t="shared" si="6"/>
        <v>46.657882250140027</v>
      </c>
      <c r="I101" s="377">
        <f>G101*'92'!$C$20/100</f>
        <v>42.180180611237745</v>
      </c>
      <c r="J101" s="377">
        <f>F101*'мат. рул.шиф'!$F$28</f>
        <v>41.673173382572671</v>
      </c>
      <c r="K101" s="402">
        <f t="shared" si="7"/>
        <v>0.2218145155060747</v>
      </c>
    </row>
    <row r="102" spans="1:11" s="425" customFormat="1" ht="10.5" x14ac:dyDescent="0.2">
      <c r="A102" s="381">
        <v>100</v>
      </c>
      <c r="B102" s="382" t="s">
        <v>430</v>
      </c>
      <c r="C102" s="384">
        <v>1552.3</v>
      </c>
      <c r="D102" s="454">
        <v>563.9</v>
      </c>
      <c r="E102" s="377" t="s">
        <v>596</v>
      </c>
      <c r="F102" s="379">
        <f t="shared" si="4"/>
        <v>2.1460858813028783E-2</v>
      </c>
      <c r="G102" s="377">
        <f t="shared" si="5"/>
        <v>205.23877717251946</v>
      </c>
      <c r="H102" s="377">
        <f t="shared" si="6"/>
        <v>45.152530977954285</v>
      </c>
      <c r="I102" s="377">
        <f>G102*'92'!$C$20/100</f>
        <v>40.819296115800519</v>
      </c>
      <c r="J102" s="377">
        <f>F102*'мат. рул.шиф'!$F$28</f>
        <v>40.328646765801828</v>
      </c>
      <c r="K102" s="402">
        <f t="shared" si="7"/>
        <v>0.21357936676678227</v>
      </c>
    </row>
    <row r="103" spans="1:11" s="425" customFormat="1" ht="10.5" x14ac:dyDescent="0.2">
      <c r="A103" s="381">
        <v>101</v>
      </c>
      <c r="B103" s="382" t="s">
        <v>431</v>
      </c>
      <c r="C103" s="384">
        <v>1287.0999999999999</v>
      </c>
      <c r="D103" s="454">
        <v>705</v>
      </c>
      <c r="E103" s="377" t="s">
        <v>320</v>
      </c>
      <c r="F103" s="379">
        <f t="shared" si="4"/>
        <v>2.6830830755781684E-2</v>
      </c>
      <c r="G103" s="377">
        <f t="shared" si="5"/>
        <v>256.59396684984256</v>
      </c>
      <c r="H103" s="377">
        <f t="shared" si="6"/>
        <v>56.450672706965364</v>
      </c>
      <c r="I103" s="377">
        <f>G103*'92'!$C$20/100</f>
        <v>51.033168578895847</v>
      </c>
      <c r="J103" s="377">
        <f>F103*'мат. рул.шиф'!$F$28</f>
        <v>50.419748128906349</v>
      </c>
      <c r="K103" s="402">
        <f t="shared" si="7"/>
        <v>0.322039900757214</v>
      </c>
    </row>
    <row r="104" spans="1:11" s="425" customFormat="1" ht="10.5" x14ac:dyDescent="0.2">
      <c r="A104" s="381">
        <v>102</v>
      </c>
      <c r="B104" s="382" t="s">
        <v>432</v>
      </c>
      <c r="C104" s="384">
        <v>3473.9</v>
      </c>
      <c r="D104" s="454">
        <v>786.7</v>
      </c>
      <c r="E104" s="377" t="s">
        <v>596</v>
      </c>
      <c r="F104" s="379">
        <f t="shared" si="4"/>
        <v>2.9940162490175108E-2</v>
      </c>
      <c r="G104" s="377">
        <f t="shared" si="5"/>
        <v>286.32974995854062</v>
      </c>
      <c r="H104" s="377">
        <f t="shared" si="6"/>
        <v>62.992544990878933</v>
      </c>
      <c r="I104" s="377">
        <f>G104*'92'!$C$20/100</f>
        <v>56.947225136194838</v>
      </c>
      <c r="J104" s="377">
        <f>F104*'мат. рул.шиф'!$F$28</f>
        <v>56.262717522000891</v>
      </c>
      <c r="K104" s="402">
        <f t="shared" si="7"/>
        <v>0.13314494879173702</v>
      </c>
    </row>
    <row r="105" spans="1:11" s="425" customFormat="1" ht="10.5" x14ac:dyDescent="0.2">
      <c r="A105" s="381">
        <v>103</v>
      </c>
      <c r="B105" s="382" t="s">
        <v>433</v>
      </c>
      <c r="C105" s="384">
        <v>1838.18</v>
      </c>
      <c r="D105" s="454">
        <v>711</v>
      </c>
      <c r="E105" s="377" t="s">
        <v>320</v>
      </c>
      <c r="F105" s="379">
        <f t="shared" si="4"/>
        <v>2.7059178251575569E-2</v>
      </c>
      <c r="G105" s="377">
        <f t="shared" si="5"/>
        <v>258.77774529111781</v>
      </c>
      <c r="H105" s="377">
        <f t="shared" si="6"/>
        <v>56.931103964045917</v>
      </c>
      <c r="I105" s="377">
        <f>G105*'92'!$C$20/100</f>
        <v>51.467493417865171</v>
      </c>
      <c r="J105" s="377">
        <f>F105*'мат. рул.шиф'!$F$28</f>
        <v>50.848852368301294</v>
      </c>
      <c r="K105" s="402">
        <f t="shared" si="7"/>
        <v>0.22741254667188751</v>
      </c>
    </row>
    <row r="106" spans="1:11" s="425" customFormat="1" ht="10.5" x14ac:dyDescent="0.2">
      <c r="A106" s="381">
        <v>104</v>
      </c>
      <c r="B106" s="382" t="s">
        <v>434</v>
      </c>
      <c r="C106" s="384">
        <v>4517.6000000000004</v>
      </c>
      <c r="D106" s="454">
        <v>1544</v>
      </c>
      <c r="E106" s="377" t="s">
        <v>596</v>
      </c>
      <c r="F106" s="379">
        <f t="shared" si="4"/>
        <v>5.876142225096017E-2</v>
      </c>
      <c r="G106" s="377">
        <f t="shared" si="5"/>
        <v>561.95898555483245</v>
      </c>
      <c r="H106" s="377">
        <f t="shared" si="6"/>
        <v>123.63097682206313</v>
      </c>
      <c r="I106" s="377">
        <f>G106*'92'!$C$20/100</f>
        <v>111.76625856143997</v>
      </c>
      <c r="J106" s="377">
        <f>F106*'мат. рул.шиф'!$F$28</f>
        <v>110.42282427096653</v>
      </c>
      <c r="K106" s="402">
        <f t="shared" si="7"/>
        <v>0.20094276722359261</v>
      </c>
    </row>
    <row r="107" spans="1:11" s="425" customFormat="1" ht="10.5" x14ac:dyDescent="0.2">
      <c r="A107" s="381">
        <v>105</v>
      </c>
      <c r="B107" s="382" t="s">
        <v>435</v>
      </c>
      <c r="C107" s="384">
        <v>4524.9399999999996</v>
      </c>
      <c r="D107" s="454">
        <v>1179.5999999999999</v>
      </c>
      <c r="E107" s="377" t="s">
        <v>596</v>
      </c>
      <c r="F107" s="379">
        <f t="shared" si="4"/>
        <v>4.4893117673078117E-2</v>
      </c>
      <c r="G107" s="377">
        <f t="shared" si="5"/>
        <v>429.33084155471528</v>
      </c>
      <c r="H107" s="377">
        <f t="shared" si="6"/>
        <v>94.452785142037357</v>
      </c>
      <c r="I107" s="377">
        <f>G107*'92'!$C$20/100</f>
        <v>85.388263341369552</v>
      </c>
      <c r="J107" s="377">
        <f>F107*'мат. рул.шиф'!$F$28</f>
        <v>84.361893465046705</v>
      </c>
      <c r="K107" s="402">
        <f t="shared" si="7"/>
        <v>0.15326916677418242</v>
      </c>
    </row>
    <row r="108" spans="1:11" s="425" customFormat="1" ht="10.5" x14ac:dyDescent="0.2">
      <c r="A108" s="381">
        <v>106</v>
      </c>
      <c r="B108" s="382" t="s">
        <v>436</v>
      </c>
      <c r="C108" s="384">
        <v>4742.2700000000004</v>
      </c>
      <c r="D108" s="454">
        <v>1307.0999999999999</v>
      </c>
      <c r="E108" s="377" t="s">
        <v>596</v>
      </c>
      <c r="F108" s="379">
        <f t="shared" si="4"/>
        <v>4.9745501958698209E-2</v>
      </c>
      <c r="G108" s="377">
        <f t="shared" si="5"/>
        <v>475.73613343181444</v>
      </c>
      <c r="H108" s="377">
        <f t="shared" si="6"/>
        <v>104.66194935499918</v>
      </c>
      <c r="I108" s="377">
        <f>G108*'92'!$C$20/100</f>
        <v>94.617666169467739</v>
      </c>
      <c r="J108" s="377">
        <f>F108*'мат. рул.шиф'!$F$28</f>
        <v>93.480358552189344</v>
      </c>
      <c r="K108" s="402">
        <f t="shared" si="7"/>
        <v>0.16205237312689294</v>
      </c>
    </row>
    <row r="109" spans="1:11" s="425" customFormat="1" ht="10.5" x14ac:dyDescent="0.2">
      <c r="A109" s="381">
        <v>107</v>
      </c>
      <c r="B109" s="382" t="s">
        <v>437</v>
      </c>
      <c r="C109" s="384">
        <v>2538.3000000000002</v>
      </c>
      <c r="D109" s="454">
        <v>986</v>
      </c>
      <c r="E109" s="377" t="s">
        <v>596</v>
      </c>
      <c r="F109" s="379">
        <f t="shared" si="4"/>
        <v>3.7525105142128708E-2</v>
      </c>
      <c r="G109" s="377">
        <f t="shared" si="5"/>
        <v>358.86759051623369</v>
      </c>
      <c r="H109" s="377">
        <f t="shared" si="6"/>
        <v>78.95086991357141</v>
      </c>
      <c r="I109" s="377">
        <f>G109*'92'!$C$20/100</f>
        <v>71.374048537292623</v>
      </c>
      <c r="J109" s="377">
        <f>F109*'мат. рул.шиф'!$F$28</f>
        <v>70.516130007236399</v>
      </c>
      <c r="K109" s="402">
        <f t="shared" si="7"/>
        <v>0.22838460346465511</v>
      </c>
    </row>
    <row r="110" spans="1:11" s="425" customFormat="1" ht="10.5" x14ac:dyDescent="0.2">
      <c r="A110" s="381">
        <v>108</v>
      </c>
      <c r="B110" s="382" t="s">
        <v>438</v>
      </c>
      <c r="C110" s="384">
        <v>4452.8999999999996</v>
      </c>
      <c r="D110" s="454">
        <v>1356</v>
      </c>
      <c r="E110" s="377" t="s">
        <v>596</v>
      </c>
      <c r="F110" s="379">
        <f t="shared" si="4"/>
        <v>5.1606534049418389E-2</v>
      </c>
      <c r="G110" s="377">
        <f t="shared" si="5"/>
        <v>493.5339277282078</v>
      </c>
      <c r="H110" s="377">
        <f t="shared" si="6"/>
        <v>108.57746410020573</v>
      </c>
      <c r="I110" s="377">
        <f>G110*'92'!$C$20/100</f>
        <v>98.157413607067753</v>
      </c>
      <c r="J110" s="377">
        <f>F110*'мат. рул.шиф'!$F$28</f>
        <v>96.977558103258175</v>
      </c>
      <c r="K110" s="402">
        <f t="shared" si="7"/>
        <v>0.17903980856043017</v>
      </c>
    </row>
    <row r="111" spans="1:11" s="425" customFormat="1" ht="10.5" x14ac:dyDescent="0.2">
      <c r="A111" s="381">
        <v>109</v>
      </c>
      <c r="B111" s="382" t="s">
        <v>439</v>
      </c>
      <c r="C111" s="384">
        <v>1573.08</v>
      </c>
      <c r="D111" s="454">
        <v>531.79999999999995</v>
      </c>
      <c r="E111" s="377" t="s">
        <v>596</v>
      </c>
      <c r="F111" s="379">
        <f t="shared" si="4"/>
        <v>2.0239199710531487E-2</v>
      </c>
      <c r="G111" s="377">
        <f t="shared" si="5"/>
        <v>193.55556251169682</v>
      </c>
      <c r="H111" s="377">
        <f t="shared" si="6"/>
        <v>42.582223752573299</v>
      </c>
      <c r="I111" s="377">
        <f>G111*'92'!$C$20/100</f>
        <v>38.495658227314621</v>
      </c>
      <c r="J111" s="377">
        <f>F111*'мат. рул.шиф'!$F$28</f>
        <v>38.032939085038855</v>
      </c>
      <c r="K111" s="402">
        <f t="shared" si="7"/>
        <v>0.19876063746066544</v>
      </c>
    </row>
    <row r="112" spans="1:11" s="425" customFormat="1" ht="10.5" x14ac:dyDescent="0.2">
      <c r="A112" s="381">
        <v>110</v>
      </c>
      <c r="B112" s="382" t="s">
        <v>440</v>
      </c>
      <c r="C112" s="384">
        <v>3168.45</v>
      </c>
      <c r="D112" s="454">
        <v>902</v>
      </c>
      <c r="E112" s="377" t="s">
        <v>596</v>
      </c>
      <c r="F112" s="379">
        <f t="shared" si="4"/>
        <v>3.4328240201014298E-2</v>
      </c>
      <c r="G112" s="377">
        <f t="shared" si="5"/>
        <v>328.29469233838012</v>
      </c>
      <c r="H112" s="377">
        <f t="shared" si="6"/>
        <v>72.224832314443631</v>
      </c>
      <c r="I112" s="377">
        <f>G112*'92'!$C$20/100</f>
        <v>65.293500791722053</v>
      </c>
      <c r="J112" s="377">
        <f>F112*'мат. рул.шиф'!$F$28</f>
        <v>64.508670655707135</v>
      </c>
      <c r="K112" s="402">
        <f t="shared" si="7"/>
        <v>0.1673757503196367</v>
      </c>
    </row>
    <row r="113" spans="1:11" s="425" customFormat="1" ht="10.5" x14ac:dyDescent="0.2">
      <c r="A113" s="381">
        <v>111</v>
      </c>
      <c r="B113" s="382" t="s">
        <v>441</v>
      </c>
      <c r="C113" s="384">
        <v>3182.6</v>
      </c>
      <c r="D113" s="454">
        <v>909.2</v>
      </c>
      <c r="E113" s="377" t="s">
        <v>596</v>
      </c>
      <c r="F113" s="379">
        <f t="shared" si="4"/>
        <v>3.4602257195966962E-2</v>
      </c>
      <c r="G113" s="377">
        <f t="shared" si="5"/>
        <v>330.91522646791043</v>
      </c>
      <c r="H113" s="377">
        <f t="shared" si="6"/>
        <v>72.801349822940296</v>
      </c>
      <c r="I113" s="377">
        <f>G113*'92'!$C$20/100</f>
        <v>65.814690598485242</v>
      </c>
      <c r="J113" s="377">
        <f>F113*'мат. рул.шиф'!$F$28</f>
        <v>65.023595742981072</v>
      </c>
      <c r="K113" s="402">
        <f t="shared" si="7"/>
        <v>0.16796168624153746</v>
      </c>
    </row>
    <row r="114" spans="1:11" s="425" customFormat="1" ht="10.5" x14ac:dyDescent="0.2">
      <c r="A114" s="381">
        <v>112</v>
      </c>
      <c r="B114" s="382" t="s">
        <v>442</v>
      </c>
      <c r="C114" s="384">
        <v>2283.1999999999998</v>
      </c>
      <c r="D114" s="454">
        <v>332</v>
      </c>
      <c r="E114" s="377" t="s">
        <v>596</v>
      </c>
      <c r="F114" s="379">
        <f t="shared" si="4"/>
        <v>1.2635228100595062E-2</v>
      </c>
      <c r="G114" s="377">
        <f t="shared" si="5"/>
        <v>120.83574041723081</v>
      </c>
      <c r="H114" s="377">
        <f t="shared" si="6"/>
        <v>26.583862891790776</v>
      </c>
      <c r="I114" s="377">
        <f>G114*'92'!$C$20/100</f>
        <v>24.032641089636055</v>
      </c>
      <c r="J114" s="377">
        <f>F114*'мат. рул.шиф'!$F$28</f>
        <v>23.743767913187103</v>
      </c>
      <c r="K114" s="402">
        <f t="shared" si="7"/>
        <v>8.5492296913036434E-2</v>
      </c>
    </row>
    <row r="115" spans="1:11" s="425" customFormat="1" ht="10.5" x14ac:dyDescent="0.2">
      <c r="A115" s="381">
        <v>113</v>
      </c>
      <c r="B115" s="382" t="s">
        <v>443</v>
      </c>
      <c r="C115" s="384">
        <v>1091.7</v>
      </c>
      <c r="D115" s="454">
        <v>489.5</v>
      </c>
      <c r="E115" s="377" t="s">
        <v>596</v>
      </c>
      <c r="F115" s="379">
        <f t="shared" si="4"/>
        <v>1.8629349865184587E-2</v>
      </c>
      <c r="G115" s="377">
        <f t="shared" si="5"/>
        <v>178.15992450070627</v>
      </c>
      <c r="H115" s="377">
        <f t="shared" si="6"/>
        <v>39.195183390155378</v>
      </c>
      <c r="I115" s="377">
        <f>G115*'92'!$C$20/100</f>
        <v>35.433668112580868</v>
      </c>
      <c r="J115" s="377">
        <f>F115*'мат. рул.шиф'!$F$28</f>
        <v>35.007754197304479</v>
      </c>
      <c r="K115" s="402">
        <f t="shared" si="7"/>
        <v>0.26362235980649168</v>
      </c>
    </row>
    <row r="116" spans="1:11" s="425" customFormat="1" ht="10.5" x14ac:dyDescent="0.2">
      <c r="A116" s="381">
        <v>114</v>
      </c>
      <c r="B116" s="382" t="s">
        <v>444</v>
      </c>
      <c r="C116" s="384">
        <v>1733.3</v>
      </c>
      <c r="D116" s="454">
        <v>471.2</v>
      </c>
      <c r="E116" s="377" t="s">
        <v>596</v>
      </c>
      <c r="F116" s="379">
        <f t="shared" si="4"/>
        <v>1.7932890003013232E-2</v>
      </c>
      <c r="G116" s="377">
        <f t="shared" si="5"/>
        <v>171.49940025481675</v>
      </c>
      <c r="H116" s="377">
        <f t="shared" si="6"/>
        <v>37.729868056059686</v>
      </c>
      <c r="I116" s="377">
        <f>G116*'92'!$C$20/100</f>
        <v>34.108977353724427</v>
      </c>
      <c r="J116" s="377">
        <f>F116*'мат. рул.шиф'!$F$28</f>
        <v>33.698986267149884</v>
      </c>
      <c r="K116" s="402">
        <f t="shared" si="7"/>
        <v>0.15983224596535553</v>
      </c>
    </row>
    <row r="117" spans="1:11" s="425" customFormat="1" ht="10.5" x14ac:dyDescent="0.2">
      <c r="A117" s="381">
        <v>115</v>
      </c>
      <c r="B117" s="382" t="s">
        <v>445</v>
      </c>
      <c r="C117" s="384">
        <v>1752.82</v>
      </c>
      <c r="D117" s="454">
        <v>471.2</v>
      </c>
      <c r="E117" s="377" t="s">
        <v>596</v>
      </c>
      <c r="F117" s="379">
        <f t="shared" si="4"/>
        <v>1.7932890003013232E-2</v>
      </c>
      <c r="G117" s="377">
        <f t="shared" si="5"/>
        <v>171.49940025481675</v>
      </c>
      <c r="H117" s="377">
        <f t="shared" si="6"/>
        <v>37.729868056059686</v>
      </c>
      <c r="I117" s="377">
        <f>G117*'92'!$C$20/100</f>
        <v>34.108977353724427</v>
      </c>
      <c r="J117" s="377">
        <f>F117*'мат. рул.шиф'!$F$28</f>
        <v>33.698986267149884</v>
      </c>
      <c r="K117" s="402">
        <f t="shared" si="7"/>
        <v>0.15805229968379569</v>
      </c>
    </row>
    <row r="118" spans="1:11" s="425" customFormat="1" ht="10.5" x14ac:dyDescent="0.2">
      <c r="A118" s="381">
        <v>116</v>
      </c>
      <c r="B118" s="382" t="s">
        <v>446</v>
      </c>
      <c r="C118" s="384">
        <v>3688.59</v>
      </c>
      <c r="D118" s="454">
        <v>1035.3</v>
      </c>
      <c r="E118" s="377" t="s">
        <v>596</v>
      </c>
      <c r="F118" s="379">
        <f t="shared" si="4"/>
        <v>3.9401360399235141E-2</v>
      </c>
      <c r="G118" s="377">
        <f t="shared" si="5"/>
        <v>376.81097004204531</v>
      </c>
      <c r="H118" s="377">
        <f t="shared" si="6"/>
        <v>82.898413409249969</v>
      </c>
      <c r="I118" s="377">
        <f>G118*'92'!$C$20/100</f>
        <v>74.942750964157241</v>
      </c>
      <c r="J118" s="377">
        <f>F118*'мат. рул.шиф'!$F$28</f>
        <v>74.041936507598209</v>
      </c>
      <c r="K118" s="402">
        <f t="shared" si="7"/>
        <v>0.1650207995258488</v>
      </c>
    </row>
    <row r="119" spans="1:11" s="425" customFormat="1" ht="10.5" x14ac:dyDescent="0.2">
      <c r="A119" s="381">
        <v>117</v>
      </c>
      <c r="B119" s="382" t="s">
        <v>447</v>
      </c>
      <c r="C119" s="384">
        <v>3868.13</v>
      </c>
      <c r="D119" s="454">
        <v>1140.7</v>
      </c>
      <c r="E119" s="377" t="s">
        <v>596</v>
      </c>
      <c r="F119" s="379">
        <f t="shared" si="4"/>
        <v>4.3412664742014419E-2</v>
      </c>
      <c r="G119" s="377">
        <f t="shared" si="5"/>
        <v>415.17267799378067</v>
      </c>
      <c r="H119" s="377">
        <f t="shared" si="6"/>
        <v>91.337989158631757</v>
      </c>
      <c r="I119" s="377">
        <f>G119*'92'!$C$20/100</f>
        <v>82.572390635385077</v>
      </c>
      <c r="J119" s="377">
        <f>F119*'мат. рул.шиф'!$F$28</f>
        <v>81.579867646302787</v>
      </c>
      <c r="K119" s="402">
        <f>((G119+H119+I119+J119)/C119)*10/100</f>
        <v>1.7338169229940571E-2</v>
      </c>
    </row>
    <row r="120" spans="1:11" s="425" customFormat="1" ht="10.5" x14ac:dyDescent="0.2">
      <c r="A120" s="381">
        <v>118</v>
      </c>
      <c r="B120" s="382" t="s">
        <v>448</v>
      </c>
      <c r="C120" s="384">
        <v>2821.38</v>
      </c>
      <c r="D120" s="454">
        <v>643.79999999999995</v>
      </c>
      <c r="E120" s="377" t="s">
        <v>596</v>
      </c>
      <c r="F120" s="379">
        <f t="shared" si="4"/>
        <v>2.4501686298684038E-2</v>
      </c>
      <c r="G120" s="377">
        <f t="shared" si="5"/>
        <v>234.31942674883493</v>
      </c>
      <c r="H120" s="377">
        <f t="shared" si="6"/>
        <v>51.550273884743682</v>
      </c>
      <c r="I120" s="377">
        <f>G120*'92'!$C$20/100</f>
        <v>46.603055221408709</v>
      </c>
      <c r="J120" s="377">
        <f>F120*'мат. рул.шиф'!$F$28</f>
        <v>46.042884887077875</v>
      </c>
      <c r="K120" s="402">
        <f t="shared" si="7"/>
        <v>0.13415975187392878</v>
      </c>
    </row>
    <row r="121" spans="1:11" s="425" customFormat="1" ht="10.5" x14ac:dyDescent="0.2">
      <c r="A121" s="381">
        <v>119</v>
      </c>
      <c r="B121" s="382" t="s">
        <v>449</v>
      </c>
      <c r="C121" s="384">
        <v>4277.29</v>
      </c>
      <c r="D121" s="454">
        <v>921.8</v>
      </c>
      <c r="E121" s="377" t="s">
        <v>596</v>
      </c>
      <c r="F121" s="379">
        <f t="shared" si="4"/>
        <v>3.5081786937134117E-2</v>
      </c>
      <c r="G121" s="377">
        <f t="shared" si="5"/>
        <v>335.50116119458841</v>
      </c>
      <c r="H121" s="377">
        <f t="shared" si="6"/>
        <v>73.810255462809451</v>
      </c>
      <c r="I121" s="377">
        <f>G121*'92'!$C$20/100</f>
        <v>66.726772760320813</v>
      </c>
      <c r="J121" s="377">
        <f>F121*'мат. рул.шиф'!$F$28</f>
        <v>65.924714645710452</v>
      </c>
      <c r="K121" s="402">
        <f>((G121+H121+I121+J121)/C121)*10/100</f>
        <v>1.2670707482154098E-2</v>
      </c>
    </row>
    <row r="122" spans="1:11" s="425" customFormat="1" ht="10.5" x14ac:dyDescent="0.2">
      <c r="A122" s="381">
        <v>120</v>
      </c>
      <c r="B122" s="382" t="s">
        <v>450</v>
      </c>
      <c r="C122" s="384">
        <v>2171.3000000000002</v>
      </c>
      <c r="D122" s="454">
        <v>500</v>
      </c>
      <c r="E122" s="377" t="s">
        <v>596</v>
      </c>
      <c r="F122" s="379">
        <f t="shared" si="4"/>
        <v>1.9028957982823887E-2</v>
      </c>
      <c r="G122" s="377">
        <f t="shared" si="5"/>
        <v>181.98153677293797</v>
      </c>
      <c r="H122" s="377">
        <f t="shared" si="6"/>
        <v>40.035938090046351</v>
      </c>
      <c r="I122" s="377">
        <f>G122*'92'!$C$20/100</f>
        <v>36.193736580777191</v>
      </c>
      <c r="J122" s="377">
        <f>F122*'мат. рул.шиф'!$F$28</f>
        <v>35.758686616245633</v>
      </c>
      <c r="K122" s="402">
        <f t="shared" si="7"/>
        <v>0.13538889055404923</v>
      </c>
    </row>
    <row r="123" spans="1:11" s="425" customFormat="1" ht="10.5" x14ac:dyDescent="0.2">
      <c r="A123" s="381">
        <v>121</v>
      </c>
      <c r="B123" s="382" t="s">
        <v>451</v>
      </c>
      <c r="C123" s="384">
        <v>5707.1</v>
      </c>
      <c r="D123" s="454">
        <v>1253</v>
      </c>
      <c r="E123" s="377" t="s">
        <v>596</v>
      </c>
      <c r="F123" s="379">
        <f t="shared" si="4"/>
        <v>4.7686568704956668E-2</v>
      </c>
      <c r="G123" s="377">
        <f t="shared" si="5"/>
        <v>456.04573115298257</v>
      </c>
      <c r="H123" s="377">
        <f t="shared" si="6"/>
        <v>100.33006085365616</v>
      </c>
      <c r="I123" s="377">
        <f>G123*'92'!$C$20/100</f>
        <v>90.701503871427647</v>
      </c>
      <c r="J123" s="377">
        <f>F123*'мат. рул.шиф'!$F$28</f>
        <v>89.611268660311566</v>
      </c>
      <c r="K123" s="402">
        <f t="shared" si="7"/>
        <v>0.12908282044092059</v>
      </c>
    </row>
    <row r="124" spans="1:11" s="425" customFormat="1" ht="10.5" x14ac:dyDescent="0.2">
      <c r="A124" s="381">
        <v>122</v>
      </c>
      <c r="B124" s="382" t="s">
        <v>452</v>
      </c>
      <c r="C124" s="384">
        <v>1727.35</v>
      </c>
      <c r="D124" s="454">
        <v>491.3</v>
      </c>
      <c r="E124" s="377" t="s">
        <v>596</v>
      </c>
      <c r="F124" s="379">
        <f t="shared" si="4"/>
        <v>1.8697854113922753E-2</v>
      </c>
      <c r="G124" s="377">
        <f t="shared" si="5"/>
        <v>178.81505803308886</v>
      </c>
      <c r="H124" s="377">
        <f t="shared" si="6"/>
        <v>39.339312767279552</v>
      </c>
      <c r="I124" s="377">
        <f>G124*'92'!$C$20/100</f>
        <v>35.563965564271669</v>
      </c>
      <c r="J124" s="377">
        <f>F124*'мат. рул.шиф'!$F$28</f>
        <v>35.13648546912296</v>
      </c>
      <c r="K124" s="402">
        <f>((G124+H124+I124+J124)/C124)*10/100</f>
        <v>1.6722425787116857E-2</v>
      </c>
    </row>
    <row r="125" spans="1:11" s="425" customFormat="1" ht="10.5" x14ac:dyDescent="0.2">
      <c r="A125" s="381">
        <v>123</v>
      </c>
      <c r="B125" s="382" t="s">
        <v>453</v>
      </c>
      <c r="C125" s="384">
        <v>2522.5500000000002</v>
      </c>
      <c r="D125" s="454">
        <v>912.6</v>
      </c>
      <c r="E125" s="377" t="s">
        <v>596</v>
      </c>
      <c r="F125" s="379">
        <f t="shared" si="4"/>
        <v>3.4731654110250164E-2</v>
      </c>
      <c r="G125" s="377">
        <f t="shared" si="5"/>
        <v>332.1527009179664</v>
      </c>
      <c r="H125" s="377">
        <f t="shared" si="6"/>
        <v>73.073594201952616</v>
      </c>
      <c r="I125" s="377">
        <f>G125*'92'!$C$20/100</f>
        <v>66.060808007234542</v>
      </c>
      <c r="J125" s="377">
        <f>F125*'мат. рул.шиф'!$F$28</f>
        <v>65.266754811971538</v>
      </c>
      <c r="K125" s="402">
        <f t="shared" si="7"/>
        <v>0.21270296245431214</v>
      </c>
    </row>
    <row r="126" spans="1:11" s="425" customFormat="1" ht="10.5" x14ac:dyDescent="0.2">
      <c r="A126" s="381">
        <v>124</v>
      </c>
      <c r="B126" s="382" t="s">
        <v>454</v>
      </c>
      <c r="C126" s="384">
        <v>2516.6999999999998</v>
      </c>
      <c r="D126" s="454">
        <v>912.6</v>
      </c>
      <c r="E126" s="377" t="s">
        <v>320</v>
      </c>
      <c r="F126" s="379">
        <f t="shared" si="4"/>
        <v>3.4731654110250164E-2</v>
      </c>
      <c r="G126" s="377">
        <f t="shared" si="5"/>
        <v>332.1527009179664</v>
      </c>
      <c r="H126" s="377">
        <f t="shared" si="6"/>
        <v>73.073594201952616</v>
      </c>
      <c r="I126" s="377">
        <f>G126*'92'!$C$20/100</f>
        <v>66.060808007234542</v>
      </c>
      <c r="J126" s="377">
        <f>F126*'мат. рул.шиф'!$F$28</f>
        <v>65.266754811971538</v>
      </c>
      <c r="K126" s="402">
        <f t="shared" si="7"/>
        <v>0.21319738464621335</v>
      </c>
    </row>
    <row r="127" spans="1:11" s="425" customFormat="1" ht="10.5" x14ac:dyDescent="0.2">
      <c r="A127" s="381">
        <v>125</v>
      </c>
      <c r="B127" s="382" t="s">
        <v>455</v>
      </c>
      <c r="C127" s="384">
        <v>1774.47</v>
      </c>
      <c r="D127" s="454">
        <v>452.4</v>
      </c>
      <c r="E127" s="377" t="s">
        <v>596</v>
      </c>
      <c r="F127" s="379">
        <f t="shared" si="4"/>
        <v>1.7217401182859055E-2</v>
      </c>
      <c r="G127" s="377">
        <f t="shared" si="5"/>
        <v>164.65689447215428</v>
      </c>
      <c r="H127" s="377">
        <f t="shared" si="6"/>
        <v>36.224516783873945</v>
      </c>
      <c r="I127" s="377">
        <f>G127*'92'!$C$20/100</f>
        <v>32.748092858287208</v>
      </c>
      <c r="J127" s="377">
        <f>F127*'мат. рул.шиф'!$F$28</f>
        <v>32.354459650379049</v>
      </c>
      <c r="K127" s="402">
        <f t="shared" si="7"/>
        <v>0.1498948777746</v>
      </c>
    </row>
    <row r="128" spans="1:11" s="425" customFormat="1" ht="10.5" x14ac:dyDescent="0.2">
      <c r="A128" s="381">
        <v>126</v>
      </c>
      <c r="B128" s="382" t="s">
        <v>456</v>
      </c>
      <c r="C128" s="384">
        <v>1727.7</v>
      </c>
      <c r="D128" s="454">
        <v>454.9</v>
      </c>
      <c r="E128" s="377" t="s">
        <v>596</v>
      </c>
      <c r="F128" s="379">
        <f t="shared" si="4"/>
        <v>1.7312545972773173E-2</v>
      </c>
      <c r="G128" s="377">
        <f t="shared" si="5"/>
        <v>165.56680215601895</v>
      </c>
      <c r="H128" s="377">
        <f t="shared" si="6"/>
        <v>36.424696474324172</v>
      </c>
      <c r="I128" s="377">
        <f>G128*'92'!$C$20/100</f>
        <v>32.929061541191089</v>
      </c>
      <c r="J128" s="377">
        <f>F128*'мат. рул.шиф'!$F$28</f>
        <v>32.533253083460281</v>
      </c>
      <c r="K128" s="402">
        <f t="shared" si="7"/>
        <v>0.15480338788851911</v>
      </c>
    </row>
    <row r="129" spans="1:11" s="425" customFormat="1" ht="10.5" x14ac:dyDescent="0.2">
      <c r="A129" s="381">
        <v>127</v>
      </c>
      <c r="B129" s="382" t="s">
        <v>457</v>
      </c>
      <c r="C129" s="384">
        <v>3216.3</v>
      </c>
      <c r="D129" s="454">
        <v>785</v>
      </c>
      <c r="E129" s="377" t="s">
        <v>596</v>
      </c>
      <c r="F129" s="379">
        <f t="shared" si="4"/>
        <v>2.9875464033033504E-2</v>
      </c>
      <c r="G129" s="377">
        <f t="shared" si="5"/>
        <v>285.71101273351258</v>
      </c>
      <c r="H129" s="377">
        <f t="shared" si="6"/>
        <v>62.856422801372766</v>
      </c>
      <c r="I129" s="377">
        <f>G129*'92'!$C$20/100</f>
        <v>56.824166431820188</v>
      </c>
      <c r="J129" s="377">
        <f>F129*'мат. рул.шиф'!$F$28</f>
        <v>56.141137987505644</v>
      </c>
      <c r="K129" s="402">
        <f>((G129+H129+I129+J129)/C129)*30/100</f>
        <v>4.3049411431229478E-2</v>
      </c>
    </row>
    <row r="130" spans="1:11" s="425" customFormat="1" ht="10.5" x14ac:dyDescent="0.2">
      <c r="A130" s="381">
        <v>128</v>
      </c>
      <c r="B130" s="382" t="s">
        <v>458</v>
      </c>
      <c r="C130" s="384">
        <v>3895.1</v>
      </c>
      <c r="D130" s="454">
        <v>1264.5</v>
      </c>
      <c r="E130" s="377" t="s">
        <v>596</v>
      </c>
      <c r="F130" s="379">
        <f t="shared" si="4"/>
        <v>4.8124234738561616E-2</v>
      </c>
      <c r="G130" s="377">
        <f t="shared" si="5"/>
        <v>460.23130649876015</v>
      </c>
      <c r="H130" s="377">
        <f t="shared" si="6"/>
        <v>101.25088742972723</v>
      </c>
      <c r="I130" s="377">
        <f>G130*'92'!$C$20/100</f>
        <v>91.533959812785525</v>
      </c>
      <c r="J130" s="377">
        <f>F130*'мат. рул.шиф'!$F$28</f>
        <v>90.433718452485223</v>
      </c>
      <c r="K130" s="402">
        <f t="shared" si="7"/>
        <v>0.19086798084612927</v>
      </c>
    </row>
    <row r="131" spans="1:11" s="425" customFormat="1" ht="10.5" x14ac:dyDescent="0.2">
      <c r="A131" s="381">
        <v>129</v>
      </c>
      <c r="B131" s="382" t="s">
        <v>459</v>
      </c>
      <c r="C131" s="384">
        <v>4002.8</v>
      </c>
      <c r="D131" s="454">
        <v>1159.5</v>
      </c>
      <c r="E131" s="377" t="s">
        <v>596</v>
      </c>
      <c r="F131" s="379">
        <f t="shared" ref="F131:F154" si="8">D131/$F$163</f>
        <v>4.41281535621686E-2</v>
      </c>
      <c r="G131" s="377">
        <f t="shared" ref="G131:G160" si="9">F131*$G$163</f>
        <v>422.01518377644317</v>
      </c>
      <c r="H131" s="377">
        <f t="shared" si="6"/>
        <v>92.843340430817491</v>
      </c>
      <c r="I131" s="377">
        <f>G131*'92'!$C$20/100</f>
        <v>83.93327513082231</v>
      </c>
      <c r="J131" s="377">
        <f>F131*'мат. рул.шиф'!$F$28</f>
        <v>82.924394263073637</v>
      </c>
      <c r="K131" s="402">
        <f>((G131+H131+I131+J131)/C131)*10/100</f>
        <v>1.7030983151822637E-2</v>
      </c>
    </row>
    <row r="132" spans="1:11" s="425" customFormat="1" ht="10.5" x14ac:dyDescent="0.2">
      <c r="A132" s="381">
        <v>130</v>
      </c>
      <c r="B132" s="382" t="s">
        <v>460</v>
      </c>
      <c r="C132" s="384">
        <v>3852.63</v>
      </c>
      <c r="D132" s="454">
        <v>1159.5</v>
      </c>
      <c r="E132" s="377" t="s">
        <v>596</v>
      </c>
      <c r="F132" s="379">
        <f t="shared" si="8"/>
        <v>4.41281535621686E-2</v>
      </c>
      <c r="G132" s="377">
        <f t="shared" si="9"/>
        <v>422.01518377644317</v>
      </c>
      <c r="H132" s="377">
        <f t="shared" ref="H132:H160" si="10">G132*22/100</f>
        <v>92.843340430817491</v>
      </c>
      <c r="I132" s="377">
        <f>G132*'92'!$C$20/100</f>
        <v>83.93327513082231</v>
      </c>
      <c r="J132" s="377">
        <f>F132*'мат. рул.шиф'!$F$28</f>
        <v>82.924394263073637</v>
      </c>
      <c r="K132" s="402">
        <f>((G132+H132+I132+J132)/C132)*10/100</f>
        <v>1.7694826484794968E-2</v>
      </c>
    </row>
    <row r="133" spans="1:11" s="425" customFormat="1" ht="10.5" x14ac:dyDescent="0.2">
      <c r="A133" s="381">
        <v>131</v>
      </c>
      <c r="B133" s="382" t="s">
        <v>461</v>
      </c>
      <c r="C133" s="384">
        <v>3560.4</v>
      </c>
      <c r="D133" s="454">
        <v>998.4</v>
      </c>
      <c r="E133" s="377" t="s">
        <v>596</v>
      </c>
      <c r="F133" s="379">
        <f t="shared" si="8"/>
        <v>3.7997023300102739E-2</v>
      </c>
      <c r="G133" s="377">
        <f t="shared" si="9"/>
        <v>363.38073262820251</v>
      </c>
      <c r="H133" s="377">
        <f t="shared" si="10"/>
        <v>79.943761178204554</v>
      </c>
      <c r="I133" s="377">
        <f>G133*'92'!$C$20/100</f>
        <v>72.271653204495891</v>
      </c>
      <c r="J133" s="377">
        <f>F133*'мат. рул.шиф'!$F$28</f>
        <v>71.402945435319282</v>
      </c>
      <c r="K133" s="402">
        <f>((G133+H133+I133+J133)/C133)*10/100</f>
        <v>1.6486886092748631E-2</v>
      </c>
    </row>
    <row r="134" spans="1:11" s="425" customFormat="1" ht="10.5" x14ac:dyDescent="0.2">
      <c r="A134" s="381">
        <v>132</v>
      </c>
      <c r="B134" s="382" t="s">
        <v>462</v>
      </c>
      <c r="C134" s="384">
        <v>944.7</v>
      </c>
      <c r="D134" s="454">
        <v>365.8</v>
      </c>
      <c r="E134" s="377" t="s">
        <v>320</v>
      </c>
      <c r="F134" s="379">
        <f t="shared" si="8"/>
        <v>1.3921585660233958E-2</v>
      </c>
      <c r="G134" s="377">
        <f t="shared" si="9"/>
        <v>133.13769230308142</v>
      </c>
      <c r="H134" s="377">
        <f t="shared" si="10"/>
        <v>29.290292306677912</v>
      </c>
      <c r="I134" s="377">
        <f>G134*'92'!$C$20/100</f>
        <v>26.479337682496592</v>
      </c>
      <c r="J134" s="377">
        <f>F134*'мат. рул.шиф'!$F$28</f>
        <v>26.161055128445309</v>
      </c>
      <c r="K134" s="402">
        <f>((G134+H134+I134+J134)/C134)*10/100</f>
        <v>2.2765785690769685E-2</v>
      </c>
    </row>
    <row r="135" spans="1:11" s="425" customFormat="1" ht="10.5" x14ac:dyDescent="0.2">
      <c r="A135" s="381">
        <v>133</v>
      </c>
      <c r="B135" s="382" t="s">
        <v>463</v>
      </c>
      <c r="C135" s="384">
        <v>2428.5</v>
      </c>
      <c r="D135" s="454">
        <v>571.6</v>
      </c>
      <c r="E135" s="377" t="s">
        <v>596</v>
      </c>
      <c r="F135" s="379">
        <f t="shared" si="8"/>
        <v>2.1753904765964272E-2</v>
      </c>
      <c r="G135" s="377">
        <f t="shared" si="9"/>
        <v>208.0412928388227</v>
      </c>
      <c r="H135" s="377">
        <f t="shared" si="10"/>
        <v>45.769084424540999</v>
      </c>
      <c r="I135" s="377">
        <f>G135*'92'!$C$20/100</f>
        <v>41.376679659144486</v>
      </c>
      <c r="J135" s="377">
        <f>F135*'мат. рул.шиф'!$F$28</f>
        <v>40.879330539692013</v>
      </c>
      <c r="K135" s="402">
        <f t="shared" ref="K135:K161" si="11">((G135+H135+I135+J135)/C135)</f>
        <v>0.13838434731818003</v>
      </c>
    </row>
    <row r="136" spans="1:11" s="425" customFormat="1" ht="10.5" x14ac:dyDescent="0.2">
      <c r="A136" s="381">
        <v>134</v>
      </c>
      <c r="B136" s="382" t="s">
        <v>464</v>
      </c>
      <c r="C136" s="384">
        <v>4861.91</v>
      </c>
      <c r="D136" s="454">
        <v>987.6</v>
      </c>
      <c r="E136" s="377" t="s">
        <v>596</v>
      </c>
      <c r="F136" s="379">
        <f t="shared" si="8"/>
        <v>3.7585997807673743E-2</v>
      </c>
      <c r="G136" s="377">
        <f t="shared" si="9"/>
        <v>359.44993143390707</v>
      </c>
      <c r="H136" s="377">
        <f t="shared" si="10"/>
        <v>79.078984915459557</v>
      </c>
      <c r="I136" s="377">
        <f>G136*'92'!$C$20/100</f>
        <v>71.4898684943511</v>
      </c>
      <c r="J136" s="377">
        <f>F136*'мат. рул.шиф'!$F$28</f>
        <v>70.630557804408383</v>
      </c>
      <c r="K136" s="402">
        <f>((G136+H136+I136+J136)/C136)*40/100</f>
        <v>4.7771295038215526E-2</v>
      </c>
    </row>
    <row r="137" spans="1:11" s="425" customFormat="1" ht="10.5" x14ac:dyDescent="0.2">
      <c r="A137" s="381">
        <v>135</v>
      </c>
      <c r="B137" s="382" t="s">
        <v>465</v>
      </c>
      <c r="C137" s="384">
        <v>3078.77</v>
      </c>
      <c r="D137" s="454">
        <v>840</v>
      </c>
      <c r="E137" s="377" t="s">
        <v>596</v>
      </c>
      <c r="F137" s="379">
        <f t="shared" si="8"/>
        <v>3.1968649411144134E-2</v>
      </c>
      <c r="G137" s="377">
        <f t="shared" si="9"/>
        <v>305.7289817785358</v>
      </c>
      <c r="H137" s="377">
        <f t="shared" si="10"/>
        <v>67.260375991277883</v>
      </c>
      <c r="I137" s="377">
        <f>G137*'92'!$C$20/100</f>
        <v>60.805477455705685</v>
      </c>
      <c r="J137" s="377">
        <f>F137*'мат. рул.шиф'!$F$28</f>
        <v>60.074593515292669</v>
      </c>
      <c r="K137" s="402">
        <f>((G137+H137+I137+J137)/C137)*10/100</f>
        <v>1.6041127747146167E-2</v>
      </c>
    </row>
    <row r="138" spans="1:11" s="425" customFormat="1" ht="10.5" x14ac:dyDescent="0.2">
      <c r="A138" s="381">
        <v>136</v>
      </c>
      <c r="B138" s="382" t="s">
        <v>466</v>
      </c>
      <c r="C138" s="384">
        <v>3188.68</v>
      </c>
      <c r="D138" s="454">
        <v>789</v>
      </c>
      <c r="E138" s="377" t="s">
        <v>596</v>
      </c>
      <c r="F138" s="379">
        <f t="shared" si="8"/>
        <v>3.0027695696896096E-2</v>
      </c>
      <c r="G138" s="377">
        <f t="shared" si="9"/>
        <v>287.16686502769613</v>
      </c>
      <c r="H138" s="377">
        <f t="shared" si="10"/>
        <v>63.176710306093149</v>
      </c>
      <c r="I138" s="377">
        <f>G138*'92'!$C$20/100</f>
        <v>57.113716324466417</v>
      </c>
      <c r="J138" s="377">
        <f>F138*'мат. рул.шиф'!$F$28</f>
        <v>56.427207480435612</v>
      </c>
      <c r="K138" s="402">
        <f t="shared" si="11"/>
        <v>0.14547853630301294</v>
      </c>
    </row>
    <row r="139" spans="1:11" s="425" customFormat="1" ht="10.5" x14ac:dyDescent="0.2">
      <c r="A139" s="381">
        <v>137</v>
      </c>
      <c r="B139" s="382" t="s">
        <v>467</v>
      </c>
      <c r="C139" s="384">
        <v>2782.65</v>
      </c>
      <c r="D139" s="454">
        <v>495</v>
      </c>
      <c r="E139" s="377" t="s">
        <v>596</v>
      </c>
      <c r="F139" s="379">
        <f t="shared" si="8"/>
        <v>1.883866840299565E-2</v>
      </c>
      <c r="G139" s="377">
        <f t="shared" si="9"/>
        <v>180.1617214052086</v>
      </c>
      <c r="H139" s="377">
        <f t="shared" si="10"/>
        <v>39.635578709145896</v>
      </c>
      <c r="I139" s="377">
        <f>G139*'92'!$C$20/100</f>
        <v>35.831799214969422</v>
      </c>
      <c r="J139" s="377">
        <f>F139*'мат. рул.шиф'!$F$28</f>
        <v>35.401099750083183</v>
      </c>
      <c r="K139" s="402">
        <f t="shared" si="11"/>
        <v>0.10458742532456726</v>
      </c>
    </row>
    <row r="140" spans="1:11" s="425" customFormat="1" ht="10.5" x14ac:dyDescent="0.2">
      <c r="A140" s="381">
        <v>138</v>
      </c>
      <c r="B140" s="382" t="s">
        <v>468</v>
      </c>
      <c r="C140" s="384">
        <v>2258.6</v>
      </c>
      <c r="D140" s="454">
        <v>900</v>
      </c>
      <c r="E140" s="377" t="s">
        <v>596</v>
      </c>
      <c r="F140" s="379">
        <f t="shared" si="8"/>
        <v>3.4252124369083002E-2</v>
      </c>
      <c r="G140" s="377">
        <f t="shared" si="9"/>
        <v>327.56676619128837</v>
      </c>
      <c r="H140" s="377">
        <f t="shared" si="10"/>
        <v>72.064688562083433</v>
      </c>
      <c r="I140" s="377">
        <f>G140*'92'!$C$20/100</f>
        <v>65.148725845398943</v>
      </c>
      <c r="J140" s="377">
        <f>F140*'мат. рул.шиф'!$F$28</f>
        <v>64.365635909242144</v>
      </c>
      <c r="K140" s="402">
        <f t="shared" si="11"/>
        <v>0.23428044651908833</v>
      </c>
    </row>
    <row r="141" spans="1:11" s="425" customFormat="1" ht="10.5" x14ac:dyDescent="0.2">
      <c r="A141" s="381">
        <v>139</v>
      </c>
      <c r="B141" s="382" t="s">
        <v>469</v>
      </c>
      <c r="C141" s="384">
        <v>1910</v>
      </c>
      <c r="D141" s="454">
        <v>600</v>
      </c>
      <c r="E141" s="377" t="s">
        <v>596</v>
      </c>
      <c r="F141" s="379">
        <f t="shared" si="8"/>
        <v>2.2834749579388667E-2</v>
      </c>
      <c r="G141" s="377">
        <f t="shared" si="9"/>
        <v>218.37784412752558</v>
      </c>
      <c r="H141" s="377">
        <f t="shared" si="10"/>
        <v>48.043125708055634</v>
      </c>
      <c r="I141" s="377">
        <f>G141*'92'!$C$20/100</f>
        <v>43.432483896932638</v>
      </c>
      <c r="J141" s="377">
        <f>F141*'мат. рул.шиф'!$F$28</f>
        <v>42.910423939494763</v>
      </c>
      <c r="K141" s="402">
        <f t="shared" si="11"/>
        <v>0.18469312967120871</v>
      </c>
    </row>
    <row r="142" spans="1:11" s="425" customFormat="1" ht="10.5" x14ac:dyDescent="0.2">
      <c r="A142" s="381">
        <v>140</v>
      </c>
      <c r="B142" s="382" t="s">
        <v>470</v>
      </c>
      <c r="C142" s="384">
        <v>2522.5</v>
      </c>
      <c r="D142" s="454">
        <v>617.79999999999995</v>
      </c>
      <c r="E142" s="377" t="s">
        <v>596</v>
      </c>
      <c r="F142" s="379">
        <f t="shared" si="8"/>
        <v>2.3512180483577196E-2</v>
      </c>
      <c r="G142" s="377">
        <f t="shared" si="9"/>
        <v>224.85638683664214</v>
      </c>
      <c r="H142" s="377">
        <f t="shared" si="10"/>
        <v>49.468405104061276</v>
      </c>
      <c r="I142" s="377">
        <f>G142*'92'!$C$20/100</f>
        <v>44.720980919208294</v>
      </c>
      <c r="J142" s="377">
        <f>F142*'мат. рул.шиф'!$F$28</f>
        <v>44.18343318303311</v>
      </c>
      <c r="K142" s="402">
        <f>((G142+H142+I142+J142)/C142)*40/100</f>
        <v>5.7598288371527424E-2</v>
      </c>
    </row>
    <row r="143" spans="1:11" s="425" customFormat="1" ht="10.5" x14ac:dyDescent="0.2">
      <c r="A143" s="381">
        <v>141</v>
      </c>
      <c r="B143" s="382" t="s">
        <v>471</v>
      </c>
      <c r="C143" s="384">
        <v>3459.82</v>
      </c>
      <c r="D143" s="454">
        <v>976.4</v>
      </c>
      <c r="E143" s="377" t="s">
        <v>596</v>
      </c>
      <c r="F143" s="379">
        <f t="shared" si="8"/>
        <v>3.7159749148858487E-2</v>
      </c>
      <c r="G143" s="377">
        <f t="shared" si="9"/>
        <v>355.37354501019325</v>
      </c>
      <c r="H143" s="377">
        <f t="shared" si="10"/>
        <v>78.18217990224251</v>
      </c>
      <c r="I143" s="377">
        <f>G143*'92'!$C$20/100</f>
        <v>70.679128794941704</v>
      </c>
      <c r="J143" s="377">
        <f>F143*'мат. рул.шиф'!$F$28</f>
        <v>69.829563224204477</v>
      </c>
      <c r="K143" s="402">
        <f t="shared" si="11"/>
        <v>0.16592320321045081</v>
      </c>
    </row>
    <row r="144" spans="1:11" s="425" customFormat="1" ht="10.5" x14ac:dyDescent="0.2">
      <c r="A144" s="381">
        <v>142</v>
      </c>
      <c r="B144" s="382" t="s">
        <v>472</v>
      </c>
      <c r="C144" s="384">
        <v>1752.03</v>
      </c>
      <c r="D144" s="454">
        <v>484.4</v>
      </c>
      <c r="E144" s="377" t="s">
        <v>596</v>
      </c>
      <c r="F144" s="379">
        <f t="shared" si="8"/>
        <v>1.8435254493759781E-2</v>
      </c>
      <c r="G144" s="377">
        <f t="shared" si="9"/>
        <v>176.30371282562228</v>
      </c>
      <c r="H144" s="377">
        <f t="shared" si="10"/>
        <v>38.786816821636904</v>
      </c>
      <c r="I144" s="377">
        <f>G144*'92'!$C$20/100</f>
        <v>35.064491999456941</v>
      </c>
      <c r="J144" s="377">
        <f>F144*'мат. рул.шиф'!$F$28</f>
        <v>34.643015593818767</v>
      </c>
      <c r="K144" s="402">
        <f t="shared" si="11"/>
        <v>0.16255317388431412</v>
      </c>
    </row>
    <row r="145" spans="1:11" s="425" customFormat="1" ht="10.5" x14ac:dyDescent="0.2">
      <c r="A145" s="381">
        <v>143</v>
      </c>
      <c r="B145" s="382" t="s">
        <v>473</v>
      </c>
      <c r="C145" s="384">
        <v>4953.7</v>
      </c>
      <c r="D145" s="454">
        <v>1930.6</v>
      </c>
      <c r="E145" s="377" t="s">
        <v>596</v>
      </c>
      <c r="F145" s="379">
        <f t="shared" si="8"/>
        <v>7.3474612563279598E-2</v>
      </c>
      <c r="G145" s="377">
        <f t="shared" si="9"/>
        <v>702.6671097876681</v>
      </c>
      <c r="H145" s="377">
        <f t="shared" si="10"/>
        <v>154.58676415328699</v>
      </c>
      <c r="I145" s="377">
        <f>G145*'92'!$C$20/100</f>
        <v>139.75125568569689</v>
      </c>
      <c r="J145" s="377">
        <f>F145*'мат. рул.шиф'!$F$28</f>
        <v>138.07144076264765</v>
      </c>
      <c r="K145" s="402">
        <f>((G145+H145+I145+J145)/C145)*10/100</f>
        <v>2.2913712384466153E-2</v>
      </c>
    </row>
    <row r="146" spans="1:11" s="425" customFormat="1" ht="10.5" x14ac:dyDescent="0.2">
      <c r="A146" s="381">
        <v>144</v>
      </c>
      <c r="B146" s="382" t="s">
        <v>474</v>
      </c>
      <c r="C146" s="384">
        <v>1706.17</v>
      </c>
      <c r="D146" s="454">
        <v>576.6</v>
      </c>
      <c r="E146" s="377" t="s">
        <v>596</v>
      </c>
      <c r="F146" s="379">
        <f t="shared" si="8"/>
        <v>2.1944194345792509E-2</v>
      </c>
      <c r="G146" s="377">
        <f t="shared" si="9"/>
        <v>209.86110820655207</v>
      </c>
      <c r="H146" s="377">
        <f t="shared" si="10"/>
        <v>46.16944380544146</v>
      </c>
      <c r="I146" s="377">
        <f>G146*'92'!$C$20/100</f>
        <v>41.738617024952255</v>
      </c>
      <c r="J146" s="377">
        <f>F146*'мат. рул.шиф'!$F$28</f>
        <v>41.23691740585447</v>
      </c>
      <c r="K146" s="402">
        <f t="shared" si="11"/>
        <v>0.19869420189242587</v>
      </c>
    </row>
    <row r="147" spans="1:11" s="425" customFormat="1" ht="10.5" x14ac:dyDescent="0.2">
      <c r="A147" s="381">
        <v>145</v>
      </c>
      <c r="B147" s="382" t="s">
        <v>475</v>
      </c>
      <c r="C147" s="384">
        <v>1135.3399999999999</v>
      </c>
      <c r="D147" s="454">
        <v>351.2</v>
      </c>
      <c r="E147" s="377" t="s">
        <v>596</v>
      </c>
      <c r="F147" s="379">
        <f t="shared" si="8"/>
        <v>1.3365940087135498E-2</v>
      </c>
      <c r="G147" s="377">
        <f t="shared" si="9"/>
        <v>127.82383142931162</v>
      </c>
      <c r="H147" s="377">
        <f t="shared" si="10"/>
        <v>28.121242914448558</v>
      </c>
      <c r="I147" s="377">
        <f>G147*'92'!$C$20/100</f>
        <v>25.422480574337897</v>
      </c>
      <c r="J147" s="377">
        <f>F147*'мат. рул.шиф'!$F$28</f>
        <v>25.116901479250934</v>
      </c>
      <c r="K147" s="402">
        <f t="shared" si="11"/>
        <v>0.18187015026102227</v>
      </c>
    </row>
    <row r="148" spans="1:11" s="425" customFormat="1" ht="10.5" x14ac:dyDescent="0.2">
      <c r="A148" s="381">
        <v>146</v>
      </c>
      <c r="B148" s="382" t="s">
        <v>476</v>
      </c>
      <c r="C148" s="384">
        <v>1716.28</v>
      </c>
      <c r="D148" s="454">
        <v>449.1</v>
      </c>
      <c r="E148" s="377" t="s">
        <v>596</v>
      </c>
      <c r="F148" s="379">
        <f t="shared" si="8"/>
        <v>1.7091810060172418E-2</v>
      </c>
      <c r="G148" s="377">
        <f t="shared" si="9"/>
        <v>163.45581632945289</v>
      </c>
      <c r="H148" s="377">
        <f t="shared" si="10"/>
        <v>35.960279592479637</v>
      </c>
      <c r="I148" s="377">
        <f>G148*'92'!$C$20/100</f>
        <v>32.509214196854074</v>
      </c>
      <c r="J148" s="377">
        <f>F148*'мат. рул.шиф'!$F$28</f>
        <v>32.118452318711832</v>
      </c>
      <c r="K148" s="402">
        <f t="shared" si="11"/>
        <v>0.15384655326490926</v>
      </c>
    </row>
    <row r="149" spans="1:11" s="425" customFormat="1" ht="13.5" customHeight="1" x14ac:dyDescent="0.2">
      <c r="A149" s="381">
        <v>147</v>
      </c>
      <c r="B149" s="382" t="s">
        <v>477</v>
      </c>
      <c r="C149" s="384">
        <v>2696.17</v>
      </c>
      <c r="D149" s="454">
        <v>591</v>
      </c>
      <c r="E149" s="377" t="s">
        <v>596</v>
      </c>
      <c r="F149" s="379">
        <f t="shared" si="8"/>
        <v>2.2492228335697837E-2</v>
      </c>
      <c r="G149" s="377">
        <f t="shared" si="9"/>
        <v>215.1021764656127</v>
      </c>
      <c r="H149" s="377">
        <f t="shared" si="10"/>
        <v>47.322478822434796</v>
      </c>
      <c r="I149" s="377">
        <f>G149*'92'!$C$20/100</f>
        <v>42.780996638478648</v>
      </c>
      <c r="J149" s="377">
        <f>F149*'мат. рул.шиф'!$F$28</f>
        <v>42.266767580402345</v>
      </c>
      <c r="K149" s="402">
        <f t="shared" si="11"/>
        <v>0.12887630212743578</v>
      </c>
    </row>
    <row r="150" spans="1:11" s="425" customFormat="1" ht="10.5" x14ac:dyDescent="0.2">
      <c r="A150" s="381">
        <v>148</v>
      </c>
      <c r="B150" s="382" t="s">
        <v>478</v>
      </c>
      <c r="C150" s="384">
        <v>1747.74</v>
      </c>
      <c r="D150" s="454">
        <v>634.9</v>
      </c>
      <c r="E150" s="377" t="s">
        <v>320</v>
      </c>
      <c r="F150" s="379">
        <f t="shared" si="8"/>
        <v>2.4162970846589773E-2</v>
      </c>
      <c r="G150" s="377">
        <f t="shared" si="9"/>
        <v>231.08015539427663</v>
      </c>
      <c r="H150" s="377">
        <f t="shared" si="10"/>
        <v>50.837634186740864</v>
      </c>
      <c r="I150" s="377">
        <f>G150*'92'!$C$20/100</f>
        <v>45.958806710270871</v>
      </c>
      <c r="J150" s="377">
        <f>F150*'мат. рул.шиф'!$F$28</f>
        <v>45.406380265308705</v>
      </c>
      <c r="K150" s="402">
        <f t="shared" si="11"/>
        <v>0.21358038183974565</v>
      </c>
    </row>
    <row r="151" spans="1:11" s="425" customFormat="1" ht="10.5" x14ac:dyDescent="0.2">
      <c r="A151" s="381">
        <v>149</v>
      </c>
      <c r="B151" s="382" t="s">
        <v>479</v>
      </c>
      <c r="C151" s="384">
        <v>1129.0999999999999</v>
      </c>
      <c r="D151" s="454">
        <v>342</v>
      </c>
      <c r="E151" s="377" t="s">
        <v>596</v>
      </c>
      <c r="F151" s="379">
        <f t="shared" si="8"/>
        <v>1.301580726025154E-2</v>
      </c>
      <c r="G151" s="377">
        <f t="shared" si="9"/>
        <v>124.47537115268958</v>
      </c>
      <c r="H151" s="377">
        <f t="shared" si="10"/>
        <v>27.384581653591709</v>
      </c>
      <c r="I151" s="377">
        <f>G151*'92'!$C$20/100</f>
        <v>24.7565158212516</v>
      </c>
      <c r="J151" s="377">
        <f>F151*'мат. рул.шиф'!$F$28</f>
        <v>24.458941645512017</v>
      </c>
      <c r="K151" s="402">
        <f t="shared" si="11"/>
        <v>0.17808467830399871</v>
      </c>
    </row>
    <row r="152" spans="1:11" s="425" customFormat="1" ht="10.5" x14ac:dyDescent="0.2">
      <c r="A152" s="381">
        <v>150</v>
      </c>
      <c r="B152" s="382" t="s">
        <v>480</v>
      </c>
      <c r="C152" s="384">
        <v>1724</v>
      </c>
      <c r="D152" s="454">
        <v>461.3</v>
      </c>
      <c r="E152" s="377" t="s">
        <v>596</v>
      </c>
      <c r="F152" s="379">
        <f t="shared" si="8"/>
        <v>1.7556116634953319E-2</v>
      </c>
      <c r="G152" s="377">
        <f t="shared" si="9"/>
        <v>167.89616582671258</v>
      </c>
      <c r="H152" s="377">
        <f t="shared" si="10"/>
        <v>36.937156481876769</v>
      </c>
      <c r="I152" s="377">
        <f>G152*'92'!$C$20/100</f>
        <v>33.39234136942504</v>
      </c>
      <c r="J152" s="377">
        <f>F152*'мат. рул.шиф'!$F$28</f>
        <v>32.990964272148226</v>
      </c>
      <c r="K152" s="402">
        <f t="shared" si="11"/>
        <v>0.15731822966946787</v>
      </c>
    </row>
    <row r="153" spans="1:11" s="425" customFormat="1" ht="10.5" x14ac:dyDescent="0.2">
      <c r="A153" s="381">
        <v>151</v>
      </c>
      <c r="B153" s="382" t="s">
        <v>481</v>
      </c>
      <c r="C153" s="384">
        <v>1775.1</v>
      </c>
      <c r="D153" s="454">
        <v>423.6</v>
      </c>
      <c r="E153" s="377" t="s">
        <v>596</v>
      </c>
      <c r="F153" s="379">
        <f t="shared" si="8"/>
        <v>1.6121333203048399E-2</v>
      </c>
      <c r="G153" s="377">
        <f t="shared" si="9"/>
        <v>154.17475795403305</v>
      </c>
      <c r="H153" s="377">
        <f t="shared" si="10"/>
        <v>33.918446749887273</v>
      </c>
      <c r="I153" s="377">
        <f>G153*'92'!$C$20/100</f>
        <v>30.663333631234437</v>
      </c>
      <c r="J153" s="377">
        <f>F153*'мат. рул.шиф'!$F$28</f>
        <v>30.294759301283303</v>
      </c>
      <c r="K153" s="402">
        <f t="shared" si="11"/>
        <v>0.14030268584104449</v>
      </c>
    </row>
    <row r="154" spans="1:11" s="425" customFormat="1" ht="10.5" x14ac:dyDescent="0.2">
      <c r="A154" s="381">
        <v>152</v>
      </c>
      <c r="B154" s="382" t="s">
        <v>482</v>
      </c>
      <c r="C154" s="384">
        <v>3140.4</v>
      </c>
      <c r="D154" s="454">
        <v>875</v>
      </c>
      <c r="E154" s="377" t="s">
        <v>596</v>
      </c>
      <c r="F154" s="379">
        <f t="shared" si="8"/>
        <v>3.3300676469941802E-2</v>
      </c>
      <c r="G154" s="377">
        <f t="shared" si="9"/>
        <v>318.4676893526414</v>
      </c>
      <c r="H154" s="377">
        <f t="shared" si="10"/>
        <v>70.062891657581119</v>
      </c>
      <c r="I154" s="377">
        <f>G154*'92'!$C$20/100</f>
        <v>63.339039016360076</v>
      </c>
      <c r="J154" s="377">
        <f>F154*'мат. рул.шиф'!$F$28</f>
        <v>62.57770157842986</v>
      </c>
      <c r="K154" s="402">
        <f>((G154+H154+I154+J154)/C154)*10/100</f>
        <v>1.6381585836358823E-2</v>
      </c>
    </row>
    <row r="155" spans="1:11" s="425" customFormat="1" ht="10.5" x14ac:dyDescent="0.2">
      <c r="A155" s="381">
        <v>153</v>
      </c>
      <c r="B155" s="382" t="s">
        <v>483</v>
      </c>
      <c r="C155" s="384">
        <v>6074.77</v>
      </c>
      <c r="D155" s="454">
        <v>665.6</v>
      </c>
      <c r="E155" s="377" t="s">
        <v>596</v>
      </c>
      <c r="F155" s="379">
        <v>2.5000000000000001E-2</v>
      </c>
      <c r="G155" s="377">
        <f t="shared" si="9"/>
        <v>239.08500000000001</v>
      </c>
      <c r="H155" s="377">
        <f t="shared" si="10"/>
        <v>52.598700000000001</v>
      </c>
      <c r="I155" s="377">
        <f>G155*'92'!$C$20/100</f>
        <v>47.550865125466608</v>
      </c>
      <c r="J155" s="377">
        <v>3812</v>
      </c>
      <c r="K155" s="402">
        <f>((G155+H155+I155+J155)/C155)</f>
        <v>0.68335666455280875</v>
      </c>
    </row>
    <row r="156" spans="1:11" s="425" customFormat="1" ht="10.5" x14ac:dyDescent="0.2">
      <c r="A156" s="381">
        <v>154</v>
      </c>
      <c r="B156" s="382" t="s">
        <v>484</v>
      </c>
      <c r="C156" s="384">
        <v>1960.16</v>
      </c>
      <c r="D156" s="454">
        <v>235</v>
      </c>
      <c r="E156" s="377" t="s">
        <v>596</v>
      </c>
      <c r="F156" s="379">
        <v>8.9999999999999993E-3</v>
      </c>
      <c r="G156" s="377">
        <f t="shared" si="9"/>
        <v>86.070599999999985</v>
      </c>
      <c r="H156" s="377">
        <f t="shared" si="10"/>
        <v>18.935531999999995</v>
      </c>
      <c r="I156" s="377">
        <f>G156*'92'!$C$20/100</f>
        <v>17.118311445167976</v>
      </c>
      <c r="J156" s="377">
        <v>880</v>
      </c>
      <c r="K156" s="402">
        <f>((G156+H156+I156+J156)/C156)</f>
        <v>0.51124624696206833</v>
      </c>
    </row>
    <row r="157" spans="1:11" s="425" customFormat="1" ht="10.5" x14ac:dyDescent="0.2">
      <c r="A157" s="381">
        <v>155</v>
      </c>
      <c r="B157" s="382" t="s">
        <v>485</v>
      </c>
      <c r="C157" s="384">
        <v>5972.33</v>
      </c>
      <c r="D157" s="454">
        <v>697</v>
      </c>
      <c r="E157" s="377" t="s">
        <v>596</v>
      </c>
      <c r="F157" s="379">
        <v>2.7E-2</v>
      </c>
      <c r="G157" s="377">
        <f t="shared" si="9"/>
        <v>258.21179999999998</v>
      </c>
      <c r="H157" s="377">
        <f t="shared" si="10"/>
        <v>56.806595999999999</v>
      </c>
      <c r="I157" s="377">
        <f>G157*'92'!$C$20/100</f>
        <v>51.354934335503934</v>
      </c>
      <c r="J157" s="377">
        <v>1547</v>
      </c>
      <c r="K157" s="402">
        <f>((G157+H157+I157+J157)/C157)</f>
        <v>0.32037300858048767</v>
      </c>
    </row>
    <row r="158" spans="1:11" s="425" customFormat="1" ht="10.5" x14ac:dyDescent="0.2">
      <c r="A158" s="381">
        <v>156</v>
      </c>
      <c r="B158" s="382" t="s">
        <v>486</v>
      </c>
      <c r="C158" s="384">
        <v>2589.9</v>
      </c>
      <c r="D158" s="454">
        <v>450</v>
      </c>
      <c r="E158" s="377" t="s">
        <v>596</v>
      </c>
      <c r="F158" s="379">
        <v>1.7000000000000001E-2</v>
      </c>
      <c r="G158" s="377">
        <f t="shared" si="9"/>
        <v>162.5778</v>
      </c>
      <c r="H158" s="377">
        <f t="shared" si="10"/>
        <v>35.767116000000001</v>
      </c>
      <c r="I158" s="377">
        <f>G158*'92'!$C$20/100</f>
        <v>32.334588285317288</v>
      </c>
      <c r="J158" s="377">
        <v>652</v>
      </c>
      <c r="K158" s="402">
        <f>((G158+H158+I158+J158)/C158)</f>
        <v>0.34081605632855216</v>
      </c>
    </row>
    <row r="159" spans="1:11" s="425" customFormat="1" ht="10.5" x14ac:dyDescent="0.2">
      <c r="A159" s="381">
        <v>157</v>
      </c>
      <c r="B159" s="382" t="s">
        <v>487</v>
      </c>
      <c r="C159" s="384">
        <v>3904.03</v>
      </c>
      <c r="D159" s="454">
        <v>440</v>
      </c>
      <c r="E159" s="377" t="s">
        <v>596</v>
      </c>
      <c r="F159" s="379">
        <v>1.7000000000000001E-2</v>
      </c>
      <c r="G159" s="377">
        <f t="shared" si="9"/>
        <v>162.5778</v>
      </c>
      <c r="H159" s="377">
        <f t="shared" si="10"/>
        <v>35.767116000000001</v>
      </c>
      <c r="I159" s="377">
        <f>G159*'92'!$C$20/100</f>
        <v>32.334588285317288</v>
      </c>
      <c r="J159" s="377">
        <v>1123</v>
      </c>
      <c r="K159" s="402">
        <f t="shared" si="11"/>
        <v>0.34673901181223432</v>
      </c>
    </row>
    <row r="160" spans="1:11" s="425" customFormat="1" ht="10.5" x14ac:dyDescent="0.2">
      <c r="A160" s="381">
        <v>158</v>
      </c>
      <c r="B160" s="382" t="s">
        <v>488</v>
      </c>
      <c r="C160" s="384">
        <v>3894.85</v>
      </c>
      <c r="D160" s="454">
        <v>441</v>
      </c>
      <c r="E160" s="377" t="s">
        <v>596</v>
      </c>
      <c r="F160" s="379">
        <v>1.7000000000000001E-2</v>
      </c>
      <c r="G160" s="377">
        <f t="shared" si="9"/>
        <v>162.5778</v>
      </c>
      <c r="H160" s="377">
        <f t="shared" si="10"/>
        <v>35.767116000000001</v>
      </c>
      <c r="I160" s="377">
        <f>G160*'92'!$C$20/100</f>
        <v>32.334588285317288</v>
      </c>
      <c r="J160" s="377">
        <v>1054</v>
      </c>
      <c r="K160" s="402">
        <f>((G160+H160+I160+J160)/C160)</f>
        <v>0.32984055978672283</v>
      </c>
    </row>
    <row r="161" spans="1:22" s="425" customFormat="1" ht="10.5" x14ac:dyDescent="0.2">
      <c r="A161" s="455">
        <v>159</v>
      </c>
      <c r="B161" s="427" t="s">
        <v>22</v>
      </c>
      <c r="C161" s="387">
        <f>SUM(C3:C160)</f>
        <v>264830.12</v>
      </c>
      <c r="D161" s="405">
        <f>SUM(D3:D160)</f>
        <v>105102.97000000002</v>
      </c>
      <c r="E161" s="456"/>
      <c r="F161" s="389">
        <f>'мат. рул.шиф'!D4</f>
        <v>4</v>
      </c>
      <c r="G161" s="387">
        <f>F161*ЗП!N63</f>
        <v>38253.599999999999</v>
      </c>
      <c r="H161" s="387">
        <f>G161*22/100</f>
        <v>8415.7919999999995</v>
      </c>
      <c r="I161" s="387">
        <f>G161*'92'!$C$20/100</f>
        <v>7608.138420074657</v>
      </c>
      <c r="J161" s="456">
        <f>('мат. рул.шиф'!F27+'мат. рул.шиф'!F49)/12</f>
        <v>7542.9383333333344</v>
      </c>
      <c r="K161" s="405">
        <f t="shared" si="11"/>
        <v>0.2334344324331688</v>
      </c>
    </row>
    <row r="162" spans="1:22" ht="11.25" x14ac:dyDescent="0.2">
      <c r="E162" s="49"/>
      <c r="F162" s="167"/>
      <c r="G162" s="263"/>
      <c r="H162" s="263"/>
      <c r="I162" s="338"/>
      <c r="J162" s="338"/>
      <c r="K162" s="250"/>
    </row>
    <row r="163" spans="1:22" ht="11.25" x14ac:dyDescent="0.2">
      <c r="E163" s="49"/>
      <c r="F163" s="167">
        <f>D161/F161</f>
        <v>26275.742500000004</v>
      </c>
      <c r="G163" s="263">
        <f>G161/F161</f>
        <v>9563.4</v>
      </c>
      <c r="H163" s="263"/>
      <c r="I163" s="263"/>
      <c r="J163" s="263"/>
      <c r="K163" s="250"/>
    </row>
    <row r="164" spans="1:22" x14ac:dyDescent="0.2">
      <c r="J164" s="79"/>
    </row>
    <row r="165" spans="1:22" x14ac:dyDescent="0.2">
      <c r="J165" s="79"/>
    </row>
    <row r="166" spans="1:22" s="370" customFormat="1" ht="15.75" customHeight="1" x14ac:dyDescent="0.2">
      <c r="A166" s="422"/>
      <c r="B166" s="364" t="s">
        <v>234</v>
      </c>
      <c r="C166" s="421"/>
      <c r="D166" s="473"/>
      <c r="E166" s="511" t="s">
        <v>648</v>
      </c>
      <c r="F166" s="511"/>
      <c r="G166" s="511"/>
      <c r="H166" s="503"/>
      <c r="I166" s="503"/>
      <c r="J166" s="503"/>
      <c r="K166" s="503"/>
      <c r="L166" s="421"/>
      <c r="M166" s="368"/>
      <c r="N166" s="368"/>
      <c r="O166" s="369"/>
      <c r="P166" s="369"/>
      <c r="Q166" s="369"/>
      <c r="R166" s="369"/>
      <c r="S166" s="369"/>
      <c r="T166" s="368"/>
      <c r="U166" s="368"/>
      <c r="V166" s="369"/>
    </row>
  </sheetData>
  <mergeCells count="3">
    <mergeCell ref="A1:K1"/>
    <mergeCell ref="H166:K166"/>
    <mergeCell ref="E166:G166"/>
  </mergeCells>
  <phoneticPr fontId="2" type="noConversion"/>
  <pageMargins left="0.78740157480314965" right="0.15748031496062992" top="0.15748031496062992" bottom="0.27559055118110237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F35" sqref="F35"/>
    </sheetView>
  </sheetViews>
  <sheetFormatPr defaultRowHeight="12.75" x14ac:dyDescent="0.2"/>
  <cols>
    <col min="1" max="1" width="5.85546875" style="62" customWidth="1"/>
    <col min="2" max="2" width="39.28515625" style="32" customWidth="1"/>
    <col min="3" max="3" width="9.140625" style="31"/>
    <col min="4" max="4" width="10.85546875" style="35" customWidth="1"/>
    <col min="5" max="5" width="9.140625" style="31"/>
    <col min="6" max="6" width="13" style="35" customWidth="1"/>
  </cols>
  <sheetData>
    <row r="1" spans="1:6" ht="39.75" customHeight="1" x14ac:dyDescent="0.2">
      <c r="A1" s="505" t="s">
        <v>624</v>
      </c>
      <c r="B1" s="505"/>
      <c r="C1" s="505"/>
      <c r="D1" s="505"/>
      <c r="E1" s="505"/>
      <c r="F1" s="505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37" t="s">
        <v>96</v>
      </c>
      <c r="F2" s="36" t="s">
        <v>97</v>
      </c>
    </row>
    <row r="3" spans="1:6" ht="25.5" x14ac:dyDescent="0.2">
      <c r="A3" s="67" t="s">
        <v>99</v>
      </c>
      <c r="B3" s="60" t="s">
        <v>279</v>
      </c>
      <c r="C3" s="37" t="s">
        <v>110</v>
      </c>
      <c r="D3" s="36">
        <f>F6</f>
        <v>7.3948635260115578</v>
      </c>
      <c r="E3" s="37"/>
      <c r="F3" s="36"/>
    </row>
    <row r="4" spans="1:6" x14ac:dyDescent="0.2">
      <c r="A4" s="67" t="s">
        <v>100</v>
      </c>
      <c r="B4" s="60" t="s">
        <v>280</v>
      </c>
      <c r="C4" s="37" t="s">
        <v>110</v>
      </c>
      <c r="D4" s="36">
        <v>7</v>
      </c>
      <c r="E4" s="37"/>
      <c r="F4" s="36"/>
    </row>
    <row r="5" spans="1:6" x14ac:dyDescent="0.2">
      <c r="A5" s="67" t="s">
        <v>219</v>
      </c>
      <c r="B5" s="60" t="s">
        <v>313</v>
      </c>
      <c r="C5" s="37" t="s">
        <v>98</v>
      </c>
      <c r="D5" s="36">
        <f>'ПР кон.елем'!D161</f>
        <v>76758.683399999965</v>
      </c>
      <c r="E5" s="37"/>
      <c r="F5" s="36"/>
    </row>
    <row r="6" spans="1:6" ht="25.5" x14ac:dyDescent="0.2">
      <c r="A6" s="67" t="s">
        <v>281</v>
      </c>
      <c r="B6" s="60" t="s">
        <v>314</v>
      </c>
      <c r="C6" s="37" t="s">
        <v>101</v>
      </c>
      <c r="D6" s="36">
        <v>1.6</v>
      </c>
      <c r="E6" s="37"/>
      <c r="F6" s="36">
        <f>(D5*D6/D7)/100</f>
        <v>7.3948635260115578</v>
      </c>
    </row>
    <row r="7" spans="1:6" x14ac:dyDescent="0.2">
      <c r="A7" s="67" t="s">
        <v>297</v>
      </c>
      <c r="B7" s="50" t="s">
        <v>298</v>
      </c>
      <c r="C7" s="37" t="s">
        <v>107</v>
      </c>
      <c r="D7" s="36">
        <v>166.08</v>
      </c>
      <c r="E7" s="37"/>
      <c r="F7" s="36"/>
    </row>
    <row r="8" spans="1:6" x14ac:dyDescent="0.2">
      <c r="A8" s="67" t="s">
        <v>309</v>
      </c>
      <c r="B8" s="61" t="s">
        <v>220</v>
      </c>
      <c r="C8" s="37" t="s">
        <v>17</v>
      </c>
      <c r="D8" s="36">
        <v>10</v>
      </c>
      <c r="E8" s="59"/>
      <c r="F8" s="36"/>
    </row>
    <row r="9" spans="1:6" x14ac:dyDescent="0.2">
      <c r="A9" s="68" t="s">
        <v>3</v>
      </c>
      <c r="B9" s="63" t="s">
        <v>134</v>
      </c>
      <c r="C9" s="37"/>
      <c r="D9" s="36"/>
      <c r="E9" s="37"/>
      <c r="F9" s="64">
        <f>SUM(F10:F12)</f>
        <v>7948.8644733329465</v>
      </c>
    </row>
    <row r="10" spans="1:6" x14ac:dyDescent="0.2">
      <c r="A10" s="67" t="s">
        <v>171</v>
      </c>
      <c r="B10" s="482" t="s">
        <v>630</v>
      </c>
      <c r="C10" s="66" t="s">
        <v>120</v>
      </c>
      <c r="D10" s="93">
        <v>7</v>
      </c>
      <c r="E10" s="483">
        <v>468</v>
      </c>
      <c r="F10" s="36">
        <f>D10*E10</f>
        <v>3276</v>
      </c>
    </row>
    <row r="11" spans="1:6" x14ac:dyDescent="0.2">
      <c r="A11" s="67" t="s">
        <v>172</v>
      </c>
      <c r="B11" s="65" t="s">
        <v>135</v>
      </c>
      <c r="C11" s="66" t="s">
        <v>120</v>
      </c>
      <c r="D11" s="93">
        <v>30</v>
      </c>
      <c r="E11" s="37">
        <v>17</v>
      </c>
      <c r="F11" s="36">
        <f t="shared" ref="F11:F17" si="0">D11*E11</f>
        <v>510</v>
      </c>
    </row>
    <row r="12" spans="1:6" x14ac:dyDescent="0.2">
      <c r="A12" s="67" t="s">
        <v>173</v>
      </c>
      <c r="B12" s="482" t="s">
        <v>633</v>
      </c>
      <c r="C12" s="66" t="s">
        <v>120</v>
      </c>
      <c r="D12" s="93">
        <f>D3</f>
        <v>7.3948635260115578</v>
      </c>
      <c r="E12" s="484">
        <v>562.94000000000005</v>
      </c>
      <c r="F12" s="36">
        <f t="shared" si="0"/>
        <v>4162.8644733329465</v>
      </c>
    </row>
    <row r="13" spans="1:6" x14ac:dyDescent="0.2">
      <c r="A13" s="67" t="s">
        <v>174</v>
      </c>
      <c r="B13" s="482" t="s">
        <v>636</v>
      </c>
      <c r="C13" s="66" t="s">
        <v>120</v>
      </c>
      <c r="D13" s="93">
        <f>D3</f>
        <v>7.3948635260115578</v>
      </c>
      <c r="E13" s="483">
        <v>428</v>
      </c>
      <c r="F13" s="36">
        <f t="shared" si="0"/>
        <v>3165.0015891329467</v>
      </c>
    </row>
    <row r="14" spans="1:6" x14ac:dyDescent="0.2">
      <c r="A14" s="67" t="s">
        <v>175</v>
      </c>
      <c r="B14" s="65" t="s">
        <v>643</v>
      </c>
      <c r="C14" s="66" t="s">
        <v>120</v>
      </c>
      <c r="D14" s="93">
        <v>3</v>
      </c>
      <c r="E14" s="37">
        <v>428</v>
      </c>
      <c r="F14" s="36">
        <f t="shared" si="0"/>
        <v>1284</v>
      </c>
    </row>
    <row r="15" spans="1:6" x14ac:dyDescent="0.2">
      <c r="A15" s="67" t="s">
        <v>176</v>
      </c>
      <c r="B15" s="65" t="s">
        <v>148</v>
      </c>
      <c r="C15" s="66" t="s">
        <v>120</v>
      </c>
      <c r="D15" s="93">
        <v>3</v>
      </c>
      <c r="E15" s="37">
        <v>143</v>
      </c>
      <c r="F15" s="36">
        <f t="shared" si="0"/>
        <v>429</v>
      </c>
    </row>
    <row r="16" spans="1:6" x14ac:dyDescent="0.2">
      <c r="A16" s="67" t="s">
        <v>177</v>
      </c>
      <c r="B16" s="65" t="s">
        <v>644</v>
      </c>
      <c r="C16" s="66" t="s">
        <v>120</v>
      </c>
      <c r="D16" s="93">
        <v>3</v>
      </c>
      <c r="E16" s="37"/>
      <c r="F16" s="36">
        <f t="shared" si="0"/>
        <v>0</v>
      </c>
    </row>
    <row r="17" spans="1:6" x14ac:dyDescent="0.2">
      <c r="A17" s="67" t="s">
        <v>178</v>
      </c>
      <c r="B17" s="487" t="s">
        <v>169</v>
      </c>
      <c r="C17" s="66" t="s">
        <v>120</v>
      </c>
      <c r="D17" s="93">
        <v>3</v>
      </c>
      <c r="E17" s="484">
        <v>723</v>
      </c>
      <c r="F17" s="36">
        <f t="shared" si="0"/>
        <v>2169</v>
      </c>
    </row>
    <row r="18" spans="1:6" x14ac:dyDescent="0.2">
      <c r="A18" s="68" t="s">
        <v>4</v>
      </c>
      <c r="B18" s="63" t="s">
        <v>118</v>
      </c>
      <c r="C18" s="37"/>
      <c r="D18" s="36"/>
      <c r="E18" s="37"/>
      <c r="F18" s="64">
        <f>SUM(F19:F29)</f>
        <v>3700.75</v>
      </c>
    </row>
    <row r="19" spans="1:6" x14ac:dyDescent="0.2">
      <c r="A19" s="67" t="s">
        <v>104</v>
      </c>
      <c r="B19" s="50" t="s">
        <v>221</v>
      </c>
      <c r="C19" s="37" t="s">
        <v>120</v>
      </c>
      <c r="D19" s="36">
        <v>30</v>
      </c>
      <c r="E19" s="37">
        <v>13.34</v>
      </c>
      <c r="F19" s="36">
        <f t="shared" ref="F19:F29" si="1">D19*E19</f>
        <v>400.2</v>
      </c>
    </row>
    <row r="20" spans="1:6" x14ac:dyDescent="0.2">
      <c r="A20" s="67" t="s">
        <v>106</v>
      </c>
      <c r="B20" s="50" t="s">
        <v>222</v>
      </c>
      <c r="C20" s="37" t="s">
        <v>120</v>
      </c>
      <c r="D20" s="36">
        <v>3</v>
      </c>
      <c r="E20" s="37">
        <v>47.5</v>
      </c>
      <c r="F20" s="36">
        <f t="shared" si="1"/>
        <v>142.5</v>
      </c>
    </row>
    <row r="21" spans="1:6" x14ac:dyDescent="0.2">
      <c r="A21" s="67" t="s">
        <v>108</v>
      </c>
      <c r="B21" s="50" t="s">
        <v>223</v>
      </c>
      <c r="C21" s="37" t="s">
        <v>120</v>
      </c>
      <c r="D21" s="36">
        <v>4.5</v>
      </c>
      <c r="E21" s="37">
        <v>26.3</v>
      </c>
      <c r="F21" s="36">
        <f t="shared" si="1"/>
        <v>118.35000000000001</v>
      </c>
    </row>
    <row r="22" spans="1:6" x14ac:dyDescent="0.2">
      <c r="A22" s="67" t="s">
        <v>180</v>
      </c>
      <c r="B22" s="50" t="s">
        <v>224</v>
      </c>
      <c r="C22" s="37" t="s">
        <v>120</v>
      </c>
      <c r="D22" s="36">
        <v>4.5</v>
      </c>
      <c r="E22" s="37">
        <v>28.4</v>
      </c>
      <c r="F22" s="36">
        <f t="shared" si="1"/>
        <v>127.8</v>
      </c>
    </row>
    <row r="23" spans="1:6" x14ac:dyDescent="0.2">
      <c r="A23" s="67" t="s">
        <v>181</v>
      </c>
      <c r="B23" s="50" t="s">
        <v>125</v>
      </c>
      <c r="C23" s="37" t="s">
        <v>120</v>
      </c>
      <c r="D23" s="36">
        <v>45</v>
      </c>
      <c r="E23" s="37">
        <v>6.5</v>
      </c>
      <c r="F23" s="36">
        <f t="shared" si="1"/>
        <v>292.5</v>
      </c>
    </row>
    <row r="24" spans="1:6" x14ac:dyDescent="0.2">
      <c r="A24" s="67" t="s">
        <v>182</v>
      </c>
      <c r="B24" s="50" t="s">
        <v>225</v>
      </c>
      <c r="C24" s="37" t="s">
        <v>120</v>
      </c>
      <c r="D24" s="36">
        <v>12</v>
      </c>
      <c r="E24" s="37">
        <v>14.2</v>
      </c>
      <c r="F24" s="36">
        <f t="shared" si="1"/>
        <v>170.39999999999998</v>
      </c>
    </row>
    <row r="25" spans="1:6" x14ac:dyDescent="0.2">
      <c r="A25" s="67" t="s">
        <v>183</v>
      </c>
      <c r="B25" s="50" t="s">
        <v>226</v>
      </c>
      <c r="C25" s="37" t="s">
        <v>120</v>
      </c>
      <c r="D25" s="36">
        <v>3</v>
      </c>
      <c r="E25" s="37">
        <v>43</v>
      </c>
      <c r="F25" s="36">
        <f t="shared" si="1"/>
        <v>129</v>
      </c>
    </row>
    <row r="26" spans="1:6" x14ac:dyDescent="0.2">
      <c r="A26" s="67" t="s">
        <v>184</v>
      </c>
      <c r="B26" s="50" t="s">
        <v>315</v>
      </c>
      <c r="C26" s="37" t="s">
        <v>120</v>
      </c>
      <c r="D26" s="36">
        <v>2</v>
      </c>
      <c r="E26" s="37">
        <v>53</v>
      </c>
      <c r="F26" s="36">
        <f t="shared" si="1"/>
        <v>106</v>
      </c>
    </row>
    <row r="27" spans="1:6" x14ac:dyDescent="0.2">
      <c r="A27" s="67" t="s">
        <v>185</v>
      </c>
      <c r="B27" s="50" t="s">
        <v>316</v>
      </c>
      <c r="C27" s="37" t="s">
        <v>120</v>
      </c>
      <c r="D27" s="36">
        <v>3</v>
      </c>
      <c r="E27" s="37">
        <v>38</v>
      </c>
      <c r="F27" s="36">
        <f t="shared" si="1"/>
        <v>114</v>
      </c>
    </row>
    <row r="28" spans="1:6" x14ac:dyDescent="0.2">
      <c r="A28" s="67" t="s">
        <v>186</v>
      </c>
      <c r="B28" s="50" t="s">
        <v>317</v>
      </c>
      <c r="C28" s="37" t="s">
        <v>120</v>
      </c>
      <c r="D28" s="36">
        <v>1</v>
      </c>
      <c r="E28" s="37">
        <v>800</v>
      </c>
      <c r="F28" s="36">
        <f t="shared" si="1"/>
        <v>800</v>
      </c>
    </row>
    <row r="29" spans="1:6" x14ac:dyDescent="0.2">
      <c r="A29" s="67" t="s">
        <v>187</v>
      </c>
      <c r="B29" s="50" t="s">
        <v>318</v>
      </c>
      <c r="C29" s="37" t="s">
        <v>120</v>
      </c>
      <c r="D29" s="36">
        <v>1</v>
      </c>
      <c r="E29" s="37">
        <v>1300</v>
      </c>
      <c r="F29" s="36">
        <f t="shared" si="1"/>
        <v>1300</v>
      </c>
    </row>
    <row r="30" spans="1:6" x14ac:dyDescent="0.2">
      <c r="A30" s="68" t="s">
        <v>5</v>
      </c>
      <c r="B30" s="63" t="s">
        <v>646</v>
      </c>
      <c r="C30" s="37" t="s">
        <v>103</v>
      </c>
      <c r="D30" s="36"/>
      <c r="E30" s="37"/>
      <c r="F30" s="36">
        <v>23200</v>
      </c>
    </row>
    <row r="31" spans="1:6" x14ac:dyDescent="0.2">
      <c r="A31" s="68" t="s">
        <v>6</v>
      </c>
      <c r="B31" s="63" t="s">
        <v>137</v>
      </c>
      <c r="C31" s="71" t="s">
        <v>120</v>
      </c>
      <c r="D31" s="64"/>
      <c r="E31" s="71"/>
      <c r="F31" s="64">
        <f>F9+F18+F30</f>
        <v>34849.614473332942</v>
      </c>
    </row>
    <row r="32" spans="1:6" x14ac:dyDescent="0.2">
      <c r="A32" s="72"/>
      <c r="B32" s="73" t="s">
        <v>138</v>
      </c>
      <c r="C32" s="69"/>
      <c r="D32" s="74"/>
      <c r="E32" s="69"/>
      <c r="F32" s="74">
        <f>F31/D3/12</f>
        <v>392.72320972916799</v>
      </c>
    </row>
    <row r="34" spans="1:23" s="81" customFormat="1" ht="15.75" customHeight="1" x14ac:dyDescent="0.2">
      <c r="A34" s="279"/>
      <c r="B34" s="276" t="s">
        <v>234</v>
      </c>
      <c r="C34" s="278"/>
      <c r="D34" s="278"/>
      <c r="E34" s="519" t="s">
        <v>648</v>
      </c>
      <c r="F34" s="519"/>
      <c r="G34" s="519"/>
      <c r="H34" s="510"/>
      <c r="I34" s="510"/>
      <c r="J34" s="510"/>
      <c r="K34" s="510"/>
      <c r="L34" s="510"/>
      <c r="M34" s="278"/>
      <c r="N34" s="245"/>
      <c r="O34" s="245"/>
      <c r="P34" s="105"/>
      <c r="Q34" s="105"/>
      <c r="R34" s="105"/>
      <c r="S34" s="105"/>
      <c r="T34" s="105"/>
      <c r="U34" s="245"/>
      <c r="V34" s="245"/>
      <c r="W34" s="105"/>
    </row>
  </sheetData>
  <mergeCells count="3">
    <mergeCell ref="A1:F1"/>
    <mergeCell ref="H34:L34"/>
    <mergeCell ref="E34:G34"/>
  </mergeCells>
  <phoneticPr fontId="2" type="noConversion"/>
  <pageMargins left="0.78740157480314965" right="0.5118110236220472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65"/>
  <sheetViews>
    <sheetView topLeftCell="A130" zoomScale="120" zoomScaleNormal="120" workbookViewId="0">
      <selection activeCell="E165" sqref="E165:F165"/>
    </sheetView>
  </sheetViews>
  <sheetFormatPr defaultRowHeight="11.25" x14ac:dyDescent="0.2"/>
  <cols>
    <col min="1" max="1" width="4.140625" style="169" customWidth="1"/>
    <col min="2" max="2" width="19" style="210" bestFit="1" customWidth="1"/>
    <col min="3" max="3" width="7.7109375" style="109" customWidth="1"/>
    <col min="4" max="4" width="9" style="265" customWidth="1"/>
    <col min="5" max="5" width="9.140625" style="202" customWidth="1"/>
    <col min="6" max="6" width="7.85546875" style="250" customWidth="1"/>
    <col min="7" max="7" width="7.28515625" style="250" bestFit="1" customWidth="1"/>
    <col min="8" max="8" width="7.42578125" style="260" bestFit="1" customWidth="1"/>
    <col min="9" max="9" width="9" style="250" customWidth="1"/>
    <col min="10" max="10" width="12.7109375" style="250" customWidth="1"/>
  </cols>
  <sheetData>
    <row r="1" spans="1:10" ht="27.75" customHeight="1" x14ac:dyDescent="0.2">
      <c r="A1" s="508" t="s">
        <v>625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ht="67.5" x14ac:dyDescent="0.2">
      <c r="A2" s="88" t="s">
        <v>1</v>
      </c>
      <c r="B2" s="161" t="s">
        <v>0</v>
      </c>
      <c r="C2" s="82" t="s">
        <v>72</v>
      </c>
      <c r="D2" s="87" t="s">
        <v>319</v>
      </c>
      <c r="E2" s="199" t="s">
        <v>228</v>
      </c>
      <c r="F2" s="233" t="s">
        <v>80</v>
      </c>
      <c r="G2" s="233" t="s">
        <v>276</v>
      </c>
      <c r="H2" s="87" t="s">
        <v>75</v>
      </c>
      <c r="I2" s="233" t="s">
        <v>81</v>
      </c>
      <c r="J2" s="233" t="s">
        <v>233</v>
      </c>
    </row>
    <row r="3" spans="1:10" ht="12.75" customHeight="1" x14ac:dyDescent="0.2">
      <c r="A3" s="164">
        <v>1</v>
      </c>
      <c r="B3" s="285" t="s">
        <v>331</v>
      </c>
      <c r="C3" s="339">
        <v>394.86</v>
      </c>
      <c r="D3" s="233">
        <f>[8]Лист1!H5</f>
        <v>73.3</v>
      </c>
      <c r="E3" s="199">
        <f t="shared" ref="E3:E66" si="0">D3/$E$163</f>
        <v>7.0616570327552983E-3</v>
      </c>
      <c r="F3" s="233">
        <f t="shared" ref="F3:F66" si="1">E3*$F$163</f>
        <v>65.779335260115602</v>
      </c>
      <c r="G3" s="233">
        <f>F3*22/100</f>
        <v>14.471453757225431</v>
      </c>
      <c r="H3" s="233">
        <f>F3*'92'!$C$20/100</f>
        <v>13.082645498448697</v>
      </c>
      <c r="I3" s="233">
        <f>E3*мат.кон.елем!$F$32</f>
        <v>2.7732766159102131</v>
      </c>
      <c r="J3" s="233">
        <f>((F3+G3+H3+I3)/C3)</f>
        <v>0.24339439581547878</v>
      </c>
    </row>
    <row r="4" spans="1:10" x14ac:dyDescent="0.2">
      <c r="A4" s="164">
        <v>2</v>
      </c>
      <c r="B4" s="285" t="s">
        <v>332</v>
      </c>
      <c r="C4" s="330">
        <v>326.89999999999998</v>
      </c>
      <c r="D4" s="233">
        <f>[8]Лист1!H6</f>
        <v>73.3</v>
      </c>
      <c r="E4" s="199">
        <f t="shared" si="0"/>
        <v>7.0616570327552983E-3</v>
      </c>
      <c r="F4" s="233">
        <f t="shared" si="1"/>
        <v>65.779335260115602</v>
      </c>
      <c r="G4" s="233">
        <f t="shared" ref="G4:G67" si="2">F4*22/100</f>
        <v>14.471453757225431</v>
      </c>
      <c r="H4" s="233">
        <f>F4*'92'!$C$20/100</f>
        <v>13.082645498448697</v>
      </c>
      <c r="I4" s="233">
        <f>E4*мат.кон.елем!$F$32</f>
        <v>2.7732766159102131</v>
      </c>
      <c r="J4" s="233">
        <f>((F4+G4+H4+I4)/C4)*10/100</f>
        <v>2.9399422187733237E-2</v>
      </c>
    </row>
    <row r="5" spans="1:10" x14ac:dyDescent="0.2">
      <c r="A5" s="164">
        <v>3</v>
      </c>
      <c r="B5" s="285" t="s">
        <v>333</v>
      </c>
      <c r="C5" s="330">
        <v>490.6</v>
      </c>
      <c r="D5" s="233">
        <f>[8]Лист1!$H$16</f>
        <v>146.6</v>
      </c>
      <c r="E5" s="199">
        <f t="shared" si="0"/>
        <v>1.4123314065510597E-2</v>
      </c>
      <c r="F5" s="233">
        <f t="shared" si="1"/>
        <v>131.5586705202312</v>
      </c>
      <c r="G5" s="233">
        <f t="shared" si="2"/>
        <v>28.942907514450862</v>
      </c>
      <c r="H5" s="233">
        <f>F5*'92'!$C$20/100</f>
        <v>26.165290996897394</v>
      </c>
      <c r="I5" s="233">
        <f>E5*мат.кон.елем!$F$32</f>
        <v>5.5465532318204263</v>
      </c>
      <c r="J5" s="233">
        <f t="shared" ref="J5:J65" si="3">((F5+G5+H5+I5)/C5)</f>
        <v>0.39179254436078248</v>
      </c>
    </row>
    <row r="6" spans="1:10" x14ac:dyDescent="0.2">
      <c r="A6" s="164">
        <v>4</v>
      </c>
      <c r="B6" s="285" t="s">
        <v>334</v>
      </c>
      <c r="C6" s="330">
        <v>341.5</v>
      </c>
      <c r="D6" s="233">
        <f>[8]Лист1!$H$14</f>
        <v>73.3</v>
      </c>
      <c r="E6" s="199">
        <f t="shared" si="0"/>
        <v>7.0616570327552983E-3</v>
      </c>
      <c r="F6" s="233">
        <f t="shared" si="1"/>
        <v>65.779335260115602</v>
      </c>
      <c r="G6" s="233">
        <f t="shared" si="2"/>
        <v>14.471453757225431</v>
      </c>
      <c r="H6" s="233">
        <f>F6*'92'!$C$20/100</f>
        <v>13.082645498448697</v>
      </c>
      <c r="I6" s="233">
        <f>E6*мат.кон.елем!$F$32</f>
        <v>2.7732766159102131</v>
      </c>
      <c r="J6" s="233">
        <f t="shared" si="3"/>
        <v>0.28142521561259137</v>
      </c>
    </row>
    <row r="7" spans="1:10" x14ac:dyDescent="0.2">
      <c r="A7" s="164">
        <v>5</v>
      </c>
      <c r="B7" s="285" t="s">
        <v>335</v>
      </c>
      <c r="C7" s="330">
        <v>375.1</v>
      </c>
      <c r="D7" s="233">
        <f>[8]Лист1!$H$15</f>
        <v>73.3</v>
      </c>
      <c r="E7" s="199">
        <f t="shared" si="0"/>
        <v>7.0616570327552983E-3</v>
      </c>
      <c r="F7" s="233">
        <f t="shared" si="1"/>
        <v>65.779335260115602</v>
      </c>
      <c r="G7" s="233">
        <f t="shared" si="2"/>
        <v>14.471453757225431</v>
      </c>
      <c r="H7" s="233">
        <f>F7*'92'!$C$20/100</f>
        <v>13.082645498448697</v>
      </c>
      <c r="I7" s="233">
        <f>E7*мат.кон.елем!$F$32</f>
        <v>2.7732766159102131</v>
      </c>
      <c r="J7" s="233">
        <f t="shared" si="3"/>
        <v>0.25621623868754984</v>
      </c>
    </row>
    <row r="8" spans="1:10" x14ac:dyDescent="0.2">
      <c r="A8" s="164">
        <v>6</v>
      </c>
      <c r="B8" s="285" t="s">
        <v>336</v>
      </c>
      <c r="C8" s="330">
        <v>386.23</v>
      </c>
      <c r="D8" s="233">
        <f>[8]Лист1!$H$92</f>
        <v>167.2</v>
      </c>
      <c r="E8" s="199">
        <f t="shared" si="0"/>
        <v>1.610789980732177E-2</v>
      </c>
      <c r="F8" s="233">
        <f t="shared" si="1"/>
        <v>150.04508670520229</v>
      </c>
      <c r="G8" s="233">
        <f t="shared" si="2"/>
        <v>33.009919075144502</v>
      </c>
      <c r="H8" s="233">
        <f>F8*'92'!$C$20/100</f>
        <v>29.841996280226766</v>
      </c>
      <c r="I8" s="233">
        <f>E8*мат.кон.елем!$F$32</f>
        <v>6.3259461143272526</v>
      </c>
      <c r="J8" s="233">
        <f>((F8+G8+H8+I8)/C8)*10/100</f>
        <v>5.6759689349584655E-2</v>
      </c>
    </row>
    <row r="9" spans="1:10" x14ac:dyDescent="0.2">
      <c r="A9" s="164">
        <v>7</v>
      </c>
      <c r="B9" s="285" t="s">
        <v>337</v>
      </c>
      <c r="C9" s="330">
        <v>917</v>
      </c>
      <c r="D9" s="233">
        <f>[8]Лист1!$H$93</f>
        <v>146.6</v>
      </c>
      <c r="E9" s="199">
        <f t="shared" si="0"/>
        <v>1.4123314065510597E-2</v>
      </c>
      <c r="F9" s="233">
        <f t="shared" si="1"/>
        <v>131.5586705202312</v>
      </c>
      <c r="G9" s="233">
        <f t="shared" si="2"/>
        <v>28.942907514450862</v>
      </c>
      <c r="H9" s="233">
        <f>F9*'92'!$C$20/100</f>
        <v>26.165290996897394</v>
      </c>
      <c r="I9" s="233">
        <f>E9*мат.кон.елем!$F$32</f>
        <v>5.5465532318204263</v>
      </c>
      <c r="J9" s="233">
        <f t="shared" si="3"/>
        <v>0.20961114750643392</v>
      </c>
    </row>
    <row r="10" spans="1:10" x14ac:dyDescent="0.2">
      <c r="A10" s="164">
        <v>8</v>
      </c>
      <c r="B10" s="285" t="s">
        <v>338</v>
      </c>
      <c r="C10" s="330">
        <v>354.4</v>
      </c>
      <c r="D10" s="233">
        <f>[8]Лист1!$H$100</f>
        <v>146.6</v>
      </c>
      <c r="E10" s="199">
        <f t="shared" si="0"/>
        <v>1.4123314065510597E-2</v>
      </c>
      <c r="F10" s="233">
        <f t="shared" si="1"/>
        <v>131.5586705202312</v>
      </c>
      <c r="G10" s="233">
        <f t="shared" si="2"/>
        <v>28.942907514450862</v>
      </c>
      <c r="H10" s="233">
        <f>F10*'92'!$C$20/100</f>
        <v>26.165290996897394</v>
      </c>
      <c r="I10" s="233">
        <f>E10*мат.кон.елем!$F$32</f>
        <v>5.5465532318204263</v>
      </c>
      <c r="J10" s="233">
        <f>((F10+G10+H10+I10)/C10)*10/100</f>
        <v>5.4236292963713295E-2</v>
      </c>
    </row>
    <row r="11" spans="1:10" x14ac:dyDescent="0.2">
      <c r="A11" s="164">
        <v>9</v>
      </c>
      <c r="B11" s="285" t="s">
        <v>339</v>
      </c>
      <c r="C11" s="330">
        <v>634.4</v>
      </c>
      <c r="D11" s="233">
        <f>[8]Лист1!$H$58</f>
        <v>146.6</v>
      </c>
      <c r="E11" s="199">
        <f t="shared" si="0"/>
        <v>1.4123314065510597E-2</v>
      </c>
      <c r="F11" s="233">
        <f t="shared" si="1"/>
        <v>131.5586705202312</v>
      </c>
      <c r="G11" s="233">
        <f t="shared" si="2"/>
        <v>28.942907514450862</v>
      </c>
      <c r="H11" s="233">
        <f>F11*'92'!$C$20/100</f>
        <v>26.165290996897394</v>
      </c>
      <c r="I11" s="233">
        <f>E11*мат.кон.елем!$F$32</f>
        <v>5.5465532318204263</v>
      </c>
      <c r="J11" s="233">
        <f t="shared" si="3"/>
        <v>0.3029845874265446</v>
      </c>
    </row>
    <row r="12" spans="1:10" x14ac:dyDescent="0.2">
      <c r="A12" s="164">
        <v>10</v>
      </c>
      <c r="B12" s="285" t="s">
        <v>340</v>
      </c>
      <c r="C12" s="330">
        <v>637.20000000000005</v>
      </c>
      <c r="D12" s="233">
        <f>[8]Лист1!$H$60</f>
        <v>146.6</v>
      </c>
      <c r="E12" s="199">
        <f t="shared" si="0"/>
        <v>1.4123314065510597E-2</v>
      </c>
      <c r="F12" s="233">
        <f t="shared" si="1"/>
        <v>131.5586705202312</v>
      </c>
      <c r="G12" s="233">
        <f t="shared" si="2"/>
        <v>28.942907514450862</v>
      </c>
      <c r="H12" s="233">
        <f>F12*'92'!$C$20/100</f>
        <v>26.165290996897394</v>
      </c>
      <c r="I12" s="233">
        <f>E12*мат.кон.елем!$F$32</f>
        <v>5.5465532318204263</v>
      </c>
      <c r="J12" s="233">
        <f t="shared" si="3"/>
        <v>0.30165320505869414</v>
      </c>
    </row>
    <row r="13" spans="1:10" x14ac:dyDescent="0.2">
      <c r="A13" s="164">
        <v>11</v>
      </c>
      <c r="B13" s="285" t="s">
        <v>341</v>
      </c>
      <c r="C13" s="330">
        <v>463.8</v>
      </c>
      <c r="D13" s="233">
        <f>[8]Лист1!$H$56</f>
        <v>146.6</v>
      </c>
      <c r="E13" s="199">
        <f t="shared" si="0"/>
        <v>1.4123314065510597E-2</v>
      </c>
      <c r="F13" s="233">
        <f t="shared" si="1"/>
        <v>131.5586705202312</v>
      </c>
      <c r="G13" s="233">
        <f t="shared" si="2"/>
        <v>28.942907514450862</v>
      </c>
      <c r="H13" s="233">
        <f>F13*'92'!$C$20/100</f>
        <v>26.165290996897394</v>
      </c>
      <c r="I13" s="233">
        <f>E13*мат.кон.елем!$F$32</f>
        <v>5.5465532318204263</v>
      </c>
      <c r="J13" s="233">
        <f>((F13+G13+H13+I13)/C13)*10/100</f>
        <v>4.144316995761102E-2</v>
      </c>
    </row>
    <row r="14" spans="1:10" x14ac:dyDescent="0.2">
      <c r="A14" s="164">
        <v>12</v>
      </c>
      <c r="B14" s="285" t="s">
        <v>342</v>
      </c>
      <c r="C14" s="330">
        <v>633.29999999999995</v>
      </c>
      <c r="D14" s="233">
        <f>[8]Лист1!$H$57</f>
        <v>146.6</v>
      </c>
      <c r="E14" s="199">
        <f t="shared" si="0"/>
        <v>1.4123314065510597E-2</v>
      </c>
      <c r="F14" s="233">
        <f t="shared" si="1"/>
        <v>131.5586705202312</v>
      </c>
      <c r="G14" s="233">
        <f t="shared" si="2"/>
        <v>28.942907514450862</v>
      </c>
      <c r="H14" s="233">
        <f>F14*'92'!$C$20/100</f>
        <v>26.165290996897394</v>
      </c>
      <c r="I14" s="233">
        <f>E14*мат.кон.елем!$F$32</f>
        <v>5.5465532318204263</v>
      </c>
      <c r="J14" s="233">
        <f t="shared" si="3"/>
        <v>0.30351085151334267</v>
      </c>
    </row>
    <row r="15" spans="1:10" x14ac:dyDescent="0.2">
      <c r="A15" s="164">
        <v>13</v>
      </c>
      <c r="B15" s="285" t="s">
        <v>343</v>
      </c>
      <c r="C15" s="330">
        <v>379.5</v>
      </c>
      <c r="D15" s="233">
        <f>[8]Лист1!$H$67</f>
        <v>73.3</v>
      </c>
      <c r="E15" s="199">
        <f t="shared" si="0"/>
        <v>7.0616570327552983E-3</v>
      </c>
      <c r="F15" s="233">
        <f t="shared" si="1"/>
        <v>65.779335260115602</v>
      </c>
      <c r="G15" s="233">
        <f t="shared" si="2"/>
        <v>14.471453757225431</v>
      </c>
      <c r="H15" s="233">
        <f>F15*'92'!$C$20/100</f>
        <v>13.082645498448697</v>
      </c>
      <c r="I15" s="233">
        <f>E15*мат.кон.елем!$F$32</f>
        <v>2.7732766159102131</v>
      </c>
      <c r="J15" s="233">
        <f t="shared" si="3"/>
        <v>0.2532456156303029</v>
      </c>
    </row>
    <row r="16" spans="1:10" x14ac:dyDescent="0.2">
      <c r="A16" s="164">
        <v>14</v>
      </c>
      <c r="B16" s="285" t="s">
        <v>344</v>
      </c>
      <c r="C16" s="330">
        <v>916.4</v>
      </c>
      <c r="D16" s="233">
        <f>[8]Лист1!$H$79</f>
        <v>219.9</v>
      </c>
      <c r="E16" s="199">
        <f t="shared" si="0"/>
        <v>2.1184971098265896E-2</v>
      </c>
      <c r="F16" s="233">
        <f t="shared" si="1"/>
        <v>197.33800578034683</v>
      </c>
      <c r="G16" s="233">
        <f t="shared" si="2"/>
        <v>43.414361271676306</v>
      </c>
      <c r="H16" s="233">
        <f>F16*'92'!$C$20/100</f>
        <v>39.247936495346096</v>
      </c>
      <c r="I16" s="233">
        <f>E16*мат.кон.елем!$F$32</f>
        <v>8.3198298477306398</v>
      </c>
      <c r="J16" s="233">
        <f>((F16+G16+H16+I16)/C16)*10/100</f>
        <v>3.1462258118190742E-2</v>
      </c>
    </row>
    <row r="17" spans="1:10" x14ac:dyDescent="0.2">
      <c r="A17" s="164">
        <v>15</v>
      </c>
      <c r="B17" s="285" t="s">
        <v>345</v>
      </c>
      <c r="C17" s="330">
        <v>922.1</v>
      </c>
      <c r="D17" s="233">
        <f>[8]Лист1!$H$80</f>
        <v>219.9</v>
      </c>
      <c r="E17" s="199">
        <f t="shared" si="0"/>
        <v>2.1184971098265896E-2</v>
      </c>
      <c r="F17" s="233">
        <f t="shared" si="1"/>
        <v>197.33800578034683</v>
      </c>
      <c r="G17" s="233">
        <f t="shared" si="2"/>
        <v>43.414361271676306</v>
      </c>
      <c r="H17" s="233">
        <f>F17*'92'!$C$20/100</f>
        <v>39.247936495346096</v>
      </c>
      <c r="I17" s="233">
        <f>E17*мат.кон.елем!$F$32</f>
        <v>8.3198298477306398</v>
      </c>
      <c r="J17" s="233">
        <f>((F17+G17+H17+I17)/C17)*10/100</f>
        <v>3.1267772844062451E-2</v>
      </c>
    </row>
    <row r="18" spans="1:10" x14ac:dyDescent="0.2">
      <c r="A18" s="164">
        <v>16</v>
      </c>
      <c r="B18" s="285" t="s">
        <v>346</v>
      </c>
      <c r="C18" s="330">
        <v>490.3</v>
      </c>
      <c r="D18" s="233">
        <f>[8]Лист1!$H$82</f>
        <v>146.6</v>
      </c>
      <c r="E18" s="199">
        <f t="shared" si="0"/>
        <v>1.4123314065510597E-2</v>
      </c>
      <c r="F18" s="233">
        <f t="shared" si="1"/>
        <v>131.5586705202312</v>
      </c>
      <c r="G18" s="233">
        <f t="shared" si="2"/>
        <v>28.942907514450862</v>
      </c>
      <c r="H18" s="233">
        <f>F18*'92'!$C$20/100</f>
        <v>26.165290996897394</v>
      </c>
      <c r="I18" s="233">
        <f>E18*мат.кон.елем!$F$32</f>
        <v>5.5465532318204263</v>
      </c>
      <c r="J18" s="233">
        <f>((F18+G18+H18+I18)/C18)*10/100</f>
        <v>3.9203227057597365E-2</v>
      </c>
    </row>
    <row r="19" spans="1:10" x14ac:dyDescent="0.2">
      <c r="A19" s="164">
        <v>17</v>
      </c>
      <c r="B19" s="285" t="s">
        <v>347</v>
      </c>
      <c r="C19" s="330">
        <v>502.4</v>
      </c>
      <c r="D19" s="233">
        <f>[8]Лист1!$H$83</f>
        <v>146.6</v>
      </c>
      <c r="E19" s="199">
        <f t="shared" si="0"/>
        <v>1.4123314065510597E-2</v>
      </c>
      <c r="F19" s="233">
        <f t="shared" si="1"/>
        <v>131.5586705202312</v>
      </c>
      <c r="G19" s="233">
        <f t="shared" si="2"/>
        <v>28.942907514450862</v>
      </c>
      <c r="H19" s="233">
        <f>F19*'92'!$C$20/100</f>
        <v>26.165290996897394</v>
      </c>
      <c r="I19" s="233">
        <f>E19*мат.кон.елем!$F$32</f>
        <v>5.5465532318204263</v>
      </c>
      <c r="J19" s="233">
        <f>((F19+G19+H19+I19)/C19)*30/100</f>
        <v>0.11477712316683913</v>
      </c>
    </row>
    <row r="20" spans="1:10" x14ac:dyDescent="0.2">
      <c r="A20" s="164">
        <v>18</v>
      </c>
      <c r="B20" s="285" t="s">
        <v>348</v>
      </c>
      <c r="C20" s="330">
        <v>655.29999999999995</v>
      </c>
      <c r="D20" s="233">
        <f>[8]Лист1!$H$63</f>
        <v>219.9</v>
      </c>
      <c r="E20" s="199">
        <f t="shared" si="0"/>
        <v>2.1184971098265896E-2</v>
      </c>
      <c r="F20" s="233">
        <f t="shared" si="1"/>
        <v>197.33800578034683</v>
      </c>
      <c r="G20" s="233">
        <f t="shared" si="2"/>
        <v>43.414361271676306</v>
      </c>
      <c r="H20" s="233">
        <f>F20*'92'!$C$20/100</f>
        <v>39.247936495346096</v>
      </c>
      <c r="I20" s="233">
        <f>E20*мат.кон.елем!$F$32</f>
        <v>8.3198298477306398</v>
      </c>
      <c r="J20" s="233">
        <f>((F20+G20+H20+I20)/C20)*50/100</f>
        <v>0.21999094566999841</v>
      </c>
    </row>
    <row r="21" spans="1:10" x14ac:dyDescent="0.2">
      <c r="A21" s="164">
        <v>19</v>
      </c>
      <c r="B21" s="285" t="s">
        <v>349</v>
      </c>
      <c r="C21" s="330">
        <v>663.8</v>
      </c>
      <c r="D21" s="233">
        <f>[8]Лист1!$H$64</f>
        <v>219.9</v>
      </c>
      <c r="E21" s="199">
        <f t="shared" si="0"/>
        <v>2.1184971098265896E-2</v>
      </c>
      <c r="F21" s="233">
        <f t="shared" si="1"/>
        <v>197.33800578034683</v>
      </c>
      <c r="G21" s="233">
        <f t="shared" si="2"/>
        <v>43.414361271676306</v>
      </c>
      <c r="H21" s="233">
        <f>F21*'92'!$C$20/100</f>
        <v>39.247936495346096</v>
      </c>
      <c r="I21" s="233">
        <f>E21*мат.кон.елем!$F$32</f>
        <v>8.3198298477306398</v>
      </c>
      <c r="J21" s="233">
        <f>((F21+G21+H21+I21)/C21)*50/100</f>
        <v>0.21717394802282308</v>
      </c>
    </row>
    <row r="22" spans="1:10" x14ac:dyDescent="0.2">
      <c r="A22" s="164">
        <v>20</v>
      </c>
      <c r="B22" s="285" t="s">
        <v>350</v>
      </c>
      <c r="C22" s="330">
        <v>679.3</v>
      </c>
      <c r="D22" s="233">
        <f>[8]Лист1!$H$66</f>
        <v>199.9</v>
      </c>
      <c r="E22" s="199">
        <f t="shared" si="0"/>
        <v>1.9258188824662813E-2</v>
      </c>
      <c r="F22" s="233">
        <f t="shared" si="1"/>
        <v>179.3900289017341</v>
      </c>
      <c r="G22" s="233">
        <f t="shared" si="2"/>
        <v>39.465806358381499</v>
      </c>
      <c r="H22" s="233">
        <f>F22*'92'!$C$20/100</f>
        <v>35.678319715414666</v>
      </c>
      <c r="I22" s="233">
        <f>E22*мат.кон.елем!$F$32</f>
        <v>7.5631377287919728</v>
      </c>
      <c r="J22" s="233">
        <f>((F22+G22+H22+I22)/C22)*20/100</f>
        <v>7.7166875520189096E-2</v>
      </c>
    </row>
    <row r="23" spans="1:10" x14ac:dyDescent="0.2">
      <c r="A23" s="164">
        <v>21</v>
      </c>
      <c r="B23" s="285" t="s">
        <v>351</v>
      </c>
      <c r="C23" s="330">
        <v>828.8</v>
      </c>
      <c r="D23" s="233">
        <f>[8]Лист1!$H$109</f>
        <v>219.9</v>
      </c>
      <c r="E23" s="199">
        <f t="shared" si="0"/>
        <v>2.1184971098265896E-2</v>
      </c>
      <c r="F23" s="233">
        <f t="shared" si="1"/>
        <v>197.33800578034683</v>
      </c>
      <c r="G23" s="233">
        <f t="shared" si="2"/>
        <v>43.414361271676306</v>
      </c>
      <c r="H23" s="233">
        <f>F23*'92'!$C$20/100</f>
        <v>39.247936495346096</v>
      </c>
      <c r="I23" s="233">
        <f>E23*мат.кон.елем!$F$32</f>
        <v>8.3198298477306398</v>
      </c>
      <c r="J23" s="233">
        <f>((F23+G23+H23+I23)/C23)*50/100</f>
        <v>0.17393830441306704</v>
      </c>
    </row>
    <row r="24" spans="1:10" x14ac:dyDescent="0.2">
      <c r="A24" s="164">
        <v>22</v>
      </c>
      <c r="B24" s="285" t="s">
        <v>352</v>
      </c>
      <c r="C24" s="330">
        <v>1413.6</v>
      </c>
      <c r="D24" s="233">
        <f>[8]Лист1!$H$103</f>
        <v>293.2</v>
      </c>
      <c r="E24" s="199">
        <f t="shared" si="0"/>
        <v>2.8246628131021193E-2</v>
      </c>
      <c r="F24" s="233">
        <f t="shared" si="1"/>
        <v>263.11734104046241</v>
      </c>
      <c r="G24" s="233">
        <f t="shared" si="2"/>
        <v>57.885815028901725</v>
      </c>
      <c r="H24" s="233">
        <f>F24*'92'!$C$20/100</f>
        <v>52.330581993794787</v>
      </c>
      <c r="I24" s="233">
        <f>E24*мат.кон.елем!$F$32</f>
        <v>11.093106463640853</v>
      </c>
      <c r="J24" s="233">
        <f t="shared" si="3"/>
        <v>0.2719488147473117</v>
      </c>
    </row>
    <row r="25" spans="1:10" x14ac:dyDescent="0.2">
      <c r="A25" s="164">
        <v>23</v>
      </c>
      <c r="B25" s="285" t="s">
        <v>353</v>
      </c>
      <c r="C25" s="330">
        <v>1478</v>
      </c>
      <c r="D25" s="233">
        <f>[8]Лист1!$H$104</f>
        <v>293.2</v>
      </c>
      <c r="E25" s="199">
        <f t="shared" si="0"/>
        <v>2.8246628131021193E-2</v>
      </c>
      <c r="F25" s="233">
        <f t="shared" si="1"/>
        <v>263.11734104046241</v>
      </c>
      <c r="G25" s="233">
        <f t="shared" si="2"/>
        <v>57.885815028901725</v>
      </c>
      <c r="H25" s="233">
        <f>F25*'92'!$C$20/100</f>
        <v>52.330581993794787</v>
      </c>
      <c r="I25" s="233">
        <f>E25*мат.кон.елем!$F$32</f>
        <v>11.093106463640853</v>
      </c>
      <c r="J25" s="233">
        <f t="shared" si="3"/>
        <v>0.2600993535364004</v>
      </c>
    </row>
    <row r="26" spans="1:10" x14ac:dyDescent="0.2">
      <c r="A26" s="164">
        <v>24</v>
      </c>
      <c r="B26" s="285" t="s">
        <v>354</v>
      </c>
      <c r="C26" s="330">
        <v>848.6</v>
      </c>
      <c r="D26" s="233">
        <f>[8]Лист1!$H$105</f>
        <v>219.9</v>
      </c>
      <c r="E26" s="199">
        <f t="shared" si="0"/>
        <v>2.1184971098265896E-2</v>
      </c>
      <c r="F26" s="233">
        <f t="shared" si="1"/>
        <v>197.33800578034683</v>
      </c>
      <c r="G26" s="233">
        <f t="shared" si="2"/>
        <v>43.414361271676306</v>
      </c>
      <c r="H26" s="233">
        <f>F26*'92'!$C$20/100</f>
        <v>39.247936495346096</v>
      </c>
      <c r="I26" s="233">
        <f>E26*мат.кон.елем!$F$32</f>
        <v>8.3198298477306398</v>
      </c>
      <c r="J26" s="233">
        <f>((F26+G26+H26+I26)/C26)*10/100</f>
        <v>3.3975976124805553E-2</v>
      </c>
    </row>
    <row r="27" spans="1:10" x14ac:dyDescent="0.2">
      <c r="A27" s="164">
        <v>25</v>
      </c>
      <c r="B27" s="285" t="s">
        <v>355</v>
      </c>
      <c r="C27" s="330">
        <v>834.8</v>
      </c>
      <c r="D27" s="233">
        <f>[8]Лист1!$H$106</f>
        <v>219.9</v>
      </c>
      <c r="E27" s="199">
        <f t="shared" si="0"/>
        <v>2.1184971098265896E-2</v>
      </c>
      <c r="F27" s="233">
        <f t="shared" si="1"/>
        <v>197.33800578034683</v>
      </c>
      <c r="G27" s="233">
        <f t="shared" si="2"/>
        <v>43.414361271676306</v>
      </c>
      <c r="H27" s="233">
        <f>F27*'92'!$C$20/100</f>
        <v>39.247936495346096</v>
      </c>
      <c r="I27" s="233">
        <f>E27*мат.кон.елем!$F$32</f>
        <v>8.3198298477306398</v>
      </c>
      <c r="J27" s="233">
        <f t="shared" si="3"/>
        <v>0.3453762977900095</v>
      </c>
    </row>
    <row r="28" spans="1:10" x14ac:dyDescent="0.2">
      <c r="A28" s="164">
        <v>26</v>
      </c>
      <c r="B28" s="285" t="s">
        <v>356</v>
      </c>
      <c r="C28" s="330">
        <v>848.8</v>
      </c>
      <c r="D28" s="233">
        <f>[8]Лист1!$H$107</f>
        <v>199.9</v>
      </c>
      <c r="E28" s="199">
        <f t="shared" si="0"/>
        <v>1.9258188824662813E-2</v>
      </c>
      <c r="F28" s="233">
        <f t="shared" si="1"/>
        <v>179.3900289017341</v>
      </c>
      <c r="G28" s="233">
        <f t="shared" si="2"/>
        <v>39.465806358381499</v>
      </c>
      <c r="H28" s="233">
        <f>F28*'92'!$C$20/100</f>
        <v>35.678319715414666</v>
      </c>
      <c r="I28" s="233">
        <f>E28*мат.кон.елем!$F$32</f>
        <v>7.5631377287919728</v>
      </c>
      <c r="J28" s="233">
        <f t="shared" si="3"/>
        <v>0.30878568885994612</v>
      </c>
    </row>
    <row r="29" spans="1:10" x14ac:dyDescent="0.2">
      <c r="A29" s="164">
        <v>27</v>
      </c>
      <c r="B29" s="285" t="s">
        <v>357</v>
      </c>
      <c r="C29" s="330">
        <v>646.76</v>
      </c>
      <c r="D29" s="233">
        <f>[8]Лист1!$H$3</f>
        <v>146.6</v>
      </c>
      <c r="E29" s="199">
        <f t="shared" si="0"/>
        <v>1.4123314065510597E-2</v>
      </c>
      <c r="F29" s="233">
        <f t="shared" si="1"/>
        <v>131.5586705202312</v>
      </c>
      <c r="G29" s="233">
        <f t="shared" si="2"/>
        <v>28.942907514450862</v>
      </c>
      <c r="H29" s="233">
        <f>F29*'92'!$C$20/100</f>
        <v>26.165290996897394</v>
      </c>
      <c r="I29" s="233">
        <f>E29*мат.кон.елем!$F$32</f>
        <v>5.5465532318204263</v>
      </c>
      <c r="J29" s="233">
        <f t="shared" si="3"/>
        <v>0.29719435689189178</v>
      </c>
    </row>
    <row r="30" spans="1:10" x14ac:dyDescent="0.2">
      <c r="A30" s="164">
        <v>28</v>
      </c>
      <c r="B30" s="285" t="s">
        <v>358</v>
      </c>
      <c r="C30" s="330">
        <v>638.20000000000005</v>
      </c>
      <c r="D30" s="233">
        <f>[8]Лист1!$H$4</f>
        <v>146.6</v>
      </c>
      <c r="E30" s="199">
        <f t="shared" si="0"/>
        <v>1.4123314065510597E-2</v>
      </c>
      <c r="F30" s="233">
        <f t="shared" si="1"/>
        <v>131.5586705202312</v>
      </c>
      <c r="G30" s="233">
        <f t="shared" si="2"/>
        <v>28.942907514450862</v>
      </c>
      <c r="H30" s="233">
        <f>F30*'92'!$C$20/100</f>
        <v>26.165290996897394</v>
      </c>
      <c r="I30" s="233">
        <f>E30*мат.кон.елем!$F$32</f>
        <v>5.5465532318204263</v>
      </c>
      <c r="J30" s="233">
        <f t="shared" si="3"/>
        <v>0.30118054256251942</v>
      </c>
    </row>
    <row r="31" spans="1:10" x14ac:dyDescent="0.2">
      <c r="A31" s="164">
        <v>29</v>
      </c>
      <c r="B31" s="285" t="s">
        <v>359</v>
      </c>
      <c r="C31" s="330">
        <v>385.2</v>
      </c>
      <c r="D31" s="233">
        <f>[8]Лист1!$H$120</f>
        <v>146.6</v>
      </c>
      <c r="E31" s="199">
        <f t="shared" si="0"/>
        <v>1.4123314065510597E-2</v>
      </c>
      <c r="F31" s="233">
        <f t="shared" si="1"/>
        <v>131.5586705202312</v>
      </c>
      <c r="G31" s="233">
        <f t="shared" si="2"/>
        <v>28.942907514450862</v>
      </c>
      <c r="H31" s="233">
        <f>F31*'92'!$C$20/100</f>
        <v>26.165290996897394</v>
      </c>
      <c r="I31" s="233">
        <f>E31*мат.кон.елем!$F$32</f>
        <v>5.5465532318204263</v>
      </c>
      <c r="J31" s="233">
        <f t="shared" si="3"/>
        <v>0.49899642332139127</v>
      </c>
    </row>
    <row r="32" spans="1:10" x14ac:dyDescent="0.2">
      <c r="A32" s="164">
        <v>30</v>
      </c>
      <c r="B32" s="285" t="s">
        <v>360</v>
      </c>
      <c r="C32" s="330">
        <v>398.4</v>
      </c>
      <c r="D32" s="233">
        <f>[8]Лист1!$H$121</f>
        <v>146.6</v>
      </c>
      <c r="E32" s="199">
        <f t="shared" si="0"/>
        <v>1.4123314065510597E-2</v>
      </c>
      <c r="F32" s="233">
        <f t="shared" si="1"/>
        <v>131.5586705202312</v>
      </c>
      <c r="G32" s="233">
        <f t="shared" si="2"/>
        <v>28.942907514450862</v>
      </c>
      <c r="H32" s="233">
        <f>F32*'92'!$C$20/100</f>
        <v>26.165290996897394</v>
      </c>
      <c r="I32" s="233">
        <f>E32*мат.кон.елем!$F$32</f>
        <v>5.5465532318204263</v>
      </c>
      <c r="J32" s="233">
        <f t="shared" si="3"/>
        <v>0.48246340929568254</v>
      </c>
    </row>
    <row r="33" spans="1:10" x14ac:dyDescent="0.2">
      <c r="A33" s="164">
        <v>31</v>
      </c>
      <c r="B33" s="285" t="s">
        <v>361</v>
      </c>
      <c r="C33" s="330">
        <v>977.25</v>
      </c>
      <c r="D33" s="233">
        <f>[8]Лист1!$H$122</f>
        <v>219.9</v>
      </c>
      <c r="E33" s="199">
        <f t="shared" si="0"/>
        <v>2.1184971098265896E-2</v>
      </c>
      <c r="F33" s="233">
        <f t="shared" si="1"/>
        <v>197.33800578034683</v>
      </c>
      <c r="G33" s="233">
        <f t="shared" si="2"/>
        <v>43.414361271676306</v>
      </c>
      <c r="H33" s="233">
        <f>F33*'92'!$C$20/100</f>
        <v>39.247936495346096</v>
      </c>
      <c r="I33" s="233">
        <f>E33*мат.кон.елем!$F$32</f>
        <v>8.3198298477306398</v>
      </c>
      <c r="J33" s="233">
        <f t="shared" si="3"/>
        <v>0.29503211398833451</v>
      </c>
    </row>
    <row r="34" spans="1:10" x14ac:dyDescent="0.2">
      <c r="A34" s="164">
        <v>32</v>
      </c>
      <c r="B34" s="285" t="s">
        <v>362</v>
      </c>
      <c r="C34" s="330">
        <v>796.2</v>
      </c>
      <c r="D34" s="233">
        <f>[8]Лист1!$H$2</f>
        <v>146.6</v>
      </c>
      <c r="E34" s="199">
        <f t="shared" si="0"/>
        <v>1.4123314065510597E-2</v>
      </c>
      <c r="F34" s="233">
        <f t="shared" si="1"/>
        <v>131.5586705202312</v>
      </c>
      <c r="G34" s="233">
        <f t="shared" si="2"/>
        <v>28.942907514450862</v>
      </c>
      <c r="H34" s="233">
        <f>F34*'92'!$C$20/100</f>
        <v>26.165290996897394</v>
      </c>
      <c r="I34" s="233">
        <f>E34*мат.кон.елем!$F$32</f>
        <v>5.5465532318204263</v>
      </c>
      <c r="J34" s="233">
        <f>((F34+G34+H34+I34)/C34)*50/100</f>
        <v>0.12070674595792508</v>
      </c>
    </row>
    <row r="35" spans="1:10" x14ac:dyDescent="0.2">
      <c r="A35" s="164">
        <v>33</v>
      </c>
      <c r="B35" s="285" t="s">
        <v>363</v>
      </c>
      <c r="C35" s="330">
        <v>394.3</v>
      </c>
      <c r="D35" s="233">
        <f>[8]Лист1!$H$39</f>
        <v>73.3</v>
      </c>
      <c r="E35" s="199">
        <f t="shared" si="0"/>
        <v>7.0616570327552983E-3</v>
      </c>
      <c r="F35" s="233">
        <f t="shared" si="1"/>
        <v>65.779335260115602</v>
      </c>
      <c r="G35" s="233">
        <f t="shared" si="2"/>
        <v>14.471453757225431</v>
      </c>
      <c r="H35" s="233">
        <f>F35*'92'!$C$20/100</f>
        <v>13.082645498448697</v>
      </c>
      <c r="I35" s="233">
        <f>E35*мат.кон.елем!$F$32</f>
        <v>2.7732766159102131</v>
      </c>
      <c r="J35" s="233">
        <f t="shared" si="3"/>
        <v>0.24374007388206936</v>
      </c>
    </row>
    <row r="36" spans="1:10" x14ac:dyDescent="0.2">
      <c r="A36" s="164">
        <v>34</v>
      </c>
      <c r="B36" s="285" t="s">
        <v>364</v>
      </c>
      <c r="C36" s="330">
        <v>462.9</v>
      </c>
      <c r="D36" s="233">
        <f>[8]Лист1!$H$41</f>
        <v>146.6</v>
      </c>
      <c r="E36" s="199">
        <f t="shared" si="0"/>
        <v>1.4123314065510597E-2</v>
      </c>
      <c r="F36" s="233">
        <f t="shared" si="1"/>
        <v>131.5586705202312</v>
      </c>
      <c r="G36" s="233">
        <f t="shared" si="2"/>
        <v>28.942907514450862</v>
      </c>
      <c r="H36" s="233">
        <f>F36*'92'!$C$20/100</f>
        <v>26.165290996897394</v>
      </c>
      <c r="I36" s="233">
        <f>E36*мат.кон.елем!$F$32</f>
        <v>5.5465532318204263</v>
      </c>
      <c r="J36" s="233">
        <f t="shared" si="3"/>
        <v>0.41523746438410003</v>
      </c>
    </row>
    <row r="37" spans="1:10" x14ac:dyDescent="0.2">
      <c r="A37" s="164">
        <v>35</v>
      </c>
      <c r="B37" s="285" t="s">
        <v>365</v>
      </c>
      <c r="C37" s="330">
        <v>411.79</v>
      </c>
      <c r="D37" s="233">
        <f>[8]Лист1!$H$43</f>
        <v>73.3</v>
      </c>
      <c r="E37" s="199">
        <f t="shared" si="0"/>
        <v>7.0616570327552983E-3</v>
      </c>
      <c r="F37" s="233">
        <f t="shared" si="1"/>
        <v>65.779335260115602</v>
      </c>
      <c r="G37" s="233">
        <f t="shared" si="2"/>
        <v>14.471453757225431</v>
      </c>
      <c r="H37" s="233">
        <f>F37*'92'!$C$20/100</f>
        <v>13.082645498448697</v>
      </c>
      <c r="I37" s="233">
        <f>E37*мат.кон.елем!$F$32</f>
        <v>2.7732766159102131</v>
      </c>
      <c r="J37" s="233">
        <f t="shared" si="3"/>
        <v>0.23338767607688371</v>
      </c>
    </row>
    <row r="38" spans="1:10" x14ac:dyDescent="0.2">
      <c r="A38" s="164">
        <v>36</v>
      </c>
      <c r="B38" s="285" t="s">
        <v>366</v>
      </c>
      <c r="C38" s="330">
        <v>674.2</v>
      </c>
      <c r="D38" s="233">
        <f>[8]Лист1!$H$46</f>
        <v>219.9</v>
      </c>
      <c r="E38" s="199">
        <f t="shared" si="0"/>
        <v>2.1184971098265896E-2</v>
      </c>
      <c r="F38" s="233">
        <f t="shared" si="1"/>
        <v>197.33800578034683</v>
      </c>
      <c r="G38" s="233">
        <f t="shared" si="2"/>
        <v>43.414361271676306</v>
      </c>
      <c r="H38" s="233">
        <f>F38*'92'!$C$20/100</f>
        <v>39.247936495346096</v>
      </c>
      <c r="I38" s="233">
        <f>E38*мат.кон.елем!$F$32</f>
        <v>8.3198298477306398</v>
      </c>
      <c r="J38" s="233">
        <f t="shared" si="3"/>
        <v>0.42764778017665361</v>
      </c>
    </row>
    <row r="39" spans="1:10" x14ac:dyDescent="0.2">
      <c r="A39" s="164">
        <v>37</v>
      </c>
      <c r="B39" s="285" t="s">
        <v>367</v>
      </c>
      <c r="C39" s="330">
        <v>169</v>
      </c>
      <c r="D39" s="233">
        <f>[8]Лист1!$H$128</f>
        <v>73.3</v>
      </c>
      <c r="E39" s="199">
        <f t="shared" si="0"/>
        <v>7.0616570327552983E-3</v>
      </c>
      <c r="F39" s="233">
        <f t="shared" si="1"/>
        <v>65.779335260115602</v>
      </c>
      <c r="G39" s="233">
        <f t="shared" si="2"/>
        <v>14.471453757225431</v>
      </c>
      <c r="H39" s="233">
        <f>F39*'92'!$C$20/100</f>
        <v>13.082645498448697</v>
      </c>
      <c r="I39" s="233">
        <f>E39*мат.кон.елем!$F$32</f>
        <v>2.7732766159102131</v>
      </c>
      <c r="J39" s="233">
        <f>((F39+G39+H39+I39)/C39)*10/100</f>
        <v>5.6867876409289905E-2</v>
      </c>
    </row>
    <row r="40" spans="1:10" x14ac:dyDescent="0.2">
      <c r="A40" s="164">
        <v>38</v>
      </c>
      <c r="B40" s="285" t="s">
        <v>368</v>
      </c>
      <c r="C40" s="330">
        <v>175.4</v>
      </c>
      <c r="D40" s="233">
        <f>[8]Лист1!$H$129</f>
        <v>43.3</v>
      </c>
      <c r="E40" s="199">
        <f t="shared" si="0"/>
        <v>4.1714836223506737E-3</v>
      </c>
      <c r="F40" s="233">
        <f t="shared" si="1"/>
        <v>38.857369942196527</v>
      </c>
      <c r="G40" s="233">
        <f t="shared" si="2"/>
        <v>8.5486213872832355</v>
      </c>
      <c r="H40" s="233">
        <f>F40*'92'!$C$20/100</f>
        <v>7.7282203285515489</v>
      </c>
      <c r="I40" s="233">
        <f>E40*мат.кон.елем!$F$32</f>
        <v>1.638238437502213</v>
      </c>
      <c r="J40" s="233">
        <f t="shared" si="3"/>
        <v>0.3236741738627909</v>
      </c>
    </row>
    <row r="41" spans="1:10" x14ac:dyDescent="0.2">
      <c r="A41" s="164">
        <v>39</v>
      </c>
      <c r="B41" s="285" t="s">
        <v>369</v>
      </c>
      <c r="C41" s="330">
        <v>173.5</v>
      </c>
      <c r="D41" s="233">
        <f>[8]Лист1!$H$130</f>
        <v>43.3</v>
      </c>
      <c r="E41" s="199">
        <f t="shared" si="0"/>
        <v>4.1714836223506737E-3</v>
      </c>
      <c r="F41" s="233">
        <f t="shared" si="1"/>
        <v>38.857369942196527</v>
      </c>
      <c r="G41" s="233">
        <f t="shared" si="2"/>
        <v>8.5486213872832355</v>
      </c>
      <c r="H41" s="233">
        <f>F41*'92'!$C$20/100</f>
        <v>7.7282203285515489</v>
      </c>
      <c r="I41" s="233">
        <f>E41*мат.кон.елем!$F$32</f>
        <v>1.638238437502213</v>
      </c>
      <c r="J41" s="233">
        <f t="shared" si="3"/>
        <v>0.32721873253909811</v>
      </c>
    </row>
    <row r="42" spans="1:10" x14ac:dyDescent="0.2">
      <c r="A42" s="164">
        <v>40</v>
      </c>
      <c r="B42" s="285" t="s">
        <v>370</v>
      </c>
      <c r="C42" s="330">
        <v>182</v>
      </c>
      <c r="D42" s="233">
        <f>[8]Лист1!$H$131</f>
        <v>43.3</v>
      </c>
      <c r="E42" s="199">
        <f t="shared" si="0"/>
        <v>4.1714836223506737E-3</v>
      </c>
      <c r="F42" s="233">
        <f t="shared" si="1"/>
        <v>38.857369942196527</v>
      </c>
      <c r="G42" s="233">
        <f t="shared" si="2"/>
        <v>8.5486213872832355</v>
      </c>
      <c r="H42" s="233">
        <f>F42*'92'!$C$20/100</f>
        <v>7.7282203285515489</v>
      </c>
      <c r="I42" s="233">
        <f>E42*мат.кон.елем!$F$32</f>
        <v>1.638238437502213</v>
      </c>
      <c r="J42" s="233">
        <f t="shared" si="3"/>
        <v>0.31193653898644791</v>
      </c>
    </row>
    <row r="43" spans="1:10" x14ac:dyDescent="0.2">
      <c r="A43" s="164">
        <v>41</v>
      </c>
      <c r="B43" s="285" t="s">
        <v>371</v>
      </c>
      <c r="C43" s="330">
        <v>629.6</v>
      </c>
      <c r="D43" s="233">
        <f>[8]Лист1!$H$137</f>
        <v>146.6</v>
      </c>
      <c r="E43" s="199">
        <f t="shared" si="0"/>
        <v>1.4123314065510597E-2</v>
      </c>
      <c r="F43" s="233">
        <f t="shared" si="1"/>
        <v>131.5586705202312</v>
      </c>
      <c r="G43" s="233">
        <f t="shared" si="2"/>
        <v>28.942907514450862</v>
      </c>
      <c r="H43" s="233">
        <f>F43*'92'!$C$20/100</f>
        <v>26.165290996897394</v>
      </c>
      <c r="I43" s="233">
        <f>E43*мат.кон.елем!$F$32</f>
        <v>5.5465532318204263</v>
      </c>
      <c r="J43" s="233">
        <f t="shared" si="3"/>
        <v>0.30529450804224889</v>
      </c>
    </row>
    <row r="44" spans="1:10" x14ac:dyDescent="0.2">
      <c r="A44" s="164">
        <v>42</v>
      </c>
      <c r="B44" s="285" t="s">
        <v>372</v>
      </c>
      <c r="C44" s="330">
        <v>628.9</v>
      </c>
      <c r="D44" s="233">
        <f>[8]Лист1!$H$138</f>
        <v>146.6</v>
      </c>
      <c r="E44" s="199">
        <f t="shared" si="0"/>
        <v>1.4123314065510597E-2</v>
      </c>
      <c r="F44" s="233">
        <f t="shared" si="1"/>
        <v>131.5586705202312</v>
      </c>
      <c r="G44" s="233">
        <f t="shared" si="2"/>
        <v>28.942907514450862</v>
      </c>
      <c r="H44" s="233">
        <f>F44*'92'!$C$20/100</f>
        <v>26.165290996897394</v>
      </c>
      <c r="I44" s="233">
        <f>E44*мат.кон.елем!$F$32</f>
        <v>5.5465532318204263</v>
      </c>
      <c r="J44" s="233">
        <f t="shared" si="3"/>
        <v>0.30563431748036241</v>
      </c>
    </row>
    <row r="45" spans="1:10" x14ac:dyDescent="0.2">
      <c r="A45" s="164">
        <v>43</v>
      </c>
      <c r="B45" s="285" t="s">
        <v>373</v>
      </c>
      <c r="C45" s="330">
        <v>509.3</v>
      </c>
      <c r="D45" s="233">
        <f>[8]Лист1!$H$139</f>
        <v>106.6</v>
      </c>
      <c r="E45" s="199">
        <f t="shared" si="0"/>
        <v>1.0269749518304431E-2</v>
      </c>
      <c r="F45" s="233">
        <f t="shared" si="1"/>
        <v>95.662716763005776</v>
      </c>
      <c r="G45" s="233">
        <f t="shared" si="2"/>
        <v>21.045797687861274</v>
      </c>
      <c r="H45" s="233">
        <f>F45*'92'!$C$20/100</f>
        <v>19.026057437034531</v>
      </c>
      <c r="I45" s="233">
        <f>E45*мат.кон.елем!$F$32</f>
        <v>4.033168993943093</v>
      </c>
      <c r="J45" s="233">
        <f t="shared" si="3"/>
        <v>0.27443106397377709</v>
      </c>
    </row>
    <row r="46" spans="1:10" x14ac:dyDescent="0.2">
      <c r="A46" s="164">
        <v>44</v>
      </c>
      <c r="B46" s="285" t="s">
        <v>374</v>
      </c>
      <c r="C46" s="330">
        <v>404.4</v>
      </c>
      <c r="D46" s="233">
        <f>[8]Лист1!$H$146</f>
        <v>146.6</v>
      </c>
      <c r="E46" s="199">
        <f t="shared" si="0"/>
        <v>1.4123314065510597E-2</v>
      </c>
      <c r="F46" s="233">
        <f t="shared" si="1"/>
        <v>131.5586705202312</v>
      </c>
      <c r="G46" s="233">
        <f t="shared" si="2"/>
        <v>28.942907514450862</v>
      </c>
      <c r="H46" s="233">
        <f>F46*'92'!$C$20/100</f>
        <v>26.165290996897394</v>
      </c>
      <c r="I46" s="233">
        <f>E46*мат.кон.елем!$F$32</f>
        <v>5.5465532318204263</v>
      </c>
      <c r="J46" s="233">
        <f t="shared" si="3"/>
        <v>0.47530519847527181</v>
      </c>
    </row>
    <row r="47" spans="1:10" x14ac:dyDescent="0.2">
      <c r="A47" s="164">
        <v>45</v>
      </c>
      <c r="B47" s="285" t="s">
        <v>375</v>
      </c>
      <c r="C47" s="330">
        <v>409.8</v>
      </c>
      <c r="D47" s="233">
        <f>[8]Лист1!$H$147</f>
        <v>167.2</v>
      </c>
      <c r="E47" s="199">
        <f t="shared" si="0"/>
        <v>1.610789980732177E-2</v>
      </c>
      <c r="F47" s="233">
        <f t="shared" si="1"/>
        <v>150.04508670520229</v>
      </c>
      <c r="G47" s="233">
        <f t="shared" si="2"/>
        <v>33.009919075144502</v>
      </c>
      <c r="H47" s="233">
        <f>F47*'92'!$C$20/100</f>
        <v>29.841996280226766</v>
      </c>
      <c r="I47" s="233">
        <f>E47*мат.кон.елем!$F$32</f>
        <v>6.3259461143272526</v>
      </c>
      <c r="J47" s="233">
        <f>((F47+G47+H47+I47)/C47)*30/100</f>
        <v>0.16048532077225533</v>
      </c>
    </row>
    <row r="48" spans="1:10" x14ac:dyDescent="0.2">
      <c r="A48" s="164">
        <v>46</v>
      </c>
      <c r="B48" s="285" t="s">
        <v>376</v>
      </c>
      <c r="C48" s="330">
        <v>374.7</v>
      </c>
      <c r="D48" s="233">
        <f>[8]Лист1!$H$140</f>
        <v>73.3</v>
      </c>
      <c r="E48" s="199">
        <f t="shared" si="0"/>
        <v>7.0616570327552983E-3</v>
      </c>
      <c r="F48" s="233">
        <f t="shared" si="1"/>
        <v>65.779335260115602</v>
      </c>
      <c r="G48" s="233">
        <f t="shared" si="2"/>
        <v>14.471453757225431</v>
      </c>
      <c r="H48" s="233">
        <f>F48*'92'!$C$20/100</f>
        <v>13.082645498448697</v>
      </c>
      <c r="I48" s="233">
        <f>E48*мат.кон.елем!$F$32</f>
        <v>2.7732766159102131</v>
      </c>
      <c r="J48" s="233">
        <f t="shared" si="3"/>
        <v>0.25648975482172393</v>
      </c>
    </row>
    <row r="49" spans="1:10" x14ac:dyDescent="0.2">
      <c r="A49" s="164">
        <v>47</v>
      </c>
      <c r="B49" s="285" t="s">
        <v>377</v>
      </c>
      <c r="C49" s="330">
        <v>618.4</v>
      </c>
      <c r="D49" s="233">
        <f>[8]Лист1!$H$141</f>
        <v>146.6</v>
      </c>
      <c r="E49" s="199">
        <f t="shared" si="0"/>
        <v>1.4123314065510597E-2</v>
      </c>
      <c r="F49" s="233">
        <f t="shared" si="1"/>
        <v>131.5586705202312</v>
      </c>
      <c r="G49" s="233">
        <f t="shared" si="2"/>
        <v>28.942907514450862</v>
      </c>
      <c r="H49" s="233">
        <f>F49*'92'!$C$20/100</f>
        <v>26.165290996897394</v>
      </c>
      <c r="I49" s="233">
        <f>E49*мат.кон.елем!$F$32</f>
        <v>5.5465532318204263</v>
      </c>
      <c r="J49" s="233">
        <f t="shared" si="3"/>
        <v>0.31082377468208267</v>
      </c>
    </row>
    <row r="50" spans="1:10" x14ac:dyDescent="0.2">
      <c r="A50" s="164">
        <v>48</v>
      </c>
      <c r="B50" s="285" t="s">
        <v>378</v>
      </c>
      <c r="C50" s="330">
        <v>1126.3</v>
      </c>
      <c r="D50" s="233">
        <f>[8]Лист1!$H$157</f>
        <v>219.9</v>
      </c>
      <c r="E50" s="199">
        <f t="shared" si="0"/>
        <v>2.1184971098265896E-2</v>
      </c>
      <c r="F50" s="233">
        <f t="shared" si="1"/>
        <v>197.33800578034683</v>
      </c>
      <c r="G50" s="233">
        <f t="shared" si="2"/>
        <v>43.414361271676306</v>
      </c>
      <c r="H50" s="233">
        <f>F50*'92'!$C$20/100</f>
        <v>39.247936495346096</v>
      </c>
      <c r="I50" s="233">
        <f>E50*мат.кон.елем!$F$32</f>
        <v>8.3198298477306398</v>
      </c>
      <c r="J50" s="233">
        <f t="shared" si="3"/>
        <v>0.25598875379126335</v>
      </c>
    </row>
    <row r="51" spans="1:10" x14ac:dyDescent="0.2">
      <c r="A51" s="164">
        <v>49</v>
      </c>
      <c r="B51" s="285" t="s">
        <v>379</v>
      </c>
      <c r="C51" s="330">
        <v>617</v>
      </c>
      <c r="D51" s="233">
        <v>219.9</v>
      </c>
      <c r="E51" s="199">
        <f t="shared" si="0"/>
        <v>2.1184971098265896E-2</v>
      </c>
      <c r="F51" s="233">
        <f t="shared" si="1"/>
        <v>197.33800578034683</v>
      </c>
      <c r="G51" s="233">
        <f t="shared" si="2"/>
        <v>43.414361271676306</v>
      </c>
      <c r="H51" s="233">
        <f>F51*'92'!$C$20/100</f>
        <v>39.247936495346096</v>
      </c>
      <c r="I51" s="233">
        <f>E51*мат.кон.елем!$F$32</f>
        <v>8.3198298477306398</v>
      </c>
      <c r="J51" s="233">
        <f>((F51+G51+H51+I51)/C51)*45/100</f>
        <v>0.2102821070142544</v>
      </c>
    </row>
    <row r="52" spans="1:10" x14ac:dyDescent="0.2">
      <c r="A52" s="164">
        <v>50</v>
      </c>
      <c r="B52" s="285" t="s">
        <v>380</v>
      </c>
      <c r="C52" s="330">
        <v>452</v>
      </c>
      <c r="D52" s="233">
        <f>[8]Лист1!$H$13</f>
        <v>139.9667</v>
      </c>
      <c r="E52" s="199">
        <f t="shared" si="0"/>
        <v>1.3484267822736032E-2</v>
      </c>
      <c r="F52" s="233">
        <f t="shared" si="1"/>
        <v>125.60595476878613</v>
      </c>
      <c r="G52" s="233">
        <f t="shared" si="2"/>
        <v>27.633310049132952</v>
      </c>
      <c r="H52" s="233">
        <f>F52*'92'!$C$20/100</f>
        <v>24.98137404758144</v>
      </c>
      <c r="I52" s="233">
        <f>E52*мат.кон.елем!$F$32</f>
        <v>5.2955849401926338</v>
      </c>
      <c r="J52" s="233">
        <f t="shared" si="3"/>
        <v>0.40600934470286099</v>
      </c>
    </row>
    <row r="53" spans="1:10" x14ac:dyDescent="0.2">
      <c r="A53" s="164">
        <v>51</v>
      </c>
      <c r="B53" s="285" t="s">
        <v>381</v>
      </c>
      <c r="C53" s="330">
        <v>1245.5999999999999</v>
      </c>
      <c r="D53" s="233">
        <v>519.9</v>
      </c>
      <c r="E53" s="199">
        <f t="shared" si="0"/>
        <v>5.0086705202312135E-2</v>
      </c>
      <c r="F53" s="233">
        <f t="shared" si="1"/>
        <v>466.55765895953755</v>
      </c>
      <c r="G53" s="233">
        <f t="shared" si="2"/>
        <v>102.64268497109826</v>
      </c>
      <c r="H53" s="233">
        <f>F53*'92'!$C$20/100</f>
        <v>92.792188194317575</v>
      </c>
      <c r="I53" s="233">
        <f>E53*мат.кон.елем!$F$32</f>
        <v>19.670211631810638</v>
      </c>
      <c r="J53" s="233">
        <f t="shared" si="3"/>
        <v>0.5472565380192389</v>
      </c>
    </row>
    <row r="54" spans="1:10" x14ac:dyDescent="0.2">
      <c r="A54" s="164">
        <v>52</v>
      </c>
      <c r="B54" s="285" t="s">
        <v>382</v>
      </c>
      <c r="C54" s="330">
        <v>1275.5999999999999</v>
      </c>
      <c r="D54" s="233">
        <f>[8]Лист1!$H$62</f>
        <v>419.9</v>
      </c>
      <c r="E54" s="199">
        <f t="shared" si="0"/>
        <v>4.0452793834296723E-2</v>
      </c>
      <c r="F54" s="233">
        <f t="shared" si="1"/>
        <v>376.81777456647399</v>
      </c>
      <c r="G54" s="233">
        <f t="shared" si="2"/>
        <v>82.899910404624279</v>
      </c>
      <c r="H54" s="233">
        <f>F54*'92'!$C$20/100</f>
        <v>74.944104294660406</v>
      </c>
      <c r="I54" s="233">
        <f>E54*мат.кон.елем!$F$32</f>
        <v>15.886751037117305</v>
      </c>
      <c r="J54" s="233">
        <f t="shared" si="3"/>
        <v>0.43159967098061774</v>
      </c>
    </row>
    <row r="55" spans="1:10" x14ac:dyDescent="0.2">
      <c r="A55" s="164">
        <v>53</v>
      </c>
      <c r="B55" s="285" t="s">
        <v>383</v>
      </c>
      <c r="C55" s="330">
        <v>942.4</v>
      </c>
      <c r="D55" s="233">
        <f>[8]Лист1!$H$65</f>
        <v>279.93330000000003</v>
      </c>
      <c r="E55" s="199">
        <f t="shared" si="0"/>
        <v>2.6968526011560696E-2</v>
      </c>
      <c r="F55" s="233">
        <f t="shared" si="1"/>
        <v>251.21181979768789</v>
      </c>
      <c r="G55" s="233">
        <f t="shared" si="2"/>
        <v>55.266600355491335</v>
      </c>
      <c r="H55" s="233">
        <f>F55*'92'!$C$20/100</f>
        <v>49.96273024707898</v>
      </c>
      <c r="I55" s="233">
        <f>E55*мат.кон.елем!$F$32</f>
        <v>10.591166096924674</v>
      </c>
      <c r="J55" s="233">
        <f t="shared" si="3"/>
        <v>0.3894655310878426</v>
      </c>
    </row>
    <row r="56" spans="1:10" x14ac:dyDescent="0.2">
      <c r="A56" s="164">
        <v>54</v>
      </c>
      <c r="B56" s="285" t="s">
        <v>384</v>
      </c>
      <c r="C56" s="330">
        <v>567.95000000000005</v>
      </c>
      <c r="D56" s="233">
        <f>[8]Лист1!$H$85</f>
        <v>139.9667</v>
      </c>
      <c r="E56" s="199">
        <f t="shared" si="0"/>
        <v>1.3484267822736032E-2</v>
      </c>
      <c r="F56" s="233">
        <f t="shared" si="1"/>
        <v>125.60595476878613</v>
      </c>
      <c r="G56" s="233">
        <f t="shared" si="2"/>
        <v>27.633310049132952</v>
      </c>
      <c r="H56" s="233">
        <f>F56*'92'!$C$20/100</f>
        <v>24.98137404758144</v>
      </c>
      <c r="I56" s="233">
        <f>E56*мат.кон.елем!$F$32</f>
        <v>5.2955849401926338</v>
      </c>
      <c r="J56" s="233">
        <f t="shared" si="3"/>
        <v>0.32312038701592244</v>
      </c>
    </row>
    <row r="57" spans="1:10" x14ac:dyDescent="0.2">
      <c r="A57" s="164">
        <v>55</v>
      </c>
      <c r="B57" s="285" t="s">
        <v>385</v>
      </c>
      <c r="C57" s="330">
        <v>1119.5999999999999</v>
      </c>
      <c r="D57" s="233">
        <f>[8]Лист1!$H$101</f>
        <v>279.93330000000003</v>
      </c>
      <c r="E57" s="199">
        <f t="shared" si="0"/>
        <v>2.6968526011560696E-2</v>
      </c>
      <c r="F57" s="233">
        <f t="shared" si="1"/>
        <v>251.21181979768789</v>
      </c>
      <c r="G57" s="233">
        <f t="shared" si="2"/>
        <v>55.266600355491335</v>
      </c>
      <c r="H57" s="233">
        <f>F57*'92'!$C$20/100</f>
        <v>49.96273024707898</v>
      </c>
      <c r="I57" s="233">
        <f>E57*мат.кон.елем!$F$32</f>
        <v>10.591166096924674</v>
      </c>
      <c r="J57" s="233">
        <f>((F57+G57+H57+I57)/C57)*50/100</f>
        <v>0.16391225281224675</v>
      </c>
    </row>
    <row r="58" spans="1:10" x14ac:dyDescent="0.2">
      <c r="A58" s="164">
        <v>56</v>
      </c>
      <c r="B58" s="285" t="s">
        <v>386</v>
      </c>
      <c r="C58" s="330">
        <v>946.6</v>
      </c>
      <c r="D58" s="233">
        <f>[8]Лист1!$H$102</f>
        <v>229.9333</v>
      </c>
      <c r="E58" s="199">
        <f t="shared" si="0"/>
        <v>2.2151570327552987E-2</v>
      </c>
      <c r="F58" s="233">
        <f t="shared" si="1"/>
        <v>206.34187760115609</v>
      </c>
      <c r="G58" s="233">
        <f t="shared" si="2"/>
        <v>45.395213072254336</v>
      </c>
      <c r="H58" s="233">
        <f>F58*'92'!$C$20/100</f>
        <v>41.038688297250403</v>
      </c>
      <c r="I58" s="233">
        <f>E58*мат.кон.елем!$F$32</f>
        <v>8.6994357995780067</v>
      </c>
      <c r="J58" s="233">
        <f>((F58+G58+H58+I58)/C58)*50/100</f>
        <v>0.15924108111675409</v>
      </c>
    </row>
    <row r="59" spans="1:10" x14ac:dyDescent="0.2">
      <c r="A59" s="164">
        <v>57</v>
      </c>
      <c r="B59" s="285" t="s">
        <v>387</v>
      </c>
      <c r="C59" s="330">
        <v>1375.7</v>
      </c>
      <c r="D59" s="233">
        <v>819.9</v>
      </c>
      <c r="E59" s="199">
        <f t="shared" si="0"/>
        <v>7.8988439306358377E-2</v>
      </c>
      <c r="F59" s="233">
        <f t="shared" si="1"/>
        <v>735.77731213872823</v>
      </c>
      <c r="G59" s="233">
        <f t="shared" si="2"/>
        <v>161.87100867052021</v>
      </c>
      <c r="H59" s="233">
        <f>F59*'92'!$C$20/100</f>
        <v>146.33643989328905</v>
      </c>
      <c r="I59" s="233">
        <f>E59*мат.кон.елем!$F$32</f>
        <v>31.020593415890637</v>
      </c>
      <c r="J59" s="233">
        <f t="shared" si="3"/>
        <v>0.78142425973571861</v>
      </c>
    </row>
    <row r="60" spans="1:10" x14ac:dyDescent="0.2">
      <c r="A60" s="164">
        <v>58</v>
      </c>
      <c r="B60" s="285" t="s">
        <v>388</v>
      </c>
      <c r="C60" s="330">
        <v>1540.17</v>
      </c>
      <c r="D60" s="233">
        <f>[8]Лист1!$H$34</f>
        <v>559.86670000000004</v>
      </c>
      <c r="E60" s="199">
        <f t="shared" si="0"/>
        <v>5.3937061657032756E-2</v>
      </c>
      <c r="F60" s="233">
        <f t="shared" si="1"/>
        <v>502.42372933526013</v>
      </c>
      <c r="G60" s="233">
        <f t="shared" si="2"/>
        <v>110.53322045375722</v>
      </c>
      <c r="H60" s="233">
        <f>F60*'92'!$C$20/100</f>
        <v>99.92547834224186</v>
      </c>
      <c r="I60" s="233">
        <f>E60*мат.кон.елем!$F$32</f>
        <v>21.18233597730994</v>
      </c>
      <c r="J60" s="233">
        <f t="shared" si="3"/>
        <v>0.47661281813602979</v>
      </c>
    </row>
    <row r="61" spans="1:10" x14ac:dyDescent="0.2">
      <c r="A61" s="164">
        <v>59</v>
      </c>
      <c r="B61" s="285" t="s">
        <v>389</v>
      </c>
      <c r="C61" s="330">
        <v>1571.33</v>
      </c>
      <c r="D61" s="233">
        <f>[8]Лист1!$H$35</f>
        <v>559.86670000000004</v>
      </c>
      <c r="E61" s="199">
        <f t="shared" si="0"/>
        <v>5.3937061657032756E-2</v>
      </c>
      <c r="F61" s="233">
        <f t="shared" si="1"/>
        <v>502.42372933526013</v>
      </c>
      <c r="G61" s="233">
        <f t="shared" si="2"/>
        <v>110.53322045375722</v>
      </c>
      <c r="H61" s="233">
        <f>F61*'92'!$C$20/100</f>
        <v>99.92547834224186</v>
      </c>
      <c r="I61" s="233">
        <f>E61*мат.кон.елем!$F$32</f>
        <v>21.18233597730994</v>
      </c>
      <c r="J61" s="233">
        <f>((F61+G61+H61+I61)/C61)*70/100</f>
        <v>0.32701299846372078</v>
      </c>
    </row>
    <row r="62" spans="1:10" x14ac:dyDescent="0.2">
      <c r="A62" s="164">
        <v>60</v>
      </c>
      <c r="B62" s="285" t="s">
        <v>390</v>
      </c>
      <c r="C62" s="330">
        <v>1686.29</v>
      </c>
      <c r="D62" s="233">
        <v>679.9</v>
      </c>
      <c r="E62" s="199">
        <f t="shared" si="0"/>
        <v>6.5500963391136799E-2</v>
      </c>
      <c r="F62" s="233">
        <f t="shared" si="1"/>
        <v>610.14147398843932</v>
      </c>
      <c r="G62" s="233">
        <f t="shared" si="2"/>
        <v>134.23112427745664</v>
      </c>
      <c r="H62" s="233">
        <f>F62*'92'!$C$20/100</f>
        <v>121.34912243376903</v>
      </c>
      <c r="I62" s="233">
        <f>E62*мат.кон.елем!$F$32</f>
        <v>25.723748583319971</v>
      </c>
      <c r="J62" s="233">
        <f t="shared" si="3"/>
        <v>0.52864303843525429</v>
      </c>
    </row>
    <row r="63" spans="1:10" x14ac:dyDescent="0.2">
      <c r="A63" s="164">
        <v>61</v>
      </c>
      <c r="B63" s="285" t="s">
        <v>391</v>
      </c>
      <c r="C63" s="330">
        <v>454.2</v>
      </c>
      <c r="D63" s="233">
        <f>[8]Лист1!$H$37</f>
        <v>139.9667</v>
      </c>
      <c r="E63" s="199">
        <f t="shared" si="0"/>
        <v>1.3484267822736032E-2</v>
      </c>
      <c r="F63" s="233">
        <f t="shared" si="1"/>
        <v>125.60595476878613</v>
      </c>
      <c r="G63" s="233">
        <f t="shared" si="2"/>
        <v>27.633310049132952</v>
      </c>
      <c r="H63" s="233">
        <f>F63*'92'!$C$20/100</f>
        <v>24.98137404758144</v>
      </c>
      <c r="I63" s="233">
        <f>E63*мат.кон.елем!$F$32</f>
        <v>5.2955849401926338</v>
      </c>
      <c r="J63" s="233">
        <f t="shared" si="3"/>
        <v>0.40404276487382906</v>
      </c>
    </row>
    <row r="64" spans="1:10" x14ac:dyDescent="0.2">
      <c r="A64" s="164">
        <v>62</v>
      </c>
      <c r="B64" s="285" t="s">
        <v>392</v>
      </c>
      <c r="C64" s="330">
        <v>752.4</v>
      </c>
      <c r="D64" s="233">
        <f>[8]Лист1!$H$38</f>
        <v>279.93330000000003</v>
      </c>
      <c r="E64" s="199">
        <f t="shared" si="0"/>
        <v>2.6968526011560696E-2</v>
      </c>
      <c r="F64" s="233">
        <f t="shared" si="1"/>
        <v>251.21181979768789</v>
      </c>
      <c r="G64" s="233">
        <f t="shared" si="2"/>
        <v>55.266600355491335</v>
      </c>
      <c r="H64" s="233">
        <f>F64*'92'!$C$20/100</f>
        <v>49.96273024707898</v>
      </c>
      <c r="I64" s="233">
        <f>E64*мат.кон.елем!$F$32</f>
        <v>10.591166096924674</v>
      </c>
      <c r="J64" s="233">
        <f t="shared" si="3"/>
        <v>0.48781541267568168</v>
      </c>
    </row>
    <row r="65" spans="1:10" x14ac:dyDescent="0.2">
      <c r="A65" s="164">
        <v>63</v>
      </c>
      <c r="B65" s="285" t="s">
        <v>393</v>
      </c>
      <c r="C65" s="330">
        <v>956.4</v>
      </c>
      <c r="D65" s="233">
        <f>[8]Лист1!$H$40</f>
        <v>279.93330000000003</v>
      </c>
      <c r="E65" s="199">
        <f t="shared" si="0"/>
        <v>2.6968526011560696E-2</v>
      </c>
      <c r="F65" s="233">
        <f t="shared" si="1"/>
        <v>251.21181979768789</v>
      </c>
      <c r="G65" s="233">
        <f t="shared" si="2"/>
        <v>55.266600355491335</v>
      </c>
      <c r="H65" s="233">
        <f>F65*'92'!$C$20/100</f>
        <v>49.96273024707898</v>
      </c>
      <c r="I65" s="233">
        <f>E65*мат.кон.елем!$F$32</f>
        <v>10.591166096924674</v>
      </c>
      <c r="J65" s="233">
        <f t="shared" si="3"/>
        <v>0.38376444635840956</v>
      </c>
    </row>
    <row r="66" spans="1:10" x14ac:dyDescent="0.2">
      <c r="A66" s="164">
        <v>64</v>
      </c>
      <c r="B66" s="285" t="s">
        <v>394</v>
      </c>
      <c r="C66" s="330">
        <v>955.5</v>
      </c>
      <c r="D66" s="233">
        <f>[8]Лист1!$H$47</f>
        <v>279.93330000000003</v>
      </c>
      <c r="E66" s="199">
        <f t="shared" si="0"/>
        <v>2.6968526011560696E-2</v>
      </c>
      <c r="F66" s="233">
        <f t="shared" si="1"/>
        <v>251.21181979768789</v>
      </c>
      <c r="G66" s="233">
        <f t="shared" si="2"/>
        <v>55.266600355491335</v>
      </c>
      <c r="H66" s="233">
        <f>F66*'92'!$C$20/100</f>
        <v>49.96273024707898</v>
      </c>
      <c r="I66" s="233">
        <f>E66*мат.кон.елем!$F$32</f>
        <v>10.591166096924674</v>
      </c>
      <c r="J66" s="233">
        <f>((F66+G66+H66+I66)/C66)*40/100</f>
        <v>0.15365036797370293</v>
      </c>
    </row>
    <row r="67" spans="1:10" x14ac:dyDescent="0.2">
      <c r="A67" s="164">
        <v>65</v>
      </c>
      <c r="B67" s="285" t="s">
        <v>395</v>
      </c>
      <c r="C67" s="330">
        <v>1548.5</v>
      </c>
      <c r="D67" s="233">
        <f>[8]Лист1!$H$28</f>
        <v>559.86670000000004</v>
      </c>
      <c r="E67" s="199">
        <f t="shared" ref="E67:E130" si="4">D67/$E$163</f>
        <v>5.3937061657032756E-2</v>
      </c>
      <c r="F67" s="233">
        <f t="shared" ref="F67:F130" si="5">E67*$F$163</f>
        <v>502.42372933526013</v>
      </c>
      <c r="G67" s="233">
        <f t="shared" si="2"/>
        <v>110.53322045375722</v>
      </c>
      <c r="H67" s="233">
        <f>F67*'92'!$C$20/100</f>
        <v>99.92547834224186</v>
      </c>
      <c r="I67" s="233">
        <f>E67*мат.кон.елем!$F$32</f>
        <v>21.18233597730994</v>
      </c>
      <c r="J67" s="233">
        <f>((F67+G67+H67+I67)/C67)*40/100</f>
        <v>0.18961957096766394</v>
      </c>
    </row>
    <row r="68" spans="1:10" x14ac:dyDescent="0.2">
      <c r="A68" s="164">
        <v>66</v>
      </c>
      <c r="B68" s="285" t="s">
        <v>396</v>
      </c>
      <c r="C68" s="330">
        <v>1567.3</v>
      </c>
      <c r="D68" s="233">
        <f>[8]Лист1!$H$29</f>
        <v>559.86670000000004</v>
      </c>
      <c r="E68" s="199">
        <f t="shared" si="4"/>
        <v>5.3937061657032756E-2</v>
      </c>
      <c r="F68" s="233">
        <f t="shared" si="5"/>
        <v>502.42372933526013</v>
      </c>
      <c r="G68" s="233">
        <f t="shared" ref="G68:G131" si="6">F68*22/100</f>
        <v>110.53322045375722</v>
      </c>
      <c r="H68" s="233">
        <f>F68*'92'!$C$20/100</f>
        <v>99.92547834224186</v>
      </c>
      <c r="I68" s="233">
        <f>E68*мат.кон.елем!$F$32</f>
        <v>21.18233597730994</v>
      </c>
      <c r="J68" s="233">
        <f>((F68+G68+H68+I68)/C68)*40/100</f>
        <v>0.18734505560098746</v>
      </c>
    </row>
    <row r="69" spans="1:10" x14ac:dyDescent="0.2">
      <c r="A69" s="164">
        <v>67</v>
      </c>
      <c r="B69" s="285" t="s">
        <v>397</v>
      </c>
      <c r="C69" s="330">
        <v>1558.46</v>
      </c>
      <c r="D69" s="233">
        <f>[8]Лист1!$H$31</f>
        <v>559.86670000000004</v>
      </c>
      <c r="E69" s="199">
        <f t="shared" si="4"/>
        <v>5.3937061657032756E-2</v>
      </c>
      <c r="F69" s="233">
        <f t="shared" si="5"/>
        <v>502.42372933526013</v>
      </c>
      <c r="G69" s="233">
        <f t="shared" si="6"/>
        <v>110.53322045375722</v>
      </c>
      <c r="H69" s="233">
        <f>F69*'92'!$C$20/100</f>
        <v>99.92547834224186</v>
      </c>
      <c r="I69" s="233">
        <f>E69*мат.кон.елем!$F$32</f>
        <v>21.18233597730994</v>
      </c>
      <c r="J69" s="233">
        <f t="shared" ref="J69:J131" si="7">((F69+G69+H69+I69)/C69)</f>
        <v>0.47101931657441903</v>
      </c>
    </row>
    <row r="70" spans="1:10" x14ac:dyDescent="0.2">
      <c r="A70" s="164">
        <v>68</v>
      </c>
      <c r="B70" s="285" t="s">
        <v>398</v>
      </c>
      <c r="C70" s="330">
        <v>1575.7</v>
      </c>
      <c r="D70" s="233">
        <f>[8]Лист1!$H$32</f>
        <v>559.86670000000004</v>
      </c>
      <c r="E70" s="199">
        <f t="shared" si="4"/>
        <v>5.3937061657032756E-2</v>
      </c>
      <c r="F70" s="233">
        <f t="shared" si="5"/>
        <v>502.42372933526013</v>
      </c>
      <c r="G70" s="233">
        <f t="shared" si="6"/>
        <v>110.53322045375722</v>
      </c>
      <c r="H70" s="233">
        <f>F70*'92'!$C$20/100</f>
        <v>99.92547834224186</v>
      </c>
      <c r="I70" s="233">
        <f>E70*мат.кон.елем!$F$32</f>
        <v>21.18233597730994</v>
      </c>
      <c r="J70" s="233">
        <f t="shared" si="7"/>
        <v>0.46586581462751098</v>
      </c>
    </row>
    <row r="71" spans="1:10" x14ac:dyDescent="0.2">
      <c r="A71" s="164">
        <v>69</v>
      </c>
      <c r="B71" s="285" t="s">
        <v>399</v>
      </c>
      <c r="C71" s="330">
        <v>1546.3</v>
      </c>
      <c r="D71" s="233">
        <f>[8]Лист1!$H$33</f>
        <v>559.86670000000004</v>
      </c>
      <c r="E71" s="199">
        <f t="shared" si="4"/>
        <v>5.3937061657032756E-2</v>
      </c>
      <c r="F71" s="233">
        <f t="shared" si="5"/>
        <v>502.42372933526013</v>
      </c>
      <c r="G71" s="233">
        <f t="shared" si="6"/>
        <v>110.53322045375722</v>
      </c>
      <c r="H71" s="233">
        <f>F71*'92'!$C$20/100</f>
        <v>99.92547834224186</v>
      </c>
      <c r="I71" s="233">
        <f>E71*мат.кон.елем!$F$32</f>
        <v>21.18233597730994</v>
      </c>
      <c r="J71" s="233">
        <f>((F71+G71+H71+I71)/C71)*50/100</f>
        <v>0.23736169052207498</v>
      </c>
    </row>
    <row r="72" spans="1:10" x14ac:dyDescent="0.2">
      <c r="A72" s="164">
        <v>70</v>
      </c>
      <c r="B72" s="285" t="s">
        <v>400</v>
      </c>
      <c r="C72" s="330">
        <v>563.1</v>
      </c>
      <c r="D72" s="233">
        <f>[8]Лист1!$H$136</f>
        <v>139.9667</v>
      </c>
      <c r="E72" s="199">
        <f t="shared" si="4"/>
        <v>1.3484267822736032E-2</v>
      </c>
      <c r="F72" s="233">
        <f t="shared" si="5"/>
        <v>125.60595476878613</v>
      </c>
      <c r="G72" s="233">
        <f t="shared" si="6"/>
        <v>27.633310049132952</v>
      </c>
      <c r="H72" s="233">
        <f>F72*'92'!$C$20/100</f>
        <v>24.98137404758144</v>
      </c>
      <c r="I72" s="233">
        <f>E72*мат.кон.елем!$F$32</f>
        <v>5.2955849401926338</v>
      </c>
      <c r="J72" s="233">
        <f>((F72+G72+H72+I72)/C72)*50/100</f>
        <v>0.1629517171068133</v>
      </c>
    </row>
    <row r="73" spans="1:10" x14ac:dyDescent="0.2">
      <c r="A73" s="164">
        <v>71</v>
      </c>
      <c r="B73" s="285" t="s">
        <v>401</v>
      </c>
      <c r="C73" s="330">
        <v>549.6</v>
      </c>
      <c r="D73" s="233">
        <f>[8]Лист1!$H$145</f>
        <v>139.9667</v>
      </c>
      <c r="E73" s="199">
        <f t="shared" si="4"/>
        <v>1.3484267822736032E-2</v>
      </c>
      <c r="F73" s="233">
        <f t="shared" si="5"/>
        <v>125.60595476878613</v>
      </c>
      <c r="G73" s="233">
        <f t="shared" si="6"/>
        <v>27.633310049132952</v>
      </c>
      <c r="H73" s="233">
        <f>F73*'92'!$C$20/100</f>
        <v>24.98137404758144</v>
      </c>
      <c r="I73" s="233">
        <f>E73*мат.кон.елем!$F$32</f>
        <v>5.2955849401926338</v>
      </c>
      <c r="J73" s="233">
        <f>((F73+G73+H73+I73)/C73)*40/100</f>
        <v>0.13356348166353216</v>
      </c>
    </row>
    <row r="74" spans="1:10" x14ac:dyDescent="0.2">
      <c r="A74" s="164">
        <v>72</v>
      </c>
      <c r="B74" s="285" t="s">
        <v>402</v>
      </c>
      <c r="C74" s="330">
        <v>983</v>
      </c>
      <c r="D74" s="233">
        <v>379.3</v>
      </c>
      <c r="E74" s="199">
        <f t="shared" si="4"/>
        <v>3.6541425818882464E-2</v>
      </c>
      <c r="F74" s="233">
        <f t="shared" si="5"/>
        <v>340.38338150289013</v>
      </c>
      <c r="G74" s="233">
        <f t="shared" si="6"/>
        <v>74.884343930635836</v>
      </c>
      <c r="H74" s="233">
        <f>F74*'92'!$C$20/100</f>
        <v>67.6977822313996</v>
      </c>
      <c r="I74" s="233">
        <f>E74*мат.кон.елем!$F$32</f>
        <v>14.350666035671813</v>
      </c>
      <c r="J74" s="233">
        <f t="shared" si="7"/>
        <v>0.50591675859674201</v>
      </c>
    </row>
    <row r="75" spans="1:10" x14ac:dyDescent="0.2">
      <c r="A75" s="164">
        <v>73</v>
      </c>
      <c r="B75" s="285" t="s">
        <v>403</v>
      </c>
      <c r="C75" s="330">
        <v>1093.5999999999999</v>
      </c>
      <c r="D75" s="233">
        <v>379.3</v>
      </c>
      <c r="E75" s="199">
        <f t="shared" si="4"/>
        <v>3.6541425818882464E-2</v>
      </c>
      <c r="F75" s="233">
        <f t="shared" si="5"/>
        <v>340.38338150289013</v>
      </c>
      <c r="G75" s="233">
        <f t="shared" si="6"/>
        <v>74.884343930635836</v>
      </c>
      <c r="H75" s="233">
        <f>F75*'92'!$C$20/100</f>
        <v>67.6977822313996</v>
      </c>
      <c r="I75" s="233">
        <f>E75*мат.кон.елем!$F$32</f>
        <v>14.350666035671813</v>
      </c>
      <c r="J75" s="233">
        <f t="shared" si="7"/>
        <v>0.45475143900932463</v>
      </c>
    </row>
    <row r="76" spans="1:10" x14ac:dyDescent="0.2">
      <c r="A76" s="164">
        <v>74</v>
      </c>
      <c r="B76" s="285" t="s">
        <v>404</v>
      </c>
      <c r="C76" s="330">
        <v>773.53</v>
      </c>
      <c r="D76" s="233">
        <f>[8]Лист1!$H$150</f>
        <v>279.93330000000003</v>
      </c>
      <c r="E76" s="199">
        <f t="shared" si="4"/>
        <v>2.6968526011560696E-2</v>
      </c>
      <c r="F76" s="233">
        <f t="shared" si="5"/>
        <v>251.21181979768789</v>
      </c>
      <c r="G76" s="233">
        <f t="shared" si="6"/>
        <v>55.266600355491335</v>
      </c>
      <c r="H76" s="233">
        <f>F76*'92'!$C$20/100</f>
        <v>49.96273024707898</v>
      </c>
      <c r="I76" s="233">
        <f>E76*мат.кон.елем!$F$32</f>
        <v>10.591166096924674</v>
      </c>
      <c r="J76" s="233">
        <f t="shared" si="7"/>
        <v>0.47449008635370687</v>
      </c>
    </row>
    <row r="77" spans="1:10" x14ac:dyDescent="0.2">
      <c r="A77" s="164">
        <v>75</v>
      </c>
      <c r="B77" s="285" t="s">
        <v>405</v>
      </c>
      <c r="C77" s="330">
        <v>1603.4</v>
      </c>
      <c r="D77" s="233">
        <f>[8]Лист1!$H$152</f>
        <v>699.83330000000001</v>
      </c>
      <c r="E77" s="199">
        <f t="shared" si="4"/>
        <v>6.7421319845857419E-2</v>
      </c>
      <c r="F77" s="233">
        <f t="shared" si="5"/>
        <v>628.02959436416188</v>
      </c>
      <c r="G77" s="233">
        <f t="shared" si="6"/>
        <v>138.16651076011561</v>
      </c>
      <c r="H77" s="233">
        <f>F77*'92'!$C$20/100</f>
        <v>124.90683454173939</v>
      </c>
      <c r="I77" s="233">
        <f>E77*мат.кон.елем!$F$32</f>
        <v>26.477917134041981</v>
      </c>
      <c r="J77" s="233">
        <f>((F77+G77+H77+I77)/C77)*30/100</f>
        <v>0.1716815872770473</v>
      </c>
    </row>
    <row r="78" spans="1:10" x14ac:dyDescent="0.2">
      <c r="A78" s="164">
        <v>76</v>
      </c>
      <c r="B78" s="285" t="s">
        <v>406</v>
      </c>
      <c r="C78" s="330">
        <v>561.1</v>
      </c>
      <c r="D78" s="233">
        <v>379.3</v>
      </c>
      <c r="E78" s="199">
        <f t="shared" si="4"/>
        <v>3.6541425818882464E-2</v>
      </c>
      <c r="F78" s="233">
        <f t="shared" si="5"/>
        <v>340.38338150289013</v>
      </c>
      <c r="G78" s="233">
        <f t="shared" si="6"/>
        <v>74.884343930635836</v>
      </c>
      <c r="H78" s="233">
        <f>F78*'92'!$C$20/100</f>
        <v>67.6977822313996</v>
      </c>
      <c r="I78" s="233">
        <f>E78*мат.кон.елем!$F$32</f>
        <v>14.350666035671813</v>
      </c>
      <c r="J78" s="233">
        <f t="shared" si="7"/>
        <v>0.88632360310211611</v>
      </c>
    </row>
    <row r="79" spans="1:10" x14ac:dyDescent="0.2">
      <c r="A79" s="164">
        <v>77</v>
      </c>
      <c r="B79" s="285" t="s">
        <v>407</v>
      </c>
      <c r="C79" s="330">
        <v>780.4</v>
      </c>
      <c r="D79" s="233">
        <f>[8]Лист1!$H$155</f>
        <v>279.93330000000003</v>
      </c>
      <c r="E79" s="199">
        <f t="shared" si="4"/>
        <v>2.6968526011560696E-2</v>
      </c>
      <c r="F79" s="233">
        <f t="shared" si="5"/>
        <v>251.21181979768789</v>
      </c>
      <c r="G79" s="233">
        <f t="shared" si="6"/>
        <v>55.266600355491335</v>
      </c>
      <c r="H79" s="233">
        <f>F79*'92'!$C$20/100</f>
        <v>49.96273024707898</v>
      </c>
      <c r="I79" s="233">
        <f>E79*мат.кон.елем!$F$32</f>
        <v>10.591166096924674</v>
      </c>
      <c r="J79" s="233">
        <f>((F79+G79+H79+I79)/C79)*60/100</f>
        <v>0.28218783943914622</v>
      </c>
    </row>
    <row r="80" spans="1:10" x14ac:dyDescent="0.2">
      <c r="A80" s="164">
        <v>78</v>
      </c>
      <c r="B80" s="285" t="s">
        <v>408</v>
      </c>
      <c r="C80" s="330">
        <v>1890.1</v>
      </c>
      <c r="D80" s="233">
        <v>619.9</v>
      </c>
      <c r="E80" s="199">
        <f t="shared" si="4"/>
        <v>5.9720616570327553E-2</v>
      </c>
      <c r="F80" s="233">
        <f t="shared" si="5"/>
        <v>556.29754335260111</v>
      </c>
      <c r="G80" s="233">
        <f t="shared" si="6"/>
        <v>122.38545953757225</v>
      </c>
      <c r="H80" s="233">
        <f>F80*'92'!$C$20/100</f>
        <v>110.64027209397473</v>
      </c>
      <c r="I80" s="233">
        <f>E80*мат.кон.елем!$F$32</f>
        <v>23.453672226503972</v>
      </c>
      <c r="J80" s="233">
        <f t="shared" si="7"/>
        <v>0.43001796053682456</v>
      </c>
    </row>
    <row r="81" spans="1:10" x14ac:dyDescent="0.2">
      <c r="A81" s="164">
        <v>79</v>
      </c>
      <c r="B81" s="285" t="s">
        <v>409</v>
      </c>
      <c r="C81" s="330">
        <v>1734.5</v>
      </c>
      <c r="D81" s="233">
        <f>[8]Лист1!$H$158</f>
        <v>419.9</v>
      </c>
      <c r="E81" s="199">
        <f t="shared" si="4"/>
        <v>4.0452793834296723E-2</v>
      </c>
      <c r="F81" s="233">
        <f t="shared" si="5"/>
        <v>376.81777456647399</v>
      </c>
      <c r="G81" s="233">
        <f t="shared" si="6"/>
        <v>82.899910404624279</v>
      </c>
      <c r="H81" s="233">
        <f>F81*'92'!$C$20/100</f>
        <v>74.944104294660406</v>
      </c>
      <c r="I81" s="233">
        <f>E81*мат.кон.елем!$F$32</f>
        <v>15.886751037117305</v>
      </c>
      <c r="J81" s="233">
        <f t="shared" si="7"/>
        <v>0.3174105161734655</v>
      </c>
    </row>
    <row r="82" spans="1:10" x14ac:dyDescent="0.2">
      <c r="A82" s="164">
        <v>80</v>
      </c>
      <c r="B82" s="285" t="s">
        <v>410</v>
      </c>
      <c r="C82" s="330">
        <v>1565.58</v>
      </c>
      <c r="D82" s="233">
        <f>[8]Лист1!$H$159</f>
        <v>419.9</v>
      </c>
      <c r="E82" s="199">
        <f t="shared" si="4"/>
        <v>4.0452793834296723E-2</v>
      </c>
      <c r="F82" s="233">
        <f t="shared" si="5"/>
        <v>376.81777456647399</v>
      </c>
      <c r="G82" s="233">
        <f t="shared" si="6"/>
        <v>82.899910404624279</v>
      </c>
      <c r="H82" s="233">
        <f>F82*'92'!$C$20/100</f>
        <v>74.944104294660406</v>
      </c>
      <c r="I82" s="233">
        <f>E82*мат.кон.елем!$F$32</f>
        <v>15.886751037117305</v>
      </c>
      <c r="J82" s="233">
        <f t="shared" si="7"/>
        <v>0.35165787778515051</v>
      </c>
    </row>
    <row r="83" spans="1:10" x14ac:dyDescent="0.2">
      <c r="A83" s="164">
        <v>81</v>
      </c>
      <c r="B83" s="285" t="s">
        <v>411</v>
      </c>
      <c r="C83" s="330">
        <v>2043.8</v>
      </c>
      <c r="D83" s="233">
        <f>[8]Лист1!$H$8</f>
        <v>453.13</v>
      </c>
      <c r="E83" s="199">
        <f t="shared" si="4"/>
        <v>4.3654142581888246E-2</v>
      </c>
      <c r="F83" s="233">
        <f t="shared" si="5"/>
        <v>406.63833815028903</v>
      </c>
      <c r="G83" s="233">
        <f t="shared" si="6"/>
        <v>89.460434393063593</v>
      </c>
      <c r="H83" s="233">
        <f>F83*'92'!$C$20/100</f>
        <v>80.875022574516493</v>
      </c>
      <c r="I83" s="233">
        <f>E83*мат.кон.елем!$F$32</f>
        <v>17.143994992733901</v>
      </c>
      <c r="J83" s="233">
        <f t="shared" si="7"/>
        <v>0.29069272439113569</v>
      </c>
    </row>
    <row r="84" spans="1:10" x14ac:dyDescent="0.2">
      <c r="A84" s="164">
        <v>82</v>
      </c>
      <c r="B84" s="285" t="s">
        <v>412</v>
      </c>
      <c r="C84" s="330">
        <v>1277.5999999999999</v>
      </c>
      <c r="D84" s="233">
        <f>[8]Лист1!$H$17</f>
        <v>302.08670000000001</v>
      </c>
      <c r="E84" s="199">
        <f t="shared" si="4"/>
        <v>2.9102764932562621E-2</v>
      </c>
      <c r="F84" s="233">
        <f t="shared" si="5"/>
        <v>271.09225534682082</v>
      </c>
      <c r="G84" s="233">
        <f t="shared" si="6"/>
        <v>59.640296176300581</v>
      </c>
      <c r="H84" s="233">
        <f>F84*'92'!$C$20/100</f>
        <v>53.916687665705631</v>
      </c>
      <c r="I84" s="233">
        <f>E84*мат.кон.елем!$F$32</f>
        <v>11.429331256309466</v>
      </c>
      <c r="J84" s="233">
        <f t="shared" si="7"/>
        <v>0.31001766628454647</v>
      </c>
    </row>
    <row r="85" spans="1:10" x14ac:dyDescent="0.2">
      <c r="A85" s="164">
        <v>83</v>
      </c>
      <c r="B85" s="285" t="s">
        <v>413</v>
      </c>
      <c r="C85" s="330">
        <v>1281.1500000000001</v>
      </c>
      <c r="D85" s="233">
        <f>[8]Лист1!$H$19</f>
        <v>302.08670000000001</v>
      </c>
      <c r="E85" s="199">
        <f t="shared" si="4"/>
        <v>2.9102764932562621E-2</v>
      </c>
      <c r="F85" s="233">
        <f t="shared" si="5"/>
        <v>271.09225534682082</v>
      </c>
      <c r="G85" s="233">
        <f t="shared" si="6"/>
        <v>59.640296176300581</v>
      </c>
      <c r="H85" s="233">
        <f>F85*'92'!$C$20/100</f>
        <v>53.916687665705631</v>
      </c>
      <c r="I85" s="233">
        <f>E85*мат.кон.елем!$F$32</f>
        <v>11.429331256309466</v>
      </c>
      <c r="J85" s="233">
        <f t="shared" si="7"/>
        <v>0.30915862345949846</v>
      </c>
    </row>
    <row r="86" spans="1:10" x14ac:dyDescent="0.2">
      <c r="A86" s="164">
        <v>84</v>
      </c>
      <c r="B86" s="285" t="s">
        <v>414</v>
      </c>
      <c r="C86" s="330">
        <v>1492.3</v>
      </c>
      <c r="D86" s="233">
        <f>[8]Лист1!$H$10</f>
        <v>302.08670000000001</v>
      </c>
      <c r="E86" s="199">
        <f t="shared" si="4"/>
        <v>2.9102764932562621E-2</v>
      </c>
      <c r="F86" s="233">
        <f t="shared" si="5"/>
        <v>271.09225534682082</v>
      </c>
      <c r="G86" s="233">
        <f t="shared" si="6"/>
        <v>59.640296176300581</v>
      </c>
      <c r="H86" s="233">
        <f>F86*'92'!$C$20/100</f>
        <v>53.916687665705631</v>
      </c>
      <c r="I86" s="233">
        <f>E86*мат.кон.елем!$F$32</f>
        <v>11.429331256309466</v>
      </c>
      <c r="J86" s="233">
        <f t="shared" si="7"/>
        <v>0.26541484315830366</v>
      </c>
    </row>
    <row r="87" spans="1:10" x14ac:dyDescent="0.2">
      <c r="A87" s="164">
        <v>85</v>
      </c>
      <c r="B87" s="285" t="s">
        <v>415</v>
      </c>
      <c r="C87" s="330">
        <v>4130.75</v>
      </c>
      <c r="D87" s="233">
        <f>[8]Лист1!$H$11</f>
        <v>906.26</v>
      </c>
      <c r="E87" s="199">
        <f t="shared" si="4"/>
        <v>8.7308285163776492E-2</v>
      </c>
      <c r="F87" s="233">
        <f t="shared" si="5"/>
        <v>813.27667630057806</v>
      </c>
      <c r="G87" s="233">
        <f t="shared" si="6"/>
        <v>178.92086878612719</v>
      </c>
      <c r="H87" s="233">
        <f>F87*'92'!$C$20/100</f>
        <v>161.75004514903299</v>
      </c>
      <c r="I87" s="233">
        <f>E87*мат.кон.елем!$F$32</f>
        <v>34.287989985467803</v>
      </c>
      <c r="J87" s="233">
        <f t="shared" si="7"/>
        <v>0.28765613513797889</v>
      </c>
    </row>
    <row r="88" spans="1:10" x14ac:dyDescent="0.2">
      <c r="A88" s="164">
        <v>86</v>
      </c>
      <c r="B88" s="285" t="s">
        <v>416</v>
      </c>
      <c r="C88" s="330">
        <v>3262.1</v>
      </c>
      <c r="D88" s="233">
        <f>[8]Лист1!$H$12</f>
        <v>755.21669999999995</v>
      </c>
      <c r="E88" s="199">
        <f t="shared" si="4"/>
        <v>7.2756907514450866E-2</v>
      </c>
      <c r="F88" s="233">
        <f t="shared" si="5"/>
        <v>677.73059349710979</v>
      </c>
      <c r="G88" s="233">
        <f t="shared" si="6"/>
        <v>149.10073056936415</v>
      </c>
      <c r="H88" s="233">
        <f>F88*'92'!$C$20/100</f>
        <v>134.7917102402221</v>
      </c>
      <c r="I88" s="233">
        <f>E88*мат.кон.елем!$F$32</f>
        <v>28.573326249043365</v>
      </c>
      <c r="J88" s="233">
        <f t="shared" si="7"/>
        <v>0.30354567933409138</v>
      </c>
    </row>
    <row r="89" spans="1:10" x14ac:dyDescent="0.2">
      <c r="A89" s="164">
        <v>87</v>
      </c>
      <c r="B89" s="285" t="s">
        <v>417</v>
      </c>
      <c r="C89" s="330">
        <v>1516.8</v>
      </c>
      <c r="D89" s="233">
        <f>[8]Лист1!$H$94</f>
        <v>453.13</v>
      </c>
      <c r="E89" s="199">
        <f t="shared" si="4"/>
        <v>4.3654142581888246E-2</v>
      </c>
      <c r="F89" s="233">
        <f t="shared" si="5"/>
        <v>406.63833815028903</v>
      </c>
      <c r="G89" s="233">
        <f t="shared" si="6"/>
        <v>89.460434393063593</v>
      </c>
      <c r="H89" s="233">
        <f>F89*'92'!$C$20/100</f>
        <v>80.875022574516493</v>
      </c>
      <c r="I89" s="233">
        <f>E89*мат.кон.елем!$F$32</f>
        <v>17.143994992733901</v>
      </c>
      <c r="J89" s="233">
        <f t="shared" si="7"/>
        <v>0.39169158103283436</v>
      </c>
    </row>
    <row r="90" spans="1:10" x14ac:dyDescent="0.2">
      <c r="A90" s="164">
        <v>88</v>
      </c>
      <c r="B90" s="285" t="s">
        <v>418</v>
      </c>
      <c r="C90" s="330">
        <v>752.42</v>
      </c>
      <c r="D90" s="233">
        <f>[8]Лист1!$H$97</f>
        <v>151.04330000000002</v>
      </c>
      <c r="E90" s="199">
        <f t="shared" si="4"/>
        <v>1.4551377649325627E-2</v>
      </c>
      <c r="F90" s="233">
        <f t="shared" si="5"/>
        <v>135.54608280346821</v>
      </c>
      <c r="G90" s="233">
        <f t="shared" si="6"/>
        <v>29.820138216763006</v>
      </c>
      <c r="H90" s="233">
        <f>F90*'92'!$C$20/100</f>
        <v>26.958334908810862</v>
      </c>
      <c r="I90" s="233">
        <f>E90*мат.кон.елем!$F$32</f>
        <v>5.7146637364244359</v>
      </c>
      <c r="J90" s="233">
        <f t="shared" si="7"/>
        <v>0.2632030244616923</v>
      </c>
    </row>
    <row r="91" spans="1:10" x14ac:dyDescent="0.2">
      <c r="A91" s="164">
        <v>89</v>
      </c>
      <c r="B91" s="285" t="s">
        <v>419</v>
      </c>
      <c r="C91" s="330">
        <v>771.7</v>
      </c>
      <c r="D91" s="233">
        <v>201.04</v>
      </c>
      <c r="E91" s="199">
        <f t="shared" si="4"/>
        <v>1.9368015414258189E-2</v>
      </c>
      <c r="F91" s="233">
        <f t="shared" si="5"/>
        <v>180.41306358381505</v>
      </c>
      <c r="G91" s="233">
        <f t="shared" si="6"/>
        <v>39.690873988439314</v>
      </c>
      <c r="H91" s="233">
        <f>F91*'92'!$C$20/100</f>
        <v>35.881787871870756</v>
      </c>
      <c r="I91" s="233">
        <f>E91*мат.кон.елем!$F$32</f>
        <v>7.606269179571477</v>
      </c>
      <c r="J91" s="233">
        <f t="shared" si="7"/>
        <v>0.34157314322106591</v>
      </c>
    </row>
    <row r="92" spans="1:10" x14ac:dyDescent="0.2">
      <c r="A92" s="164">
        <v>90</v>
      </c>
      <c r="B92" s="285" t="s">
        <v>420</v>
      </c>
      <c r="C92" s="330">
        <v>1545</v>
      </c>
      <c r="D92" s="233">
        <f>[8]Лист1!$H$59</f>
        <v>453.13</v>
      </c>
      <c r="E92" s="199">
        <f t="shared" si="4"/>
        <v>4.3654142581888246E-2</v>
      </c>
      <c r="F92" s="233">
        <f t="shared" si="5"/>
        <v>406.63833815028903</v>
      </c>
      <c r="G92" s="233">
        <f t="shared" si="6"/>
        <v>89.460434393063593</v>
      </c>
      <c r="H92" s="233">
        <f>F92*'92'!$C$20/100</f>
        <v>80.875022574516493</v>
      </c>
      <c r="I92" s="233">
        <f>E92*мат.кон.елем!$F$32</f>
        <v>17.143994992733901</v>
      </c>
      <c r="J92" s="233">
        <f t="shared" si="7"/>
        <v>0.38454225897126415</v>
      </c>
    </row>
    <row r="93" spans="1:10" x14ac:dyDescent="0.2">
      <c r="A93" s="164">
        <v>91</v>
      </c>
      <c r="B93" s="285" t="s">
        <v>421</v>
      </c>
      <c r="C93" s="330">
        <v>769.7</v>
      </c>
      <c r="D93" s="233">
        <f>[8]Лист1!$H$68</f>
        <v>151.04330000000002</v>
      </c>
      <c r="E93" s="199">
        <f t="shared" si="4"/>
        <v>1.4551377649325627E-2</v>
      </c>
      <c r="F93" s="233">
        <f t="shared" si="5"/>
        <v>135.54608280346821</v>
      </c>
      <c r="G93" s="233">
        <f t="shared" si="6"/>
        <v>29.820138216763006</v>
      </c>
      <c r="H93" s="233">
        <f>F93*'92'!$C$20/100</f>
        <v>26.958334908810862</v>
      </c>
      <c r="I93" s="233">
        <f>E93*мат.кон.елем!$F$32</f>
        <v>5.7146637364244359</v>
      </c>
      <c r="J93" s="233">
        <f t="shared" si="7"/>
        <v>0.2572940362030226</v>
      </c>
    </row>
    <row r="94" spans="1:10" x14ac:dyDescent="0.2">
      <c r="A94" s="164">
        <v>92</v>
      </c>
      <c r="B94" s="285" t="s">
        <v>422</v>
      </c>
      <c r="C94" s="330">
        <v>776.9</v>
      </c>
      <c r="D94" s="233">
        <v>221.04</v>
      </c>
      <c r="E94" s="199">
        <f t="shared" si="4"/>
        <v>2.1294797687861272E-2</v>
      </c>
      <c r="F94" s="233">
        <f t="shared" si="5"/>
        <v>198.36104046242775</v>
      </c>
      <c r="G94" s="233">
        <f t="shared" si="6"/>
        <v>43.639428901734107</v>
      </c>
      <c r="H94" s="233">
        <f>F94*'92'!$C$20/100</f>
        <v>39.451404651802186</v>
      </c>
      <c r="I94" s="233">
        <f>E94*мат.кон.елем!$F$32</f>
        <v>8.3629612985101431</v>
      </c>
      <c r="J94" s="233">
        <f t="shared" si="7"/>
        <v>0.37304007634763059</v>
      </c>
    </row>
    <row r="95" spans="1:10" x14ac:dyDescent="0.2">
      <c r="A95" s="164">
        <v>93</v>
      </c>
      <c r="B95" s="285" t="s">
        <v>423</v>
      </c>
      <c r="C95" s="330">
        <v>1935.6</v>
      </c>
      <c r="D95" s="233">
        <f>[8]Лист1!$H$74</f>
        <v>453.13</v>
      </c>
      <c r="E95" s="199">
        <f t="shared" si="4"/>
        <v>4.3654142581888246E-2</v>
      </c>
      <c r="F95" s="233">
        <f t="shared" si="5"/>
        <v>406.63833815028903</v>
      </c>
      <c r="G95" s="233">
        <f t="shared" si="6"/>
        <v>89.460434393063593</v>
      </c>
      <c r="H95" s="233">
        <f>F95*'92'!$C$20/100</f>
        <v>80.875022574516493</v>
      </c>
      <c r="I95" s="233">
        <f>E95*мат.кон.елем!$F$32</f>
        <v>17.143994992733901</v>
      </c>
      <c r="J95" s="233">
        <f t="shared" si="7"/>
        <v>0.306942441677311</v>
      </c>
    </row>
    <row r="96" spans="1:10" x14ac:dyDescent="0.2">
      <c r="A96" s="164">
        <v>94</v>
      </c>
      <c r="B96" s="285" t="s">
        <v>424</v>
      </c>
      <c r="C96" s="330">
        <v>1513.72</v>
      </c>
      <c r="D96" s="233">
        <f>[8]Лист1!$H$25</f>
        <v>302.08670000000001</v>
      </c>
      <c r="E96" s="199">
        <f t="shared" si="4"/>
        <v>2.9102764932562621E-2</v>
      </c>
      <c r="F96" s="233">
        <f t="shared" si="5"/>
        <v>271.09225534682082</v>
      </c>
      <c r="G96" s="233">
        <f t="shared" si="6"/>
        <v>59.640296176300581</v>
      </c>
      <c r="H96" s="233">
        <f>F96*'92'!$C$20/100</f>
        <v>53.916687665705631</v>
      </c>
      <c r="I96" s="233">
        <f>E96*мат.кон.елем!$F$32</f>
        <v>11.429331256309466</v>
      </c>
      <c r="J96" s="233">
        <f t="shared" si="7"/>
        <v>0.26165907198500155</v>
      </c>
    </row>
    <row r="97" spans="1:10" x14ac:dyDescent="0.2">
      <c r="A97" s="164">
        <v>95</v>
      </c>
      <c r="B97" s="285" t="s">
        <v>425</v>
      </c>
      <c r="C97" s="330">
        <v>1500.3</v>
      </c>
      <c r="D97" s="233">
        <f>[8]Лист1!$H$26</f>
        <v>302.08670000000001</v>
      </c>
      <c r="E97" s="199">
        <f t="shared" si="4"/>
        <v>2.9102764932562621E-2</v>
      </c>
      <c r="F97" s="233">
        <f t="shared" si="5"/>
        <v>271.09225534682082</v>
      </c>
      <c r="G97" s="233">
        <f t="shared" si="6"/>
        <v>59.640296176300581</v>
      </c>
      <c r="H97" s="233">
        <f>F97*'92'!$C$20/100</f>
        <v>53.916687665705631</v>
      </c>
      <c r="I97" s="233">
        <f>E97*мат.кон.елем!$F$32</f>
        <v>11.429331256309466</v>
      </c>
      <c r="J97" s="233">
        <f t="shared" si="7"/>
        <v>0.26399958038068155</v>
      </c>
    </row>
    <row r="98" spans="1:10" x14ac:dyDescent="0.2">
      <c r="A98" s="164">
        <v>96</v>
      </c>
      <c r="B98" s="285" t="s">
        <v>426</v>
      </c>
      <c r="C98" s="330">
        <v>735.9</v>
      </c>
      <c r="D98" s="233">
        <f>[8]Лист1!$H$53</f>
        <v>151.04330000000002</v>
      </c>
      <c r="E98" s="199">
        <f t="shared" si="4"/>
        <v>1.4551377649325627E-2</v>
      </c>
      <c r="F98" s="233">
        <f t="shared" si="5"/>
        <v>135.54608280346821</v>
      </c>
      <c r="G98" s="233">
        <f t="shared" si="6"/>
        <v>29.820138216763006</v>
      </c>
      <c r="H98" s="233">
        <f>F98*'92'!$C$20/100</f>
        <v>26.958334908810862</v>
      </c>
      <c r="I98" s="233">
        <f>E98*мат.кон.елем!$F$32</f>
        <v>5.7146637364244359</v>
      </c>
      <c r="J98" s="233">
        <f t="shared" si="7"/>
        <v>0.26911159079422003</v>
      </c>
    </row>
    <row r="99" spans="1:10" x14ac:dyDescent="0.2">
      <c r="A99" s="164">
        <v>97</v>
      </c>
      <c r="B99" s="285" t="s">
        <v>427</v>
      </c>
      <c r="C99" s="330">
        <v>757.7</v>
      </c>
      <c r="D99" s="233">
        <f>[8]Лист1!$H$54</f>
        <v>151.04330000000002</v>
      </c>
      <c r="E99" s="199">
        <f t="shared" si="4"/>
        <v>1.4551377649325627E-2</v>
      </c>
      <c r="F99" s="233">
        <f t="shared" si="5"/>
        <v>135.54608280346821</v>
      </c>
      <c r="G99" s="233">
        <f t="shared" si="6"/>
        <v>29.820138216763006</v>
      </c>
      <c r="H99" s="233">
        <f>F99*'92'!$C$20/100</f>
        <v>26.958334908810862</v>
      </c>
      <c r="I99" s="233">
        <f>E99*мат.кон.елем!$F$32</f>
        <v>5.7146637364244359</v>
      </c>
      <c r="J99" s="233">
        <f t="shared" si="7"/>
        <v>0.26136890545792069</v>
      </c>
    </row>
    <row r="100" spans="1:10" x14ac:dyDescent="0.2">
      <c r="A100" s="164">
        <v>98</v>
      </c>
      <c r="B100" s="285" t="s">
        <v>428</v>
      </c>
      <c r="C100" s="330">
        <v>1915.15</v>
      </c>
      <c r="D100" s="233">
        <f>[8]Лист1!$H$142</f>
        <v>453.13</v>
      </c>
      <c r="E100" s="199">
        <f t="shared" si="4"/>
        <v>4.3654142581888246E-2</v>
      </c>
      <c r="F100" s="233">
        <f t="shared" si="5"/>
        <v>406.63833815028903</v>
      </c>
      <c r="G100" s="233">
        <f t="shared" si="6"/>
        <v>89.460434393063593</v>
      </c>
      <c r="H100" s="233">
        <f>F100*'92'!$C$20/100</f>
        <v>80.875022574516493</v>
      </c>
      <c r="I100" s="233">
        <f>E100*мат.кон.елем!$F$32</f>
        <v>17.143994992733901</v>
      </c>
      <c r="J100" s="233">
        <f t="shared" si="7"/>
        <v>0.31021997760520226</v>
      </c>
    </row>
    <row r="101" spans="1:10" x14ac:dyDescent="0.2">
      <c r="A101" s="164">
        <v>99</v>
      </c>
      <c r="B101" s="285" t="s">
        <v>429</v>
      </c>
      <c r="C101" s="330">
        <v>1544.5</v>
      </c>
      <c r="D101" s="233">
        <f>[8]Лист1!$H$134</f>
        <v>453.13</v>
      </c>
      <c r="E101" s="199">
        <f t="shared" si="4"/>
        <v>4.3654142581888246E-2</v>
      </c>
      <c r="F101" s="233">
        <f t="shared" si="5"/>
        <v>406.63833815028903</v>
      </c>
      <c r="G101" s="233">
        <f t="shared" si="6"/>
        <v>89.460434393063593</v>
      </c>
      <c r="H101" s="233">
        <f>F101*'92'!$C$20/100</f>
        <v>80.875022574516493</v>
      </c>
      <c r="I101" s="233">
        <f>E101*мат.кон.елем!$F$32</f>
        <v>17.143994992733901</v>
      </c>
      <c r="J101" s="233">
        <f t="shared" si="7"/>
        <v>0.38466674659152028</v>
      </c>
    </row>
    <row r="102" spans="1:10" x14ac:dyDescent="0.2">
      <c r="A102" s="164">
        <v>100</v>
      </c>
      <c r="B102" s="285" t="s">
        <v>430</v>
      </c>
      <c r="C102" s="330">
        <v>1552.3</v>
      </c>
      <c r="D102" s="233">
        <v>553.13</v>
      </c>
      <c r="E102" s="199">
        <f t="shared" si="4"/>
        <v>5.3288053949903658E-2</v>
      </c>
      <c r="F102" s="233">
        <f t="shared" si="5"/>
        <v>496.37822254335259</v>
      </c>
      <c r="G102" s="233">
        <f t="shared" si="6"/>
        <v>109.20320895953756</v>
      </c>
      <c r="H102" s="233">
        <f>F102*'92'!$C$20/100</f>
        <v>98.723106474173662</v>
      </c>
      <c r="I102" s="233">
        <f>E102*мат.кон.елем!$F$32</f>
        <v>20.927455587427232</v>
      </c>
      <c r="J102" s="233">
        <f t="shared" si="7"/>
        <v>0.46719834668845645</v>
      </c>
    </row>
    <row r="103" spans="1:10" x14ac:dyDescent="0.2">
      <c r="A103" s="164">
        <v>101</v>
      </c>
      <c r="B103" s="285" t="s">
        <v>431</v>
      </c>
      <c r="C103" s="330">
        <v>1287.0999999999999</v>
      </c>
      <c r="D103" s="233">
        <f>[8]Лист1!$H$154</f>
        <v>302.08670000000001</v>
      </c>
      <c r="E103" s="199">
        <f t="shared" si="4"/>
        <v>2.9102764932562621E-2</v>
      </c>
      <c r="F103" s="233">
        <f t="shared" si="5"/>
        <v>271.09225534682082</v>
      </c>
      <c r="G103" s="233">
        <f t="shared" si="6"/>
        <v>59.640296176300581</v>
      </c>
      <c r="H103" s="233">
        <f>F103*'92'!$C$20/100</f>
        <v>53.916687665705631</v>
      </c>
      <c r="I103" s="233">
        <f>E103*мат.кон.елем!$F$32</f>
        <v>11.429331256309466</v>
      </c>
      <c r="J103" s="233">
        <f t="shared" si="7"/>
        <v>0.30772944638733318</v>
      </c>
    </row>
    <row r="104" spans="1:10" x14ac:dyDescent="0.2">
      <c r="A104" s="164">
        <v>102</v>
      </c>
      <c r="B104" s="285" t="s">
        <v>432</v>
      </c>
      <c r="C104" s="330">
        <v>3473.9</v>
      </c>
      <c r="D104" s="233">
        <v>1360</v>
      </c>
      <c r="E104" s="199">
        <f t="shared" si="4"/>
        <v>0.13102119460500963</v>
      </c>
      <c r="F104" s="233">
        <f t="shared" si="5"/>
        <v>1220.4624277456646</v>
      </c>
      <c r="G104" s="233">
        <f t="shared" si="6"/>
        <v>268.50173410404625</v>
      </c>
      <c r="H104" s="233">
        <f>F104*'92'!$C$20/100</f>
        <v>242.73394103533735</v>
      </c>
      <c r="I104" s="233">
        <f>E104*мат.кон.елем!$F$32</f>
        <v>51.455064087829335</v>
      </c>
      <c r="J104" s="233">
        <f t="shared" si="7"/>
        <v>0.51330008548688144</v>
      </c>
    </row>
    <row r="105" spans="1:10" x14ac:dyDescent="0.2">
      <c r="A105" s="164">
        <v>103</v>
      </c>
      <c r="B105" s="285" t="s">
        <v>433</v>
      </c>
      <c r="C105" s="330">
        <v>1838.18</v>
      </c>
      <c r="D105" s="233">
        <f>[8]Лист1!$H$18</f>
        <v>328.75330000000002</v>
      </c>
      <c r="E105" s="199">
        <f t="shared" si="4"/>
        <v>3.167180154142582E-2</v>
      </c>
      <c r="F105" s="233">
        <f t="shared" si="5"/>
        <v>295.0228313583815</v>
      </c>
      <c r="G105" s="233">
        <f t="shared" si="6"/>
        <v>64.905022898843924</v>
      </c>
      <c r="H105" s="233">
        <f>F105*'92'!$C$20/100</f>
        <v>58.676164806891599</v>
      </c>
      <c r="I105" s="233">
        <f>E105*мат.кон.елем!$F$32</f>
        <v>12.438251559253958</v>
      </c>
      <c r="J105" s="233">
        <f t="shared" si="7"/>
        <v>0.23449404880010172</v>
      </c>
    </row>
    <row r="106" spans="1:10" x14ac:dyDescent="0.2">
      <c r="A106" s="164">
        <v>104</v>
      </c>
      <c r="B106" s="285" t="s">
        <v>434</v>
      </c>
      <c r="C106" s="330">
        <v>4517.6000000000004</v>
      </c>
      <c r="D106" s="233">
        <f>[8]Лист1!$H$20</f>
        <v>986.26</v>
      </c>
      <c r="E106" s="199">
        <f t="shared" si="4"/>
        <v>9.5015414258188824E-2</v>
      </c>
      <c r="F106" s="233">
        <f t="shared" si="5"/>
        <v>885.06858381502889</v>
      </c>
      <c r="G106" s="233">
        <f t="shared" si="6"/>
        <v>194.71508843930636</v>
      </c>
      <c r="H106" s="233">
        <f>F106*'92'!$C$20/100</f>
        <v>176.0285122687587</v>
      </c>
      <c r="I106" s="233">
        <f>E106*мат.кон.елем!$F$32</f>
        <v>37.314758461222468</v>
      </c>
      <c r="J106" s="233">
        <f t="shared" si="7"/>
        <v>0.28624201854620068</v>
      </c>
    </row>
    <row r="107" spans="1:10" x14ac:dyDescent="0.2">
      <c r="A107" s="164">
        <v>105</v>
      </c>
      <c r="B107" s="285" t="s">
        <v>435</v>
      </c>
      <c r="C107" s="330">
        <v>4524.9399999999996</v>
      </c>
      <c r="D107" s="233">
        <f>[8]Лист1!$H$21</f>
        <v>1060</v>
      </c>
      <c r="E107" s="199">
        <f t="shared" si="4"/>
        <v>0.10211946050096339</v>
      </c>
      <c r="F107" s="233">
        <f t="shared" si="5"/>
        <v>951.24277456647394</v>
      </c>
      <c r="G107" s="233">
        <f t="shared" si="6"/>
        <v>209.27341040462426</v>
      </c>
      <c r="H107" s="233">
        <f>F107*'92'!$C$20/100</f>
        <v>189.18968933636589</v>
      </c>
      <c r="I107" s="233">
        <f>E107*мат.кон.елем!$F$32</f>
        <v>40.104682303749335</v>
      </c>
      <c r="J107" s="233">
        <f t="shared" si="7"/>
        <v>0.30714452713432966</v>
      </c>
    </row>
    <row r="108" spans="1:10" x14ac:dyDescent="0.2">
      <c r="A108" s="164">
        <v>106</v>
      </c>
      <c r="B108" s="285" t="s">
        <v>436</v>
      </c>
      <c r="C108" s="330">
        <v>4742.2700000000004</v>
      </c>
      <c r="D108" s="233">
        <f>[8]Лист1!$H$22</f>
        <v>986.26</v>
      </c>
      <c r="E108" s="199">
        <f t="shared" si="4"/>
        <v>9.5015414258188824E-2</v>
      </c>
      <c r="F108" s="233">
        <f t="shared" si="5"/>
        <v>885.06858381502889</v>
      </c>
      <c r="G108" s="233">
        <f t="shared" si="6"/>
        <v>194.71508843930636</v>
      </c>
      <c r="H108" s="233">
        <f>F108*'92'!$C$20/100</f>
        <v>176.0285122687587</v>
      </c>
      <c r="I108" s="233">
        <f>E108*мат.кон.елем!$F$32</f>
        <v>37.314758461222468</v>
      </c>
      <c r="J108" s="233">
        <f t="shared" si="7"/>
        <v>0.27268100360888697</v>
      </c>
    </row>
    <row r="109" spans="1:10" x14ac:dyDescent="0.2">
      <c r="A109" s="164">
        <v>107</v>
      </c>
      <c r="B109" s="285" t="s">
        <v>437</v>
      </c>
      <c r="C109" s="330">
        <v>2538.3000000000002</v>
      </c>
      <c r="D109" s="233">
        <f>[8]Лист1!$H$23</f>
        <v>657.50670000000002</v>
      </c>
      <c r="E109" s="199">
        <f t="shared" si="4"/>
        <v>6.3343612716763004E-2</v>
      </c>
      <c r="F109" s="233">
        <f t="shared" si="5"/>
        <v>590.04575245664739</v>
      </c>
      <c r="G109" s="233">
        <f t="shared" si="6"/>
        <v>129.81006554046243</v>
      </c>
      <c r="H109" s="233">
        <f>F109*'92'!$C$20/100</f>
        <v>117.3523474618671</v>
      </c>
      <c r="I109" s="233">
        <f>E109*мат.кон.елем!$F$32</f>
        <v>24.876506901968511</v>
      </c>
      <c r="J109" s="233">
        <f t="shared" si="7"/>
        <v>0.33963072621870755</v>
      </c>
    </row>
    <row r="110" spans="1:10" x14ac:dyDescent="0.2">
      <c r="A110" s="164">
        <v>108</v>
      </c>
      <c r="B110" s="285" t="s">
        <v>438</v>
      </c>
      <c r="C110" s="330">
        <v>4452.8999999999996</v>
      </c>
      <c r="D110" s="233">
        <f>[8]Лист1!$H$24</f>
        <v>1060</v>
      </c>
      <c r="E110" s="199">
        <f t="shared" si="4"/>
        <v>0.10211946050096339</v>
      </c>
      <c r="F110" s="233">
        <f t="shared" si="5"/>
        <v>951.24277456647394</v>
      </c>
      <c r="G110" s="233">
        <f t="shared" si="6"/>
        <v>209.27341040462426</v>
      </c>
      <c r="H110" s="233">
        <f>F110*'92'!$C$20/100</f>
        <v>189.18968933636589</v>
      </c>
      <c r="I110" s="233">
        <f>E110*мат.кон.елем!$F$32</f>
        <v>40.104682303749335</v>
      </c>
      <c r="J110" s="233">
        <f t="shared" si="7"/>
        <v>0.31211357915318416</v>
      </c>
    </row>
    <row r="111" spans="1:10" x14ac:dyDescent="0.2">
      <c r="A111" s="164">
        <v>109</v>
      </c>
      <c r="B111" s="285" t="s">
        <v>439</v>
      </c>
      <c r="C111" s="330">
        <v>1573.08</v>
      </c>
      <c r="D111" s="233">
        <f>[8]Лист1!$H$91</f>
        <v>328.75330000000002</v>
      </c>
      <c r="E111" s="199">
        <f t="shared" si="4"/>
        <v>3.167180154142582E-2</v>
      </c>
      <c r="F111" s="233">
        <f t="shared" si="5"/>
        <v>295.0228313583815</v>
      </c>
      <c r="G111" s="233">
        <f t="shared" si="6"/>
        <v>64.905022898843924</v>
      </c>
      <c r="H111" s="233">
        <f>F111*'92'!$C$20/100</f>
        <v>58.676164806891599</v>
      </c>
      <c r="I111" s="233">
        <f>E111*мат.кон.елем!$F$32</f>
        <v>12.438251559253958</v>
      </c>
      <c r="J111" s="233">
        <f t="shared" si="7"/>
        <v>0.27401166541013239</v>
      </c>
    </row>
    <row r="112" spans="1:10" x14ac:dyDescent="0.2">
      <c r="A112" s="164">
        <v>110</v>
      </c>
      <c r="B112" s="285" t="s">
        <v>440</v>
      </c>
      <c r="C112" s="330">
        <v>3168.45</v>
      </c>
      <c r="D112" s="233">
        <v>1057.7</v>
      </c>
      <c r="E112" s="199">
        <f t="shared" si="4"/>
        <v>0.10189788053949904</v>
      </c>
      <c r="F112" s="233">
        <f t="shared" si="5"/>
        <v>949.17875722543351</v>
      </c>
      <c r="G112" s="233">
        <f t="shared" si="6"/>
        <v>208.81932658959536</v>
      </c>
      <c r="H112" s="233">
        <f>F112*'92'!$C$20/100</f>
        <v>188.77918340667375</v>
      </c>
      <c r="I112" s="233">
        <f>E112*мат.кон.елем!$F$32</f>
        <v>40.017662710071384</v>
      </c>
      <c r="J112" s="233">
        <f t="shared" si="7"/>
        <v>0.43768875315431022</v>
      </c>
    </row>
    <row r="113" spans="1:10" x14ac:dyDescent="0.2">
      <c r="A113" s="164">
        <v>111</v>
      </c>
      <c r="B113" s="285" t="s">
        <v>441</v>
      </c>
      <c r="C113" s="330">
        <v>3182.6</v>
      </c>
      <c r="D113" s="233">
        <v>1057.7</v>
      </c>
      <c r="E113" s="199">
        <f t="shared" si="4"/>
        <v>0.10189788053949904</v>
      </c>
      <c r="F113" s="233">
        <f t="shared" si="5"/>
        <v>949.17875722543351</v>
      </c>
      <c r="G113" s="233">
        <f t="shared" si="6"/>
        <v>208.81932658959536</v>
      </c>
      <c r="H113" s="233">
        <f>F113*'92'!$C$20/100</f>
        <v>188.77918340667375</v>
      </c>
      <c r="I113" s="233">
        <f>E113*мат.кон.елем!$F$32</f>
        <v>40.017662710071384</v>
      </c>
      <c r="J113" s="233">
        <f t="shared" si="7"/>
        <v>0.43574276689869101</v>
      </c>
    </row>
    <row r="114" spans="1:10" x14ac:dyDescent="0.2">
      <c r="A114" s="164">
        <v>112</v>
      </c>
      <c r="B114" s="285" t="s">
        <v>442</v>
      </c>
      <c r="C114" s="330">
        <v>2283.1999999999998</v>
      </c>
      <c r="D114" s="233">
        <f>[8]Лист1!$H$88</f>
        <v>657.50670000000002</v>
      </c>
      <c r="E114" s="199">
        <f t="shared" si="4"/>
        <v>6.3343612716763004E-2</v>
      </c>
      <c r="F114" s="233">
        <f t="shared" si="5"/>
        <v>590.04575245664739</v>
      </c>
      <c r="G114" s="233">
        <f t="shared" si="6"/>
        <v>129.81006554046243</v>
      </c>
      <c r="H114" s="233">
        <f>F114*'92'!$C$20/100</f>
        <v>117.3523474618671</v>
      </c>
      <c r="I114" s="233">
        <f>E114*мат.кон.елем!$F$32</f>
        <v>24.876506901968511</v>
      </c>
      <c r="J114" s="233">
        <f t="shared" si="7"/>
        <v>0.37757737927511631</v>
      </c>
    </row>
    <row r="115" spans="1:10" x14ac:dyDescent="0.2">
      <c r="A115" s="164">
        <v>113</v>
      </c>
      <c r="B115" s="285" t="s">
        <v>443</v>
      </c>
      <c r="C115" s="330">
        <v>1091.7</v>
      </c>
      <c r="D115" s="233">
        <f>[8]Лист1!$H$99</f>
        <v>328.75330000000002</v>
      </c>
      <c r="E115" s="199">
        <f t="shared" si="4"/>
        <v>3.167180154142582E-2</v>
      </c>
      <c r="F115" s="233">
        <f t="shared" si="5"/>
        <v>295.0228313583815</v>
      </c>
      <c r="G115" s="233">
        <f t="shared" si="6"/>
        <v>64.905022898843924</v>
      </c>
      <c r="H115" s="233">
        <f>F115*'92'!$C$20/100</f>
        <v>58.676164806891599</v>
      </c>
      <c r="I115" s="233">
        <f>E115*мат.кон.елем!$F$32</f>
        <v>12.438251559253958</v>
      </c>
      <c r="J115" s="233">
        <f t="shared" si="7"/>
        <v>0.39483582543131901</v>
      </c>
    </row>
    <row r="116" spans="1:10" x14ac:dyDescent="0.2">
      <c r="A116" s="164">
        <v>114</v>
      </c>
      <c r="B116" s="285" t="s">
        <v>444</v>
      </c>
      <c r="C116" s="330">
        <v>1733.3</v>
      </c>
      <c r="D116" s="233">
        <f>[8]Лист1!$H$89</f>
        <v>328.75330000000002</v>
      </c>
      <c r="E116" s="199">
        <f t="shared" si="4"/>
        <v>3.167180154142582E-2</v>
      </c>
      <c r="F116" s="233">
        <f t="shared" si="5"/>
        <v>295.0228313583815</v>
      </c>
      <c r="G116" s="233">
        <f t="shared" si="6"/>
        <v>64.905022898843924</v>
      </c>
      <c r="H116" s="233">
        <f>F116*'92'!$C$20/100</f>
        <v>58.676164806891599</v>
      </c>
      <c r="I116" s="233">
        <f>E116*мат.кон.елем!$F$32</f>
        <v>12.438251559253958</v>
      </c>
      <c r="J116" s="233">
        <f t="shared" si="7"/>
        <v>0.24868301541762591</v>
      </c>
    </row>
    <row r="117" spans="1:10" x14ac:dyDescent="0.2">
      <c r="A117" s="164">
        <v>115</v>
      </c>
      <c r="B117" s="285" t="s">
        <v>445</v>
      </c>
      <c r="C117" s="330">
        <v>1752.82</v>
      </c>
      <c r="D117" s="233">
        <f>[8]Лист1!$H$90</f>
        <v>328.75330000000002</v>
      </c>
      <c r="E117" s="199">
        <f t="shared" si="4"/>
        <v>3.167180154142582E-2</v>
      </c>
      <c r="F117" s="233">
        <f t="shared" si="5"/>
        <v>295.0228313583815</v>
      </c>
      <c r="G117" s="233">
        <f t="shared" si="6"/>
        <v>64.905022898843924</v>
      </c>
      <c r="H117" s="233">
        <f>F117*'92'!$C$20/100</f>
        <v>58.676164806891599</v>
      </c>
      <c r="I117" s="233">
        <f>E117*мат.кон.елем!$F$32</f>
        <v>12.438251559253958</v>
      </c>
      <c r="J117" s="233">
        <f t="shared" si="7"/>
        <v>0.24591359673176424</v>
      </c>
    </row>
    <row r="118" spans="1:10" x14ac:dyDescent="0.2">
      <c r="A118" s="164">
        <v>116</v>
      </c>
      <c r="B118" s="285" t="s">
        <v>446</v>
      </c>
      <c r="C118" s="330">
        <v>3688.59</v>
      </c>
      <c r="D118" s="233">
        <f>[8]Лист1!$H$113</f>
        <v>657.50670000000002</v>
      </c>
      <c r="E118" s="199">
        <f t="shared" si="4"/>
        <v>6.3343612716763004E-2</v>
      </c>
      <c r="F118" s="233">
        <f t="shared" si="5"/>
        <v>590.04575245664739</v>
      </c>
      <c r="G118" s="233">
        <f t="shared" si="6"/>
        <v>129.81006554046243</v>
      </c>
      <c r="H118" s="233">
        <f>F118*'92'!$C$20/100</f>
        <v>117.3523474618671</v>
      </c>
      <c r="I118" s="233">
        <f>E118*мат.кон.елем!$F$32</f>
        <v>24.876506901968511</v>
      </c>
      <c r="J118" s="233">
        <f t="shared" si="7"/>
        <v>0.23371658882145899</v>
      </c>
    </row>
    <row r="119" spans="1:10" x14ac:dyDescent="0.2">
      <c r="A119" s="164">
        <v>117</v>
      </c>
      <c r="B119" s="285" t="s">
        <v>447</v>
      </c>
      <c r="C119" s="330">
        <v>3868.13</v>
      </c>
      <c r="D119" s="233">
        <v>1321.88</v>
      </c>
      <c r="E119" s="199">
        <f t="shared" si="4"/>
        <v>0.12734874759152218</v>
      </c>
      <c r="F119" s="233">
        <f t="shared" si="5"/>
        <v>1186.2535838150291</v>
      </c>
      <c r="G119" s="233">
        <f t="shared" si="6"/>
        <v>260.97578843930637</v>
      </c>
      <c r="H119" s="233">
        <f>F119*'92'!$C$20/100</f>
        <v>235.9302514527881</v>
      </c>
      <c r="I119" s="233">
        <f>E119*мат.кон.елем!$F$32</f>
        <v>50.012808909132239</v>
      </c>
      <c r="J119" s="233">
        <f t="shared" si="7"/>
        <v>0.44806468050873566</v>
      </c>
    </row>
    <row r="120" spans="1:10" x14ac:dyDescent="0.2">
      <c r="A120" s="164">
        <v>118</v>
      </c>
      <c r="B120" s="285" t="s">
        <v>448</v>
      </c>
      <c r="C120" s="330">
        <v>2821.38</v>
      </c>
      <c r="D120" s="233">
        <v>957.6</v>
      </c>
      <c r="E120" s="199">
        <f t="shared" si="4"/>
        <v>9.2254335260115602E-2</v>
      </c>
      <c r="F120" s="233">
        <f t="shared" si="5"/>
        <v>859.34913294797684</v>
      </c>
      <c r="G120" s="233">
        <f t="shared" si="6"/>
        <v>189.05680924855488</v>
      </c>
      <c r="H120" s="233">
        <f>F120*'92'!$C$20/100</f>
        <v>170.91325142311698</v>
      </c>
      <c r="I120" s="233">
        <f>E120*мат.кон.елем!$F$32</f>
        <v>36.230418654783357</v>
      </c>
      <c r="J120" s="233">
        <f t="shared" si="7"/>
        <v>0.44501258684559747</v>
      </c>
    </row>
    <row r="121" spans="1:10" x14ac:dyDescent="0.2">
      <c r="A121" s="164">
        <v>119</v>
      </c>
      <c r="B121" s="285" t="s">
        <v>449</v>
      </c>
      <c r="C121" s="330">
        <v>4277.29</v>
      </c>
      <c r="D121" s="233">
        <v>1386.2</v>
      </c>
      <c r="E121" s="199">
        <f t="shared" si="4"/>
        <v>0.13354527938342967</v>
      </c>
      <c r="F121" s="233">
        <f t="shared" si="5"/>
        <v>1243.9742774566473</v>
      </c>
      <c r="G121" s="233">
        <f t="shared" si="6"/>
        <v>273.67434104046242</v>
      </c>
      <c r="H121" s="233">
        <f>F121*'92'!$C$20/100</f>
        <v>247.41013901704756</v>
      </c>
      <c r="I121" s="233">
        <f>E121*мат.кон.елем!$F$32</f>
        <v>52.446330763638983</v>
      </c>
      <c r="J121" s="233">
        <f t="shared" si="7"/>
        <v>0.42491977122846392</v>
      </c>
    </row>
    <row r="122" spans="1:10" x14ac:dyDescent="0.2">
      <c r="A122" s="164">
        <v>120</v>
      </c>
      <c r="B122" s="285" t="s">
        <v>450</v>
      </c>
      <c r="C122" s="330">
        <v>2171.3000000000002</v>
      </c>
      <c r="D122" s="233">
        <f>[8]Лист1!$H$119</f>
        <v>493.13</v>
      </c>
      <c r="E122" s="199">
        <f t="shared" si="4"/>
        <v>4.7507707129094412E-2</v>
      </c>
      <c r="F122" s="233">
        <f t="shared" si="5"/>
        <v>442.53429190751444</v>
      </c>
      <c r="G122" s="233">
        <f t="shared" si="6"/>
        <v>97.357544219653178</v>
      </c>
      <c r="H122" s="233">
        <f>F122*'92'!$C$20/100</f>
        <v>88.014256134379352</v>
      </c>
      <c r="I122" s="233">
        <f>E122*мат.кон.елем!$F$32</f>
        <v>18.657379230611234</v>
      </c>
      <c r="J122" s="233">
        <f t="shared" si="7"/>
        <v>0.29777712499063147</v>
      </c>
    </row>
    <row r="123" spans="1:10" x14ac:dyDescent="0.2">
      <c r="A123" s="164">
        <v>121</v>
      </c>
      <c r="B123" s="285" t="s">
        <v>451</v>
      </c>
      <c r="C123" s="330">
        <v>5707.1</v>
      </c>
      <c r="D123" s="233">
        <f>[8]Лист1!$H$114</f>
        <v>1643.7666999999999</v>
      </c>
      <c r="E123" s="199">
        <f t="shared" si="4"/>
        <v>0.15835902697495183</v>
      </c>
      <c r="F123" s="233">
        <f t="shared" si="5"/>
        <v>1475.1143362716762</v>
      </c>
      <c r="G123" s="233">
        <f t="shared" si="6"/>
        <v>324.52515397976879</v>
      </c>
      <c r="H123" s="233">
        <f>F123*'92'!$C$20/100</f>
        <v>293.38085973062579</v>
      </c>
      <c r="I123" s="233">
        <f>E123*мат.кон.елем!$F$32</f>
        <v>62.191265363190979</v>
      </c>
      <c r="J123" s="233">
        <f t="shared" si="7"/>
        <v>0.37763691110113046</v>
      </c>
    </row>
    <row r="124" spans="1:10" x14ac:dyDescent="0.2">
      <c r="A124" s="164">
        <v>122</v>
      </c>
      <c r="B124" s="285" t="s">
        <v>452</v>
      </c>
      <c r="C124" s="330">
        <v>1727.35</v>
      </c>
      <c r="D124" s="233">
        <v>528.75</v>
      </c>
      <c r="E124" s="199">
        <f t="shared" si="4"/>
        <v>5.0939306358381502E-2</v>
      </c>
      <c r="F124" s="233">
        <f t="shared" si="5"/>
        <v>474.4996387283237</v>
      </c>
      <c r="G124" s="233">
        <f t="shared" si="6"/>
        <v>104.38992052023121</v>
      </c>
      <c r="H124" s="233">
        <f>F124*'92'!$C$20/100</f>
        <v>94.37174361943724</v>
      </c>
      <c r="I124" s="233">
        <f>E124*мат.кон.елем!$F$32</f>
        <v>20.005047894440999</v>
      </c>
      <c r="J124" s="233">
        <f t="shared" si="7"/>
        <v>0.40134677440150118</v>
      </c>
    </row>
    <row r="125" spans="1:10" x14ac:dyDescent="0.2">
      <c r="A125" s="164">
        <v>123</v>
      </c>
      <c r="B125" s="285" t="s">
        <v>453</v>
      </c>
      <c r="C125" s="330">
        <v>2522.5500000000002</v>
      </c>
      <c r="D125" s="233">
        <v>693.13</v>
      </c>
      <c r="E125" s="199">
        <f t="shared" si="4"/>
        <v>6.6775529865125235E-2</v>
      </c>
      <c r="F125" s="233">
        <f t="shared" si="5"/>
        <v>622.01406069364157</v>
      </c>
      <c r="G125" s="233">
        <f t="shared" si="6"/>
        <v>136.84309335260113</v>
      </c>
      <c r="H125" s="233">
        <f>F125*'92'!$C$20/100</f>
        <v>123.71042393369366</v>
      </c>
      <c r="I125" s="233">
        <f>E125*мат.кон.елем!$F$32</f>
        <v>26.224300419997899</v>
      </c>
      <c r="J125" s="233">
        <f t="shared" si="7"/>
        <v>0.36026714174146568</v>
      </c>
    </row>
    <row r="126" spans="1:10" x14ac:dyDescent="0.2">
      <c r="A126" s="164">
        <v>124</v>
      </c>
      <c r="B126" s="285" t="s">
        <v>454</v>
      </c>
      <c r="C126" s="330">
        <v>2516.6999999999998</v>
      </c>
      <c r="D126" s="233">
        <f>[8]Лист1!$H$72</f>
        <v>493.13</v>
      </c>
      <c r="E126" s="199">
        <f t="shared" si="4"/>
        <v>4.7507707129094412E-2</v>
      </c>
      <c r="F126" s="233">
        <f t="shared" si="5"/>
        <v>442.53429190751444</v>
      </c>
      <c r="G126" s="233">
        <f t="shared" si="6"/>
        <v>97.357544219653178</v>
      </c>
      <c r="H126" s="233">
        <f>F126*'92'!$C$20/100</f>
        <v>88.014256134379352</v>
      </c>
      <c r="I126" s="233">
        <f>E126*мат.кон.елем!$F$32</f>
        <v>18.657379230611234</v>
      </c>
      <c r="J126" s="233">
        <f t="shared" si="7"/>
        <v>0.25690923490768003</v>
      </c>
    </row>
    <row r="127" spans="1:10" x14ac:dyDescent="0.2">
      <c r="A127" s="164">
        <v>125</v>
      </c>
      <c r="B127" s="285" t="s">
        <v>455</v>
      </c>
      <c r="C127" s="330">
        <v>1774.47</v>
      </c>
      <c r="D127" s="233">
        <v>428.13</v>
      </c>
      <c r="E127" s="199">
        <f t="shared" si="4"/>
        <v>4.1245664739884391E-2</v>
      </c>
      <c r="F127" s="233">
        <f t="shared" si="5"/>
        <v>384.20336705202311</v>
      </c>
      <c r="G127" s="233">
        <f t="shared" si="6"/>
        <v>84.52474075144508</v>
      </c>
      <c r="H127" s="233">
        <f>F127*'92'!$C$20/100</f>
        <v>76.413001599602197</v>
      </c>
      <c r="I127" s="233">
        <f>E127*мат.кон.елем!$F$32</f>
        <v>16.198129844060567</v>
      </c>
      <c r="J127" s="233">
        <f t="shared" si="7"/>
        <v>0.31634191575351006</v>
      </c>
    </row>
    <row r="128" spans="1:10" x14ac:dyDescent="0.2">
      <c r="A128" s="164">
        <v>126</v>
      </c>
      <c r="B128" s="285" t="s">
        <v>456</v>
      </c>
      <c r="C128" s="330">
        <v>1727.7</v>
      </c>
      <c r="D128" s="233">
        <f>[8]Лист1!$H$75</f>
        <v>328.75330000000002</v>
      </c>
      <c r="E128" s="199">
        <f t="shared" si="4"/>
        <v>3.167180154142582E-2</v>
      </c>
      <c r="F128" s="233">
        <f t="shared" si="5"/>
        <v>295.0228313583815</v>
      </c>
      <c r="G128" s="233">
        <f t="shared" si="6"/>
        <v>64.905022898843924</v>
      </c>
      <c r="H128" s="233">
        <f>F128*'92'!$C$20/100</f>
        <v>58.676164806891599</v>
      </c>
      <c r="I128" s="233">
        <f>E128*мат.кон.елем!$F$32</f>
        <v>12.438251559253958</v>
      </c>
      <c r="J128" s="233">
        <f t="shared" si="7"/>
        <v>0.24948907253769229</v>
      </c>
    </row>
    <row r="129" spans="1:10" x14ac:dyDescent="0.2">
      <c r="A129" s="164">
        <v>127</v>
      </c>
      <c r="B129" s="285" t="s">
        <v>457</v>
      </c>
      <c r="C129" s="330">
        <v>3216.3</v>
      </c>
      <c r="D129" s="233">
        <f>[8]Лист1!$H$76</f>
        <v>657.50670000000002</v>
      </c>
      <c r="E129" s="199">
        <f t="shared" si="4"/>
        <v>6.3343612716763004E-2</v>
      </c>
      <c r="F129" s="233">
        <f t="shared" si="5"/>
        <v>590.04575245664739</v>
      </c>
      <c r="G129" s="233">
        <f t="shared" si="6"/>
        <v>129.81006554046243</v>
      </c>
      <c r="H129" s="233">
        <f>F129*'92'!$C$20/100</f>
        <v>117.3523474618671</v>
      </c>
      <c r="I129" s="233">
        <f>E129*мат.кон.елем!$F$32</f>
        <v>24.876506901968511</v>
      </c>
      <c r="J129" s="233">
        <f t="shared" si="7"/>
        <v>0.26803615096879813</v>
      </c>
    </row>
    <row r="130" spans="1:10" x14ac:dyDescent="0.2">
      <c r="A130" s="164">
        <v>128</v>
      </c>
      <c r="B130" s="285" t="s">
        <v>458</v>
      </c>
      <c r="C130" s="330">
        <v>3895.1</v>
      </c>
      <c r="D130" s="233">
        <v>1286.3</v>
      </c>
      <c r="E130" s="199">
        <f t="shared" si="4"/>
        <v>0.12392100192678226</v>
      </c>
      <c r="F130" s="233">
        <f t="shared" si="5"/>
        <v>1154.3241329479768</v>
      </c>
      <c r="G130" s="233">
        <f t="shared" si="6"/>
        <v>253.95130924855491</v>
      </c>
      <c r="H130" s="233">
        <f>F130*'92'!$C$20/100</f>
        <v>229.57990320129002</v>
      </c>
      <c r="I130" s="233">
        <f>E130*мат.кон.елем!$F$32</f>
        <v>48.666653629540342</v>
      </c>
      <c r="J130" s="233">
        <f t="shared" si="7"/>
        <v>0.43298554569262976</v>
      </c>
    </row>
    <row r="131" spans="1:10" x14ac:dyDescent="0.2">
      <c r="A131" s="164">
        <v>129</v>
      </c>
      <c r="B131" s="285" t="s">
        <v>459</v>
      </c>
      <c r="C131" s="330">
        <v>4002.8</v>
      </c>
      <c r="D131" s="233">
        <f>[8]Лист1!$H$78</f>
        <v>986.26</v>
      </c>
      <c r="E131" s="199">
        <f t="shared" ref="E131:E154" si="8">D131/$E$163</f>
        <v>9.5015414258188824E-2</v>
      </c>
      <c r="F131" s="233">
        <f t="shared" ref="F131:F160" si="9">E131*$F$163</f>
        <v>885.06858381502889</v>
      </c>
      <c r="G131" s="233">
        <f t="shared" si="6"/>
        <v>194.71508843930636</v>
      </c>
      <c r="H131" s="233">
        <f>F131*'92'!$C$20/100</f>
        <v>176.0285122687587</v>
      </c>
      <c r="I131" s="233">
        <f>E131*мат.кон.елем!$F$32</f>
        <v>37.314758461222468</v>
      </c>
      <c r="J131" s="233">
        <f t="shared" si="7"/>
        <v>0.32305559682829926</v>
      </c>
    </row>
    <row r="132" spans="1:10" x14ac:dyDescent="0.2">
      <c r="A132" s="164">
        <v>130</v>
      </c>
      <c r="B132" s="285" t="s">
        <v>460</v>
      </c>
      <c r="C132" s="330">
        <v>3852.63</v>
      </c>
      <c r="D132" s="233">
        <f>[8]Лист1!$H$81</f>
        <v>986.26</v>
      </c>
      <c r="E132" s="199">
        <f t="shared" si="8"/>
        <v>9.5015414258188824E-2</v>
      </c>
      <c r="F132" s="233">
        <f t="shared" si="9"/>
        <v>885.06858381502889</v>
      </c>
      <c r="G132" s="233">
        <f t="shared" ref="G132:G160" si="10">F132*22/100</f>
        <v>194.71508843930636</v>
      </c>
      <c r="H132" s="233">
        <f>F132*'92'!$C$20/100</f>
        <v>176.0285122687587</v>
      </c>
      <c r="I132" s="233">
        <f>E132*мат.кон.елем!$F$32</f>
        <v>37.314758461222468</v>
      </c>
      <c r="J132" s="233">
        <f t="shared" ref="J132:J161" si="11">((F132+G132+H132+I132)/C132)</f>
        <v>0.33564784134067283</v>
      </c>
    </row>
    <row r="133" spans="1:10" x14ac:dyDescent="0.2">
      <c r="A133" s="164">
        <v>131</v>
      </c>
      <c r="B133" s="285" t="s">
        <v>461</v>
      </c>
      <c r="C133" s="330">
        <v>3560.4</v>
      </c>
      <c r="D133" s="233">
        <f>[8]Лист1!$H$84</f>
        <v>821.88329999999996</v>
      </c>
      <c r="E133" s="199">
        <f t="shared" si="8"/>
        <v>7.9179508670520232E-2</v>
      </c>
      <c r="F133" s="233">
        <f t="shared" si="9"/>
        <v>737.55712326589594</v>
      </c>
      <c r="G133" s="233">
        <f t="shared" si="10"/>
        <v>162.26256711849709</v>
      </c>
      <c r="H133" s="233">
        <f>F133*'92'!$C$20/100</f>
        <v>146.69042094127096</v>
      </c>
      <c r="I133" s="233">
        <f>E133*мат.кон.елем!$F$32</f>
        <v>31.095630789865194</v>
      </c>
      <c r="J133" s="233">
        <f t="shared" si="11"/>
        <v>0.30266423494987338</v>
      </c>
    </row>
    <row r="134" spans="1:10" x14ac:dyDescent="0.2">
      <c r="A134" s="164">
        <v>132</v>
      </c>
      <c r="B134" s="285" t="s">
        <v>462</v>
      </c>
      <c r="C134" s="330">
        <v>944.7</v>
      </c>
      <c r="D134" s="233">
        <f>[8]Лист1!$H$86</f>
        <v>164.3767</v>
      </c>
      <c r="E134" s="199">
        <f t="shared" si="8"/>
        <v>1.5835905587668592E-2</v>
      </c>
      <c r="F134" s="233">
        <f t="shared" si="9"/>
        <v>147.51146054913292</v>
      </c>
      <c r="G134" s="233">
        <f t="shared" si="10"/>
        <v>32.45252132080924</v>
      </c>
      <c r="H134" s="233">
        <f>F134*'92'!$C$20/100</f>
        <v>29.338091327487746</v>
      </c>
      <c r="I134" s="233">
        <f>E134*мат.кон.елем!$F$32</f>
        <v>6.2191276713572758</v>
      </c>
      <c r="J134" s="233">
        <f t="shared" si="11"/>
        <v>0.22813718732802707</v>
      </c>
    </row>
    <row r="135" spans="1:10" x14ac:dyDescent="0.2">
      <c r="A135" s="164">
        <v>133</v>
      </c>
      <c r="B135" s="285" t="s">
        <v>463</v>
      </c>
      <c r="C135" s="330">
        <v>2428.5</v>
      </c>
      <c r="D135" s="233">
        <v>693.13</v>
      </c>
      <c r="E135" s="199">
        <f t="shared" si="8"/>
        <v>6.6775529865125235E-2</v>
      </c>
      <c r="F135" s="233">
        <f t="shared" si="9"/>
        <v>622.01406069364157</v>
      </c>
      <c r="G135" s="233">
        <f t="shared" si="10"/>
        <v>136.84309335260113</v>
      </c>
      <c r="H135" s="233">
        <f>F135*'92'!$C$20/100</f>
        <v>123.71042393369366</v>
      </c>
      <c r="I135" s="233">
        <f>E135*мат.кон.елем!$F$32</f>
        <v>26.224300419997899</v>
      </c>
      <c r="J135" s="233">
        <f t="shared" si="11"/>
        <v>0.37421942697135446</v>
      </c>
    </row>
    <row r="136" spans="1:10" x14ac:dyDescent="0.2">
      <c r="A136" s="164">
        <v>134</v>
      </c>
      <c r="B136" s="285" t="s">
        <v>464</v>
      </c>
      <c r="C136" s="330">
        <v>4861.91</v>
      </c>
      <c r="D136" s="233">
        <v>1386.26</v>
      </c>
      <c r="E136" s="199">
        <f t="shared" si="8"/>
        <v>0.13355105973025047</v>
      </c>
      <c r="F136" s="233">
        <f t="shared" si="9"/>
        <v>1244.0281213872831</v>
      </c>
      <c r="G136" s="233">
        <f t="shared" si="10"/>
        <v>273.68618670520226</v>
      </c>
      <c r="H136" s="233">
        <f>F136*'92'!$C$20/100</f>
        <v>247.42084786738732</v>
      </c>
      <c r="I136" s="233">
        <f>E136*мат.кон.елем!$F$32</f>
        <v>52.448600839995798</v>
      </c>
      <c r="J136" s="233">
        <f t="shared" si="11"/>
        <v>0.37384150607474603</v>
      </c>
    </row>
    <row r="137" spans="1:10" x14ac:dyDescent="0.2">
      <c r="A137" s="164">
        <v>135</v>
      </c>
      <c r="B137" s="285" t="s">
        <v>465</v>
      </c>
      <c r="C137" s="330">
        <v>3078.77</v>
      </c>
      <c r="D137" s="233">
        <f>[8]Лист1!$H$44</f>
        <v>821.88329999999996</v>
      </c>
      <c r="E137" s="199">
        <f t="shared" si="8"/>
        <v>7.9179508670520232E-2</v>
      </c>
      <c r="F137" s="233">
        <f t="shared" si="9"/>
        <v>737.55712326589594</v>
      </c>
      <c r="G137" s="233">
        <f t="shared" si="10"/>
        <v>162.26256711849709</v>
      </c>
      <c r="H137" s="233">
        <f>F137*'92'!$C$20/100</f>
        <v>146.69042094127096</v>
      </c>
      <c r="I137" s="233">
        <f>E137*мат.кон.елем!$F$32</f>
        <v>31.095630789865194</v>
      </c>
      <c r="J137" s="233">
        <f t="shared" si="11"/>
        <v>0.35001177162163111</v>
      </c>
    </row>
    <row r="138" spans="1:10" x14ac:dyDescent="0.2">
      <c r="A138" s="164">
        <v>136</v>
      </c>
      <c r="B138" s="285" t="s">
        <v>466</v>
      </c>
      <c r="C138" s="330">
        <v>3188.68</v>
      </c>
      <c r="D138" s="233">
        <f>[8]Лист1!$H$27</f>
        <v>657.50670000000002</v>
      </c>
      <c r="E138" s="199">
        <f t="shared" si="8"/>
        <v>6.3343612716763004E-2</v>
      </c>
      <c r="F138" s="233">
        <f t="shared" si="9"/>
        <v>590.04575245664739</v>
      </c>
      <c r="G138" s="233">
        <f t="shared" si="10"/>
        <v>129.81006554046243</v>
      </c>
      <c r="H138" s="233">
        <f>F138*'92'!$C$20/100</f>
        <v>117.3523474618671</v>
      </c>
      <c r="I138" s="233">
        <f>E138*мат.кон.елем!$F$32</f>
        <v>24.876506901968511</v>
      </c>
      <c r="J138" s="233">
        <f t="shared" si="11"/>
        <v>0.270357851010746</v>
      </c>
    </row>
    <row r="139" spans="1:10" x14ac:dyDescent="0.2">
      <c r="A139" s="164">
        <v>137</v>
      </c>
      <c r="B139" s="285" t="s">
        <v>467</v>
      </c>
      <c r="C139" s="330">
        <v>2782.65</v>
      </c>
      <c r="D139" s="233">
        <v>1057.3</v>
      </c>
      <c r="E139" s="199">
        <f t="shared" si="8"/>
        <v>0.10185934489402697</v>
      </c>
      <c r="F139" s="233">
        <f t="shared" si="9"/>
        <v>948.81979768786118</v>
      </c>
      <c r="G139" s="233">
        <f t="shared" si="10"/>
        <v>208.74035549132947</v>
      </c>
      <c r="H139" s="233">
        <f>F139*'92'!$C$20/100</f>
        <v>188.70779107107515</v>
      </c>
      <c r="I139" s="233">
        <f>E139*мат.кон.елем!$F$32</f>
        <v>40.002528867692611</v>
      </c>
      <c r="J139" s="233">
        <f t="shared" si="11"/>
        <v>0.49818355636460154</v>
      </c>
    </row>
    <row r="140" spans="1:10" x14ac:dyDescent="0.2">
      <c r="A140" s="164">
        <v>138</v>
      </c>
      <c r="B140" s="285" t="s">
        <v>468</v>
      </c>
      <c r="C140" s="330">
        <v>2258.6</v>
      </c>
      <c r="D140" s="233">
        <f>[8]Лист1!$H$48</f>
        <v>493.13</v>
      </c>
      <c r="E140" s="199">
        <f t="shared" si="8"/>
        <v>4.7507707129094412E-2</v>
      </c>
      <c r="F140" s="233">
        <f t="shared" si="9"/>
        <v>442.53429190751444</v>
      </c>
      <c r="G140" s="233">
        <f t="shared" si="10"/>
        <v>97.357544219653178</v>
      </c>
      <c r="H140" s="233">
        <f>F140*'92'!$C$20/100</f>
        <v>88.014256134379352</v>
      </c>
      <c r="I140" s="233">
        <f>E140*мат.кон.елем!$F$32</f>
        <v>18.657379230611234</v>
      </c>
      <c r="J140" s="233">
        <f t="shared" si="11"/>
        <v>0.28626736539987524</v>
      </c>
    </row>
    <row r="141" spans="1:10" x14ac:dyDescent="0.2">
      <c r="A141" s="164">
        <v>139</v>
      </c>
      <c r="B141" s="285" t="s">
        <v>469</v>
      </c>
      <c r="C141" s="330">
        <v>1910</v>
      </c>
      <c r="D141" s="233">
        <v>693.13</v>
      </c>
      <c r="E141" s="199">
        <f t="shared" si="8"/>
        <v>6.6775529865125235E-2</v>
      </c>
      <c r="F141" s="233">
        <f t="shared" si="9"/>
        <v>622.01406069364157</v>
      </c>
      <c r="G141" s="233">
        <f t="shared" si="10"/>
        <v>136.84309335260113</v>
      </c>
      <c r="H141" s="233">
        <f>F141*'92'!$C$20/100</f>
        <v>123.71042393369366</v>
      </c>
      <c r="I141" s="233">
        <f>E141*мат.кон.елем!$F$32</f>
        <v>26.224300419997899</v>
      </c>
      <c r="J141" s="233">
        <f t="shared" si="11"/>
        <v>0.47580726617797603</v>
      </c>
    </row>
    <row r="142" spans="1:10" x14ac:dyDescent="0.2">
      <c r="A142" s="164">
        <v>140</v>
      </c>
      <c r="B142" s="285" t="s">
        <v>470</v>
      </c>
      <c r="C142" s="330">
        <v>2522.5</v>
      </c>
      <c r="D142" s="233">
        <f>[8]Лист1!$H$51</f>
        <v>657.50670000000002</v>
      </c>
      <c r="E142" s="199">
        <f t="shared" si="8"/>
        <v>6.3343612716763004E-2</v>
      </c>
      <c r="F142" s="233">
        <f t="shared" si="9"/>
        <v>590.04575245664739</v>
      </c>
      <c r="G142" s="233">
        <f t="shared" si="10"/>
        <v>129.81006554046243</v>
      </c>
      <c r="H142" s="233">
        <f>F142*'92'!$C$20/100</f>
        <v>117.3523474618671</v>
      </c>
      <c r="I142" s="233">
        <f>E142*мат.кон.елем!$F$32</f>
        <v>24.876506901968511</v>
      </c>
      <c r="J142" s="233">
        <f t="shared" si="11"/>
        <v>0.34175804652564734</v>
      </c>
    </row>
    <row r="143" spans="1:10" x14ac:dyDescent="0.2">
      <c r="A143" s="164">
        <v>141</v>
      </c>
      <c r="B143" s="285" t="s">
        <v>471</v>
      </c>
      <c r="C143" s="330">
        <v>3459.82</v>
      </c>
      <c r="D143" s="233">
        <f>[8]Лист1!$H$52</f>
        <v>757.50670000000002</v>
      </c>
      <c r="E143" s="199">
        <f t="shared" si="8"/>
        <v>7.2977524084778422E-2</v>
      </c>
      <c r="F143" s="233">
        <f t="shared" si="9"/>
        <v>679.78563684971095</v>
      </c>
      <c r="G143" s="233">
        <f t="shared" si="10"/>
        <v>149.55284010693643</v>
      </c>
      <c r="H143" s="233">
        <f>F143*'92'!$C$20/100</f>
        <v>135.20043136152427</v>
      </c>
      <c r="I143" s="233">
        <f>E143*мат.кон.елем!$F$32</f>
        <v>28.659967496661846</v>
      </c>
      <c r="J143" s="233">
        <f t="shared" si="11"/>
        <v>0.28706663231463875</v>
      </c>
    </row>
    <row r="144" spans="1:10" x14ac:dyDescent="0.2">
      <c r="A144" s="164">
        <v>142</v>
      </c>
      <c r="B144" s="285" t="s">
        <v>472</v>
      </c>
      <c r="C144" s="330">
        <v>1752.03</v>
      </c>
      <c r="D144" s="233">
        <v>828.75</v>
      </c>
      <c r="E144" s="199">
        <f t="shared" si="8"/>
        <v>7.9841040462427751E-2</v>
      </c>
      <c r="F144" s="233">
        <f t="shared" si="9"/>
        <v>743.7192919075145</v>
      </c>
      <c r="G144" s="233">
        <f t="shared" si="10"/>
        <v>163.61824421965318</v>
      </c>
      <c r="H144" s="233">
        <f>F144*'92'!$C$20/100</f>
        <v>147.91599531840873</v>
      </c>
      <c r="I144" s="233">
        <f>E144*мат.кон.елем!$F$32</f>
        <v>31.355429678521002</v>
      </c>
      <c r="J144" s="233">
        <f t="shared" si="11"/>
        <v>0.620199974386339</v>
      </c>
    </row>
    <row r="145" spans="1:10" x14ac:dyDescent="0.2">
      <c r="A145" s="164">
        <v>143</v>
      </c>
      <c r="B145" s="285" t="s">
        <v>473</v>
      </c>
      <c r="C145" s="330">
        <v>4953.7</v>
      </c>
      <c r="D145" s="233">
        <f>[8]Лист1!$H$30</f>
        <v>1315.0133000000001</v>
      </c>
      <c r="E145" s="199">
        <f t="shared" si="8"/>
        <v>0.12668721579961464</v>
      </c>
      <c r="F145" s="233">
        <f t="shared" si="9"/>
        <v>1180.0914151734105</v>
      </c>
      <c r="G145" s="233">
        <f t="shared" si="10"/>
        <v>259.62011133815031</v>
      </c>
      <c r="H145" s="233">
        <f>F145*'92'!$C$20/100</f>
        <v>234.70467707565032</v>
      </c>
      <c r="I145" s="233">
        <f>E145*мат.кон.елем!$F$32</f>
        <v>49.753010020476424</v>
      </c>
      <c r="J145" s="233">
        <f t="shared" si="11"/>
        <v>0.34805684914461671</v>
      </c>
    </row>
    <row r="146" spans="1:10" x14ac:dyDescent="0.2">
      <c r="A146" s="164">
        <v>144</v>
      </c>
      <c r="B146" s="285" t="s">
        <v>474</v>
      </c>
      <c r="C146" s="330">
        <v>1706.17</v>
      </c>
      <c r="D146" s="233">
        <f>[8]Лист1!$H$124</f>
        <v>328.75330000000002</v>
      </c>
      <c r="E146" s="199">
        <f t="shared" si="8"/>
        <v>3.167180154142582E-2</v>
      </c>
      <c r="F146" s="233">
        <f t="shared" si="9"/>
        <v>295.0228313583815</v>
      </c>
      <c r="G146" s="233">
        <f t="shared" si="10"/>
        <v>64.905022898843924</v>
      </c>
      <c r="H146" s="233">
        <f>F146*'92'!$C$20/100</f>
        <v>58.676164806891599</v>
      </c>
      <c r="I146" s="233">
        <f>E146*мат.кон.елем!$F$32</f>
        <v>12.438251559253958</v>
      </c>
      <c r="J146" s="233">
        <f t="shared" si="11"/>
        <v>0.2526373518602314</v>
      </c>
    </row>
    <row r="147" spans="1:10" x14ac:dyDescent="0.2">
      <c r="A147" s="164">
        <v>145</v>
      </c>
      <c r="B147" s="285" t="s">
        <v>475</v>
      </c>
      <c r="C147" s="330">
        <v>1135.3399999999999</v>
      </c>
      <c r="D147" s="233">
        <f>[8]Лист1!$H$123</f>
        <v>328.75330000000002</v>
      </c>
      <c r="E147" s="199">
        <f t="shared" si="8"/>
        <v>3.167180154142582E-2</v>
      </c>
      <c r="F147" s="233">
        <f t="shared" si="9"/>
        <v>295.0228313583815</v>
      </c>
      <c r="G147" s="233">
        <f t="shared" si="10"/>
        <v>64.905022898843924</v>
      </c>
      <c r="H147" s="233">
        <f>F147*'92'!$C$20/100</f>
        <v>58.676164806891599</v>
      </c>
      <c r="I147" s="233">
        <f>E147*мат.кон.елем!$F$32</f>
        <v>12.438251559253958</v>
      </c>
      <c r="J147" s="233">
        <f t="shared" si="11"/>
        <v>0.37965919515155905</v>
      </c>
    </row>
    <row r="148" spans="1:10" x14ac:dyDescent="0.2">
      <c r="A148" s="164">
        <v>146</v>
      </c>
      <c r="B148" s="285" t="s">
        <v>476</v>
      </c>
      <c r="C148" s="330">
        <v>1716.28</v>
      </c>
      <c r="D148" s="233">
        <v>928.13</v>
      </c>
      <c r="E148" s="199">
        <f t="shared" si="8"/>
        <v>8.9415221579961471E-2</v>
      </c>
      <c r="F148" s="233">
        <f t="shared" si="9"/>
        <v>832.90278901734109</v>
      </c>
      <c r="G148" s="233">
        <f t="shared" si="10"/>
        <v>183.23861358381501</v>
      </c>
      <c r="H148" s="233">
        <f>F148*'92'!$C$20/100</f>
        <v>165.65342109788801</v>
      </c>
      <c r="I148" s="233">
        <f>E148*мат.кон.елем!$F$32</f>
        <v>35.115432817527235</v>
      </c>
      <c r="J148" s="233">
        <f t="shared" si="11"/>
        <v>0.70903946705465981</v>
      </c>
    </row>
    <row r="149" spans="1:10" x14ac:dyDescent="0.2">
      <c r="A149" s="164">
        <v>147</v>
      </c>
      <c r="B149" s="285" t="s">
        <v>477</v>
      </c>
      <c r="C149" s="330">
        <v>2696.17</v>
      </c>
      <c r="D149" s="233">
        <f>[8]Лист1!$H$126</f>
        <v>657.50670000000002</v>
      </c>
      <c r="E149" s="199">
        <f t="shared" si="8"/>
        <v>6.3343612716763004E-2</v>
      </c>
      <c r="F149" s="233">
        <f t="shared" si="9"/>
        <v>590.04575245664739</v>
      </c>
      <c r="G149" s="233">
        <f t="shared" si="10"/>
        <v>129.81006554046243</v>
      </c>
      <c r="H149" s="233">
        <f>F149*'92'!$C$20/100</f>
        <v>117.3523474618671</v>
      </c>
      <c r="I149" s="233">
        <f>E149*мат.кон.елем!$F$32</f>
        <v>24.876506901968511</v>
      </c>
      <c r="J149" s="233">
        <f t="shared" si="11"/>
        <v>0.3197441824369181</v>
      </c>
    </row>
    <row r="150" spans="1:10" x14ac:dyDescent="0.2">
      <c r="A150" s="164">
        <v>148</v>
      </c>
      <c r="B150" s="285" t="s">
        <v>478</v>
      </c>
      <c r="C150" s="330">
        <v>1747.74</v>
      </c>
      <c r="D150" s="233">
        <f>[8]Лист1!$H$144</f>
        <v>328.75330000000002</v>
      </c>
      <c r="E150" s="199">
        <f t="shared" si="8"/>
        <v>3.167180154142582E-2</v>
      </c>
      <c r="F150" s="233">
        <f t="shared" si="9"/>
        <v>295.0228313583815</v>
      </c>
      <c r="G150" s="233">
        <f t="shared" si="10"/>
        <v>64.905022898843924</v>
      </c>
      <c r="H150" s="233">
        <f>F150*'92'!$C$20/100</f>
        <v>58.676164806891599</v>
      </c>
      <c r="I150" s="233">
        <f>E150*мат.кон.елем!$F$32</f>
        <v>12.438251559253958</v>
      </c>
      <c r="J150" s="233">
        <f t="shared" si="11"/>
        <v>0.24662837185357719</v>
      </c>
    </row>
    <row r="151" spans="1:10" x14ac:dyDescent="0.2">
      <c r="A151" s="164">
        <v>149</v>
      </c>
      <c r="B151" s="285" t="s">
        <v>479</v>
      </c>
      <c r="C151" s="330">
        <v>1129.0999999999999</v>
      </c>
      <c r="D151" s="233">
        <f>[8]Лист1!$H$148</f>
        <v>328.75330000000002</v>
      </c>
      <c r="E151" s="199">
        <f t="shared" si="8"/>
        <v>3.167180154142582E-2</v>
      </c>
      <c r="F151" s="233">
        <f t="shared" si="9"/>
        <v>295.0228313583815</v>
      </c>
      <c r="G151" s="233">
        <f t="shared" si="10"/>
        <v>64.905022898843924</v>
      </c>
      <c r="H151" s="233">
        <f>F151*'92'!$C$20/100</f>
        <v>58.676164806891599</v>
      </c>
      <c r="I151" s="233">
        <f>E151*мат.кон.елем!$F$32</f>
        <v>12.438251559253958</v>
      </c>
      <c r="J151" s="233">
        <f t="shared" si="11"/>
        <v>0.38175739139435927</v>
      </c>
    </row>
    <row r="152" spans="1:10" x14ac:dyDescent="0.2">
      <c r="A152" s="164">
        <v>150</v>
      </c>
      <c r="B152" s="285" t="s">
        <v>480</v>
      </c>
      <c r="C152" s="330">
        <v>1724</v>
      </c>
      <c r="D152" s="233">
        <f>[8]Лист1!$H$132</f>
        <v>328.75330000000002</v>
      </c>
      <c r="E152" s="199">
        <f t="shared" si="8"/>
        <v>3.167180154142582E-2</v>
      </c>
      <c r="F152" s="233">
        <f t="shared" si="9"/>
        <v>295.0228313583815</v>
      </c>
      <c r="G152" s="233">
        <f t="shared" si="10"/>
        <v>64.905022898843924</v>
      </c>
      <c r="H152" s="233">
        <f>F152*'92'!$C$20/100</f>
        <v>58.676164806891599</v>
      </c>
      <c r="I152" s="233">
        <f>E152*мат.кон.елем!$F$32</f>
        <v>12.438251559253958</v>
      </c>
      <c r="J152" s="233">
        <f t="shared" si="11"/>
        <v>0.25002451892306904</v>
      </c>
    </row>
    <row r="153" spans="1:10" x14ac:dyDescent="0.2">
      <c r="A153" s="164">
        <v>151</v>
      </c>
      <c r="B153" s="285" t="s">
        <v>481</v>
      </c>
      <c r="C153" s="330">
        <v>1775.1</v>
      </c>
      <c r="D153" s="233">
        <v>928.75</v>
      </c>
      <c r="E153" s="199">
        <f t="shared" si="8"/>
        <v>8.9474951830443156E-2</v>
      </c>
      <c r="F153" s="233">
        <f t="shared" si="9"/>
        <v>833.45917630057795</v>
      </c>
      <c r="G153" s="233">
        <f t="shared" si="10"/>
        <v>183.36101878612715</v>
      </c>
      <c r="H153" s="233">
        <f>F153*'92'!$C$20/100</f>
        <v>165.76407921806586</v>
      </c>
      <c r="I153" s="233">
        <f>E153*мат.кон.елем!$F$32</f>
        <v>35.138890273214329</v>
      </c>
      <c r="J153" s="233">
        <f t="shared" si="11"/>
        <v>0.68600257144836096</v>
      </c>
    </row>
    <row r="154" spans="1:10" x14ac:dyDescent="0.2">
      <c r="A154" s="164">
        <v>152</v>
      </c>
      <c r="B154" s="285" t="s">
        <v>482</v>
      </c>
      <c r="C154" s="330">
        <v>3140.4</v>
      </c>
      <c r="D154" s="233">
        <v>657.51</v>
      </c>
      <c r="E154" s="199">
        <f t="shared" si="8"/>
        <v>6.3343930635838153E-2</v>
      </c>
      <c r="F154" s="233">
        <f t="shared" si="9"/>
        <v>590.04871387283242</v>
      </c>
      <c r="G154" s="233">
        <f t="shared" si="10"/>
        <v>129.81071705202314</v>
      </c>
      <c r="H154" s="233">
        <f>F154*'92'!$C$20/100</f>
        <v>117.35293644863582</v>
      </c>
      <c r="I154" s="233">
        <f>E154*мат.кон.елем!$F$32</f>
        <v>24.876631756168138</v>
      </c>
      <c r="J154" s="233">
        <f>((F154+G154+H154+I154)/C154)*10/100</f>
        <v>2.7451566651689574E-2</v>
      </c>
    </row>
    <row r="155" spans="1:10" x14ac:dyDescent="0.2">
      <c r="A155" s="164">
        <v>153</v>
      </c>
      <c r="B155" s="285" t="s">
        <v>483</v>
      </c>
      <c r="C155" s="330">
        <v>6074.77</v>
      </c>
      <c r="D155" s="233">
        <v>2520</v>
      </c>
      <c r="E155" s="199">
        <v>0.24299999999999999</v>
      </c>
      <c r="F155" s="233">
        <f t="shared" si="9"/>
        <v>2263.5450000000001</v>
      </c>
      <c r="G155" s="233">
        <f t="shared" si="10"/>
        <v>497.97990000000004</v>
      </c>
      <c r="H155" s="233">
        <f>F155*'92'!$C$20/100</f>
        <v>450.18935943461241</v>
      </c>
      <c r="I155" s="233">
        <v>6412</v>
      </c>
      <c r="J155" s="233">
        <f t="shared" si="11"/>
        <v>1.5842104737191058</v>
      </c>
    </row>
    <row r="156" spans="1:10" x14ac:dyDescent="0.2">
      <c r="A156" s="164">
        <v>154</v>
      </c>
      <c r="B156" s="285" t="s">
        <v>484</v>
      </c>
      <c r="C156" s="330">
        <v>1960.16</v>
      </c>
      <c r="D156" s="233">
        <f>[8]Лист1!$H$110</f>
        <v>840.21</v>
      </c>
      <c r="E156" s="199">
        <v>8.1000000000000003E-2</v>
      </c>
      <c r="F156" s="233">
        <f t="shared" si="9"/>
        <v>754.51499999999999</v>
      </c>
      <c r="G156" s="233">
        <f t="shared" si="10"/>
        <v>165.99329999999998</v>
      </c>
      <c r="H156" s="233">
        <f>F156*'92'!$C$20/100</f>
        <v>150.06311981153746</v>
      </c>
      <c r="I156" s="233">
        <v>2010</v>
      </c>
      <c r="J156" s="233">
        <f t="shared" si="11"/>
        <v>1.5715918189390343</v>
      </c>
    </row>
    <row r="157" spans="1:10" x14ac:dyDescent="0.2">
      <c r="A157" s="164">
        <v>155</v>
      </c>
      <c r="B157" s="285" t="s">
        <v>485</v>
      </c>
      <c r="C157" s="330">
        <v>5972.33</v>
      </c>
      <c r="D157" s="233">
        <f>[8]Лист1!$H$111</f>
        <v>2220.63</v>
      </c>
      <c r="E157" s="199">
        <v>0.214</v>
      </c>
      <c r="F157" s="233">
        <f t="shared" si="9"/>
        <v>1993.4099999999999</v>
      </c>
      <c r="G157" s="233">
        <f t="shared" si="10"/>
        <v>438.55019999999996</v>
      </c>
      <c r="H157" s="233">
        <f>F157*'92'!$C$20/100</f>
        <v>396.46305727986436</v>
      </c>
      <c r="I157" s="233">
        <v>5974</v>
      </c>
      <c r="J157" s="233">
        <f t="shared" si="11"/>
        <v>1.473867528632856</v>
      </c>
    </row>
    <row r="158" spans="1:10" x14ac:dyDescent="0.2">
      <c r="A158" s="164">
        <v>156</v>
      </c>
      <c r="B158" s="285" t="s">
        <v>486</v>
      </c>
      <c r="C158" s="330">
        <v>2589.9</v>
      </c>
      <c r="D158" s="233">
        <v>1040.3</v>
      </c>
      <c r="E158" s="199">
        <v>0.1</v>
      </c>
      <c r="F158" s="233">
        <f t="shared" si="9"/>
        <v>931.5</v>
      </c>
      <c r="G158" s="233">
        <f t="shared" si="10"/>
        <v>204.93</v>
      </c>
      <c r="H158" s="233">
        <f>F158*'92'!$C$20/100</f>
        <v>185.26311087844132</v>
      </c>
      <c r="I158" s="233">
        <v>4526</v>
      </c>
      <c r="J158" s="233">
        <f t="shared" si="11"/>
        <v>2.2578837448853011</v>
      </c>
    </row>
    <row r="159" spans="1:10" x14ac:dyDescent="0.2">
      <c r="A159" s="164">
        <v>157</v>
      </c>
      <c r="B159" s="285" t="s">
        <v>487</v>
      </c>
      <c r="C159" s="330">
        <v>3904.03</v>
      </c>
      <c r="D159" s="233">
        <f>[8]Лист1!$H$50</f>
        <v>1880.42</v>
      </c>
      <c r="E159" s="199">
        <v>0.18099999999999999</v>
      </c>
      <c r="F159" s="233">
        <f t="shared" si="9"/>
        <v>1686.0149999999999</v>
      </c>
      <c r="G159" s="233">
        <f t="shared" si="10"/>
        <v>370.92329999999993</v>
      </c>
      <c r="H159" s="233">
        <f>F159*'92'!$C$20/100</f>
        <v>335.32623068997879</v>
      </c>
      <c r="I159" s="233">
        <v>4256</v>
      </c>
      <c r="J159" s="233">
        <f t="shared" si="11"/>
        <v>1.7029235253545638</v>
      </c>
    </row>
    <row r="160" spans="1:10" x14ac:dyDescent="0.2">
      <c r="A160" s="164">
        <v>158</v>
      </c>
      <c r="B160" s="285" t="s">
        <v>488</v>
      </c>
      <c r="C160" s="330">
        <v>3894.85</v>
      </c>
      <c r="D160" s="233">
        <f>[8]Лист1!$H$127</f>
        <v>1980.42</v>
      </c>
      <c r="E160" s="199">
        <v>0.191</v>
      </c>
      <c r="F160" s="233">
        <f t="shared" si="9"/>
        <v>1779.165</v>
      </c>
      <c r="G160" s="233">
        <f t="shared" si="10"/>
        <v>391.41629999999998</v>
      </c>
      <c r="H160" s="233">
        <f>F160*'92'!$C$20/100</f>
        <v>353.85254177782292</v>
      </c>
      <c r="I160" s="233">
        <v>3621</v>
      </c>
      <c r="J160" s="233">
        <f t="shared" si="11"/>
        <v>1.5778358195508999</v>
      </c>
    </row>
    <row r="161" spans="1:23" s="70" customFormat="1" ht="10.5" x14ac:dyDescent="0.2">
      <c r="A161" s="192">
        <v>159</v>
      </c>
      <c r="B161" s="193" t="s">
        <v>22</v>
      </c>
      <c r="C161" s="248">
        <f>SUM(C3:C160)</f>
        <v>264830.12</v>
      </c>
      <c r="D161" s="249">
        <f>SUM(D3:D160)</f>
        <v>76758.683399999965</v>
      </c>
      <c r="E161" s="200">
        <f>мат.кон.елем!D3</f>
        <v>7.3948635260115578</v>
      </c>
      <c r="F161" s="249">
        <f>E161*ЗП!N65</f>
        <v>68883.153744797659</v>
      </c>
      <c r="G161" s="249">
        <f>F161*22/100</f>
        <v>15154.293823855485</v>
      </c>
      <c r="H161" s="249">
        <f>F161*'92'!$C$20/100</f>
        <v>13699.954213504207</v>
      </c>
      <c r="I161" s="249">
        <f>мат.кон.елем!F31/12</f>
        <v>2904.134539444412</v>
      </c>
      <c r="J161" s="249">
        <f t="shared" si="11"/>
        <v>0.38002299859850447</v>
      </c>
    </row>
    <row r="163" spans="1:23" x14ac:dyDescent="0.2">
      <c r="E163" s="202">
        <f>D161/E161</f>
        <v>10380</v>
      </c>
      <c r="F163" s="250">
        <f>F161/E161</f>
        <v>9315</v>
      </c>
      <c r="H163" s="250"/>
    </row>
    <row r="165" spans="1:23" s="370" customFormat="1" ht="15.75" customHeight="1" x14ac:dyDescent="0.2">
      <c r="A165" s="422"/>
      <c r="B165" s="364" t="s">
        <v>234</v>
      </c>
      <c r="C165" s="421"/>
      <c r="D165" s="473"/>
      <c r="E165" s="520" t="s">
        <v>649</v>
      </c>
      <c r="F165" s="520"/>
      <c r="G165" s="366"/>
      <c r="H165" s="503"/>
      <c r="I165" s="503"/>
      <c r="J165" s="503"/>
      <c r="K165" s="503"/>
      <c r="L165" s="503"/>
      <c r="M165" s="421"/>
      <c r="N165" s="368"/>
      <c r="O165" s="368"/>
      <c r="P165" s="369"/>
      <c r="Q165" s="369"/>
      <c r="R165" s="369"/>
      <c r="S165" s="369"/>
      <c r="T165" s="369"/>
      <c r="U165" s="368"/>
      <c r="V165" s="368"/>
      <c r="W165" s="369"/>
    </row>
  </sheetData>
  <mergeCells count="3">
    <mergeCell ref="A1:J1"/>
    <mergeCell ref="E165:F165"/>
    <mergeCell ref="H165:L165"/>
  </mergeCells>
  <phoneticPr fontId="2" type="noConversion"/>
  <pageMargins left="0.78740157480314965" right="0.19685039370078741" top="0.23622047244094491" bottom="0.23622047244094491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165"/>
  <sheetViews>
    <sheetView topLeftCell="A130" zoomScale="130" zoomScaleNormal="130" workbookViewId="0">
      <selection activeCell="E165" sqref="E165:F165"/>
    </sheetView>
  </sheetViews>
  <sheetFormatPr defaultRowHeight="11.25" x14ac:dyDescent="0.2"/>
  <cols>
    <col min="1" max="1" width="3.85546875" style="169" customWidth="1"/>
    <col min="2" max="2" width="20.7109375" style="210" bestFit="1" customWidth="1"/>
    <col min="3" max="3" width="9.140625" style="169" bestFit="1" customWidth="1"/>
    <col min="4" max="4" width="11.140625" style="202" bestFit="1" customWidth="1"/>
    <col min="5" max="5" width="9.28515625" style="263" customWidth="1"/>
    <col min="6" max="6" width="11.28515625" style="263" customWidth="1"/>
    <col min="7" max="7" width="8.140625" style="263" customWidth="1"/>
    <col min="8" max="8" width="8.42578125" style="263" customWidth="1"/>
    <col min="9" max="9" width="11.5703125" style="263" customWidth="1"/>
    <col min="10" max="10" width="5.85546875" customWidth="1"/>
  </cols>
  <sheetData>
    <row r="1" spans="1:9" s="168" customFormat="1" ht="27" customHeight="1" x14ac:dyDescent="0.2">
      <c r="A1" s="521" t="s">
        <v>626</v>
      </c>
      <c r="B1" s="521"/>
      <c r="C1" s="521"/>
      <c r="D1" s="521"/>
      <c r="E1" s="521"/>
      <c r="F1" s="521"/>
      <c r="G1" s="521"/>
      <c r="H1" s="521"/>
      <c r="I1" s="521"/>
    </row>
    <row r="2" spans="1:9" ht="56.25" customHeight="1" x14ac:dyDescent="0.2">
      <c r="A2" s="82" t="s">
        <v>1</v>
      </c>
      <c r="B2" s="161" t="s">
        <v>0</v>
      </c>
      <c r="C2" s="82" t="s">
        <v>72</v>
      </c>
      <c r="D2" s="199" t="s">
        <v>87</v>
      </c>
      <c r="E2" s="83" t="s">
        <v>274</v>
      </c>
      <c r="F2" s="83" t="s">
        <v>89</v>
      </c>
      <c r="G2" s="83" t="s">
        <v>88</v>
      </c>
      <c r="H2" s="87" t="s">
        <v>75</v>
      </c>
      <c r="I2" s="83" t="s">
        <v>92</v>
      </c>
    </row>
    <row r="3" spans="1:9" ht="12.75" customHeight="1" x14ac:dyDescent="0.2">
      <c r="A3" s="34">
        <v>1</v>
      </c>
      <c r="B3" s="285" t="s">
        <v>331</v>
      </c>
      <c r="C3" s="333">
        <v>394.86</v>
      </c>
      <c r="D3" s="199">
        <v>1.4</v>
      </c>
      <c r="E3" s="337">
        <f>[9]Общее!$F$3</f>
        <v>394.33</v>
      </c>
      <c r="F3" s="274">
        <f>E3/12</f>
        <v>32.860833333333332</v>
      </c>
      <c r="G3" s="83">
        <f>D3*F3</f>
        <v>46.005166666666661</v>
      </c>
      <c r="H3" s="83">
        <v>19.920000000000002</v>
      </c>
      <c r="I3" s="83">
        <f>(G3+(G3*H3)/100)/C3</f>
        <v>0.13971887723919024</v>
      </c>
    </row>
    <row r="4" spans="1:9" ht="12" x14ac:dyDescent="0.2">
      <c r="A4" s="34">
        <v>2</v>
      </c>
      <c r="B4" s="285" t="s">
        <v>332</v>
      </c>
      <c r="C4" s="330">
        <v>326.89999999999998</v>
      </c>
      <c r="D4" s="199">
        <v>1.4</v>
      </c>
      <c r="E4" s="337">
        <f>[9]Общее!$F$4</f>
        <v>332.51</v>
      </c>
      <c r="F4" s="274">
        <f t="shared" ref="F4:F67" si="0">E4/12</f>
        <v>27.709166666666665</v>
      </c>
      <c r="G4" s="83">
        <f t="shared" ref="G4:G67" si="1">D4*F4</f>
        <v>38.792833333333327</v>
      </c>
      <c r="H4" s="83">
        <v>19.920000000000002</v>
      </c>
      <c r="I4" s="83">
        <f t="shared" ref="I4:I67" si="2">(G4+(G4*H4)/100)/C4</f>
        <v>0.14230763454675233</v>
      </c>
    </row>
    <row r="5" spans="1:9" ht="12" x14ac:dyDescent="0.2">
      <c r="A5" s="34">
        <v>3</v>
      </c>
      <c r="B5" s="285" t="s">
        <v>333</v>
      </c>
      <c r="C5" s="330">
        <v>490.6</v>
      </c>
      <c r="D5" s="199">
        <v>1.4</v>
      </c>
      <c r="E5" s="337">
        <f>[9]Общее!$F$5</f>
        <v>394.33</v>
      </c>
      <c r="F5" s="274">
        <f t="shared" si="0"/>
        <v>32.860833333333332</v>
      </c>
      <c r="G5" s="83">
        <f t="shared" si="1"/>
        <v>46.005166666666661</v>
      </c>
      <c r="H5" s="83">
        <v>19.920000000000002</v>
      </c>
      <c r="I5" s="83">
        <f t="shared" si="2"/>
        <v>0.1124529063731485</v>
      </c>
    </row>
    <row r="6" spans="1:9" ht="12" x14ac:dyDescent="0.2">
      <c r="A6" s="34">
        <v>4</v>
      </c>
      <c r="B6" s="285" t="s">
        <v>334</v>
      </c>
      <c r="C6" s="330">
        <v>341.5</v>
      </c>
      <c r="D6" s="199">
        <v>1.4</v>
      </c>
      <c r="E6" s="337">
        <f>[9]Общее!$F$6</f>
        <v>332.51</v>
      </c>
      <c r="F6" s="274">
        <f t="shared" si="0"/>
        <v>27.709166666666665</v>
      </c>
      <c r="G6" s="83">
        <f t="shared" si="1"/>
        <v>38.792833333333327</v>
      </c>
      <c r="H6" s="83">
        <v>19.920000000000002</v>
      </c>
      <c r="I6" s="83">
        <f t="shared" si="2"/>
        <v>0.136223618545632</v>
      </c>
    </row>
    <row r="7" spans="1:9" ht="12" x14ac:dyDescent="0.2">
      <c r="A7" s="34">
        <v>5</v>
      </c>
      <c r="B7" s="285" t="s">
        <v>335</v>
      </c>
      <c r="C7" s="330">
        <v>375.1</v>
      </c>
      <c r="D7" s="199">
        <v>1.4</v>
      </c>
      <c r="E7" s="337">
        <f>[9]Общее!$F$7</f>
        <v>332.51</v>
      </c>
      <c r="F7" s="274">
        <f t="shared" si="0"/>
        <v>27.709166666666665</v>
      </c>
      <c r="G7" s="83">
        <f t="shared" si="1"/>
        <v>38.792833333333327</v>
      </c>
      <c r="H7" s="83">
        <v>19.920000000000002</v>
      </c>
      <c r="I7" s="83">
        <f t="shared" si="2"/>
        <v>0.12402123629254419</v>
      </c>
    </row>
    <row r="8" spans="1:9" ht="12" x14ac:dyDescent="0.2">
      <c r="A8" s="34">
        <v>6</v>
      </c>
      <c r="B8" s="285" t="s">
        <v>336</v>
      </c>
      <c r="C8" s="330">
        <v>386.23</v>
      </c>
      <c r="D8" s="199">
        <v>1.4</v>
      </c>
      <c r="E8" s="337">
        <f>[9]Общее!$F$8</f>
        <v>788.66</v>
      </c>
      <c r="F8" s="274">
        <f t="shared" si="0"/>
        <v>65.721666666666664</v>
      </c>
      <c r="G8" s="83">
        <f t="shared" si="1"/>
        <v>92.010333333333321</v>
      </c>
      <c r="H8" s="83">
        <v>19.920000000000002</v>
      </c>
      <c r="I8" s="83">
        <f t="shared" si="2"/>
        <v>0.28568156728719496</v>
      </c>
    </row>
    <row r="9" spans="1:9" ht="12" x14ac:dyDescent="0.2">
      <c r="A9" s="34">
        <v>7</v>
      </c>
      <c r="B9" s="285" t="s">
        <v>337</v>
      </c>
      <c r="C9" s="330">
        <v>917</v>
      </c>
      <c r="D9" s="199">
        <v>1.4</v>
      </c>
      <c r="E9" s="337">
        <f>[9]Общее!$F$9</f>
        <v>394.33</v>
      </c>
      <c r="F9" s="274">
        <f t="shared" si="0"/>
        <v>32.860833333333332</v>
      </c>
      <c r="G9" s="83">
        <f t="shared" si="1"/>
        <v>46.005166666666661</v>
      </c>
      <c r="H9" s="83">
        <v>19.920000000000002</v>
      </c>
      <c r="I9" s="83">
        <f t="shared" si="2"/>
        <v>6.0162918066157756E-2</v>
      </c>
    </row>
    <row r="10" spans="1:9" ht="12" x14ac:dyDescent="0.2">
      <c r="A10" s="34">
        <v>8</v>
      </c>
      <c r="B10" s="285" t="s">
        <v>338</v>
      </c>
      <c r="C10" s="330">
        <v>354.4</v>
      </c>
      <c r="D10" s="199">
        <v>1.4</v>
      </c>
      <c r="E10" s="337">
        <f>[9]Общее!$F$10</f>
        <v>394.33</v>
      </c>
      <c r="F10" s="274">
        <f t="shared" si="0"/>
        <v>32.860833333333332</v>
      </c>
      <c r="G10" s="83">
        <f t="shared" si="1"/>
        <v>46.005166666666661</v>
      </c>
      <c r="H10" s="83">
        <v>19.920000000000002</v>
      </c>
      <c r="I10" s="83">
        <f t="shared" si="2"/>
        <v>0.15566985289691496</v>
      </c>
    </row>
    <row r="11" spans="1:9" ht="12" x14ac:dyDescent="0.2">
      <c r="A11" s="34">
        <v>9</v>
      </c>
      <c r="B11" s="285" t="s">
        <v>339</v>
      </c>
      <c r="C11" s="330">
        <v>634.4</v>
      </c>
      <c r="D11" s="199">
        <v>1.4</v>
      </c>
      <c r="E11" s="273">
        <v>899</v>
      </c>
      <c r="F11" s="274">
        <f t="shared" si="0"/>
        <v>74.916666666666671</v>
      </c>
      <c r="G11" s="83">
        <f t="shared" si="1"/>
        <v>104.88333333333334</v>
      </c>
      <c r="H11" s="83">
        <v>19.920000000000002</v>
      </c>
      <c r="I11" s="83">
        <f t="shared" si="2"/>
        <v>0.1982599201345103</v>
      </c>
    </row>
    <row r="12" spans="1:9" ht="12" x14ac:dyDescent="0.2">
      <c r="A12" s="34">
        <v>10</v>
      </c>
      <c r="B12" s="285" t="s">
        <v>340</v>
      </c>
      <c r="C12" s="330">
        <v>637.20000000000005</v>
      </c>
      <c r="D12" s="199">
        <v>1.4</v>
      </c>
      <c r="E12" s="273">
        <v>586</v>
      </c>
      <c r="F12" s="274">
        <f t="shared" si="0"/>
        <v>48.833333333333336</v>
      </c>
      <c r="G12" s="83">
        <f t="shared" si="1"/>
        <v>68.36666666666666</v>
      </c>
      <c r="H12" s="83">
        <v>19.920000000000002</v>
      </c>
      <c r="I12" s="83">
        <f t="shared" si="2"/>
        <v>0.12866495082653273</v>
      </c>
    </row>
    <row r="13" spans="1:9" ht="12" x14ac:dyDescent="0.2">
      <c r="A13" s="34">
        <v>11</v>
      </c>
      <c r="B13" s="285" t="s">
        <v>341</v>
      </c>
      <c r="C13" s="330">
        <v>463.8</v>
      </c>
      <c r="D13" s="199">
        <v>1.4</v>
      </c>
      <c r="E13" s="273">
        <v>1802</v>
      </c>
      <c r="F13" s="274">
        <f t="shared" si="0"/>
        <v>150.16666666666666</v>
      </c>
      <c r="G13" s="83">
        <f t="shared" si="1"/>
        <v>210.23333333333332</v>
      </c>
      <c r="H13" s="83">
        <v>19.920000000000002</v>
      </c>
      <c r="I13" s="83">
        <f t="shared" si="2"/>
        <v>0.54357872646255567</v>
      </c>
    </row>
    <row r="14" spans="1:9" ht="12" x14ac:dyDescent="0.2">
      <c r="A14" s="34">
        <v>12</v>
      </c>
      <c r="B14" s="285" t="s">
        <v>342</v>
      </c>
      <c r="C14" s="330">
        <v>633.29999999999995</v>
      </c>
      <c r="D14" s="199">
        <v>1.4</v>
      </c>
      <c r="E14" s="273">
        <v>608</v>
      </c>
      <c r="F14" s="274">
        <f t="shared" si="0"/>
        <v>50.666666666666664</v>
      </c>
      <c r="G14" s="83">
        <f t="shared" si="1"/>
        <v>70.933333333333323</v>
      </c>
      <c r="H14" s="83">
        <v>19.920000000000002</v>
      </c>
      <c r="I14" s="83">
        <f t="shared" si="2"/>
        <v>0.1343174693404916</v>
      </c>
    </row>
    <row r="15" spans="1:9" ht="12" x14ac:dyDescent="0.2">
      <c r="A15" s="34">
        <v>13</v>
      </c>
      <c r="B15" s="285" t="s">
        <v>343</v>
      </c>
      <c r="C15" s="330">
        <v>379.5</v>
      </c>
      <c r="D15" s="199">
        <v>1.4</v>
      </c>
      <c r="E15" s="337">
        <f>[9]Общее!$F$11</f>
        <v>332.51</v>
      </c>
      <c r="F15" s="274">
        <f t="shared" si="0"/>
        <v>27.709166666666665</v>
      </c>
      <c r="G15" s="83">
        <f t="shared" si="1"/>
        <v>38.792833333333327</v>
      </c>
      <c r="H15" s="83">
        <v>19.920000000000002</v>
      </c>
      <c r="I15" s="83">
        <f t="shared" si="2"/>
        <v>0.12258330891523933</v>
      </c>
    </row>
    <row r="16" spans="1:9" ht="12" x14ac:dyDescent="0.2">
      <c r="A16" s="34">
        <v>14</v>
      </c>
      <c r="B16" s="285" t="s">
        <v>344</v>
      </c>
      <c r="C16" s="330">
        <v>916.4</v>
      </c>
      <c r="D16" s="199">
        <v>1.4</v>
      </c>
      <c r="E16" s="273">
        <v>1838</v>
      </c>
      <c r="F16" s="274">
        <f t="shared" si="0"/>
        <v>153.16666666666666</v>
      </c>
      <c r="G16" s="83">
        <f t="shared" si="1"/>
        <v>214.43333333333331</v>
      </c>
      <c r="H16" s="83">
        <v>19.920000000000002</v>
      </c>
      <c r="I16" s="83">
        <f t="shared" si="2"/>
        <v>0.28060721664484212</v>
      </c>
    </row>
    <row r="17" spans="1:9" ht="12" x14ac:dyDescent="0.2">
      <c r="A17" s="34">
        <v>15</v>
      </c>
      <c r="B17" s="285" t="s">
        <v>345</v>
      </c>
      <c r="C17" s="330">
        <v>922.1</v>
      </c>
      <c r="D17" s="199">
        <v>1.4</v>
      </c>
      <c r="E17" s="273">
        <v>624</v>
      </c>
      <c r="F17" s="274">
        <f t="shared" si="0"/>
        <v>52</v>
      </c>
      <c r="G17" s="83">
        <f t="shared" si="1"/>
        <v>72.8</v>
      </c>
      <c r="H17" s="83">
        <v>19.920000000000002</v>
      </c>
      <c r="I17" s="83">
        <f t="shared" si="2"/>
        <v>9.4677106604489747E-2</v>
      </c>
    </row>
    <row r="18" spans="1:9" ht="12" x14ac:dyDescent="0.2">
      <c r="A18" s="34">
        <v>16</v>
      </c>
      <c r="B18" s="285" t="s">
        <v>346</v>
      </c>
      <c r="C18" s="330">
        <v>490.3</v>
      </c>
      <c r="D18" s="199">
        <v>1.4</v>
      </c>
      <c r="E18" s="273">
        <v>974</v>
      </c>
      <c r="F18" s="274">
        <f t="shared" si="0"/>
        <v>81.166666666666671</v>
      </c>
      <c r="G18" s="83">
        <f t="shared" si="1"/>
        <v>113.63333333333333</v>
      </c>
      <c r="H18" s="83">
        <v>19.920000000000002</v>
      </c>
      <c r="I18" s="83">
        <f t="shared" si="2"/>
        <v>0.27793002923380244</v>
      </c>
    </row>
    <row r="19" spans="1:9" ht="12" x14ac:dyDescent="0.2">
      <c r="A19" s="34">
        <v>17</v>
      </c>
      <c r="B19" s="285" t="s">
        <v>347</v>
      </c>
      <c r="C19" s="330">
        <v>502.4</v>
      </c>
      <c r="D19" s="199">
        <v>1.4</v>
      </c>
      <c r="E19" s="273">
        <v>427</v>
      </c>
      <c r="F19" s="274">
        <f t="shared" si="0"/>
        <v>35.583333333333336</v>
      </c>
      <c r="G19" s="83">
        <f t="shared" si="1"/>
        <v>49.81666666666667</v>
      </c>
      <c r="H19" s="83">
        <v>19.920000000000002</v>
      </c>
      <c r="I19" s="83">
        <f t="shared" si="2"/>
        <v>0.11890952760084927</v>
      </c>
    </row>
    <row r="20" spans="1:9" ht="12" x14ac:dyDescent="0.2">
      <c r="A20" s="34">
        <v>18</v>
      </c>
      <c r="B20" s="285" t="s">
        <v>348</v>
      </c>
      <c r="C20" s="330">
        <v>655.29999999999995</v>
      </c>
      <c r="D20" s="199">
        <v>1.4</v>
      </c>
      <c r="E20" s="273">
        <v>1075</v>
      </c>
      <c r="F20" s="274">
        <f t="shared" si="0"/>
        <v>89.583333333333329</v>
      </c>
      <c r="G20" s="83">
        <f t="shared" si="1"/>
        <v>125.41666666666666</v>
      </c>
      <c r="H20" s="83">
        <v>19.920000000000002</v>
      </c>
      <c r="I20" s="83">
        <f t="shared" si="2"/>
        <v>0.22951269138816827</v>
      </c>
    </row>
    <row r="21" spans="1:9" ht="12" x14ac:dyDescent="0.2">
      <c r="A21" s="34">
        <v>19</v>
      </c>
      <c r="B21" s="285" t="s">
        <v>349</v>
      </c>
      <c r="C21" s="330">
        <v>663.8</v>
      </c>
      <c r="D21" s="199">
        <v>1.4</v>
      </c>
      <c r="E21" s="273">
        <v>653</v>
      </c>
      <c r="F21" s="274">
        <f t="shared" si="0"/>
        <v>54.416666666666664</v>
      </c>
      <c r="G21" s="83">
        <f t="shared" si="1"/>
        <v>76.183333333333323</v>
      </c>
      <c r="H21" s="83">
        <v>19.920000000000002</v>
      </c>
      <c r="I21" s="83">
        <f t="shared" si="2"/>
        <v>0.13763039067992366</v>
      </c>
    </row>
    <row r="22" spans="1:9" ht="12" x14ac:dyDescent="0.2">
      <c r="A22" s="34">
        <v>20</v>
      </c>
      <c r="B22" s="285" t="s">
        <v>350</v>
      </c>
      <c r="C22" s="330">
        <v>679.3</v>
      </c>
      <c r="D22" s="199">
        <v>1.4</v>
      </c>
      <c r="E22" s="273">
        <v>510</v>
      </c>
      <c r="F22" s="274">
        <f t="shared" si="0"/>
        <v>42.5</v>
      </c>
      <c r="G22" s="83">
        <f t="shared" si="1"/>
        <v>59.499999999999993</v>
      </c>
      <c r="H22" s="83">
        <v>19.920000000000002</v>
      </c>
      <c r="I22" s="83">
        <f t="shared" si="2"/>
        <v>0.10503812748417488</v>
      </c>
    </row>
    <row r="23" spans="1:9" ht="12" x14ac:dyDescent="0.2">
      <c r="A23" s="34">
        <v>21</v>
      </c>
      <c r="B23" s="285" t="s">
        <v>351</v>
      </c>
      <c r="C23" s="330">
        <v>828.8</v>
      </c>
      <c r="D23" s="199">
        <v>1.4</v>
      </c>
      <c r="E23" s="273">
        <v>718</v>
      </c>
      <c r="F23" s="274">
        <f t="shared" si="0"/>
        <v>59.833333333333336</v>
      </c>
      <c r="G23" s="83">
        <f t="shared" si="1"/>
        <v>83.766666666666666</v>
      </c>
      <c r="H23" s="83">
        <v>19.920000000000002</v>
      </c>
      <c r="I23" s="83">
        <f t="shared" si="2"/>
        <v>0.12120292792792794</v>
      </c>
    </row>
    <row r="24" spans="1:9" ht="12" x14ac:dyDescent="0.2">
      <c r="A24" s="34">
        <v>22</v>
      </c>
      <c r="B24" s="285" t="s">
        <v>352</v>
      </c>
      <c r="C24" s="330">
        <v>1413.6</v>
      </c>
      <c r="D24" s="199">
        <v>1.4</v>
      </c>
      <c r="E24" s="273">
        <v>857</v>
      </c>
      <c r="F24" s="274">
        <f t="shared" si="0"/>
        <v>71.416666666666671</v>
      </c>
      <c r="G24" s="83">
        <f t="shared" si="1"/>
        <v>99.983333333333334</v>
      </c>
      <c r="H24" s="83">
        <v>19.920000000000002</v>
      </c>
      <c r="I24" s="83">
        <f t="shared" si="2"/>
        <v>8.4818911526127153E-2</v>
      </c>
    </row>
    <row r="25" spans="1:9" ht="12" x14ac:dyDescent="0.2">
      <c r="A25" s="34">
        <v>23</v>
      </c>
      <c r="B25" s="285" t="s">
        <v>353</v>
      </c>
      <c r="C25" s="330">
        <v>1478</v>
      </c>
      <c r="D25" s="199">
        <v>1.4</v>
      </c>
      <c r="E25" s="273">
        <v>1661</v>
      </c>
      <c r="F25" s="274">
        <f t="shared" si="0"/>
        <v>138.41666666666666</v>
      </c>
      <c r="G25" s="83">
        <f t="shared" si="1"/>
        <v>193.7833333333333</v>
      </c>
      <c r="H25" s="83">
        <v>19.920000000000002</v>
      </c>
      <c r="I25" s="83">
        <f t="shared" si="2"/>
        <v>0.15722934596301305</v>
      </c>
    </row>
    <row r="26" spans="1:9" ht="12" x14ac:dyDescent="0.2">
      <c r="A26" s="34">
        <v>24</v>
      </c>
      <c r="B26" s="285" t="s">
        <v>354</v>
      </c>
      <c r="C26" s="330">
        <v>848.6</v>
      </c>
      <c r="D26" s="199">
        <v>1.4</v>
      </c>
      <c r="E26" s="273">
        <v>594</v>
      </c>
      <c r="F26" s="274">
        <f t="shared" si="0"/>
        <v>49.5</v>
      </c>
      <c r="G26" s="83">
        <f t="shared" si="1"/>
        <v>69.3</v>
      </c>
      <c r="H26" s="83">
        <v>19.920000000000002</v>
      </c>
      <c r="I26" s="83">
        <f t="shared" si="2"/>
        <v>9.793136931416449E-2</v>
      </c>
    </row>
    <row r="27" spans="1:9" ht="12" x14ac:dyDescent="0.2">
      <c r="A27" s="34">
        <v>25</v>
      </c>
      <c r="B27" s="285" t="s">
        <v>355</v>
      </c>
      <c r="C27" s="330">
        <v>834.8</v>
      </c>
      <c r="D27" s="199">
        <v>1.4</v>
      </c>
      <c r="E27" s="273">
        <v>840</v>
      </c>
      <c r="F27" s="274">
        <f t="shared" si="0"/>
        <v>70</v>
      </c>
      <c r="G27" s="83">
        <f t="shared" si="1"/>
        <v>98</v>
      </c>
      <c r="H27" s="83">
        <v>19.920000000000002</v>
      </c>
      <c r="I27" s="83">
        <f t="shared" si="2"/>
        <v>0.14077815045519887</v>
      </c>
    </row>
    <row r="28" spans="1:9" ht="12" x14ac:dyDescent="0.2">
      <c r="A28" s="34">
        <v>26</v>
      </c>
      <c r="B28" s="285" t="s">
        <v>356</v>
      </c>
      <c r="C28" s="330">
        <v>848.8</v>
      </c>
      <c r="D28" s="199">
        <v>1.4</v>
      </c>
      <c r="E28" s="273">
        <v>1287</v>
      </c>
      <c r="F28" s="274">
        <f t="shared" si="0"/>
        <v>107.25</v>
      </c>
      <c r="G28" s="83">
        <f t="shared" si="1"/>
        <v>150.14999999999998</v>
      </c>
      <c r="H28" s="83">
        <v>19.920000000000002</v>
      </c>
      <c r="I28" s="83">
        <f t="shared" si="2"/>
        <v>0.21213463713477848</v>
      </c>
    </row>
    <row r="29" spans="1:9" ht="12" x14ac:dyDescent="0.2">
      <c r="A29" s="34">
        <v>27</v>
      </c>
      <c r="B29" s="285" t="s">
        <v>357</v>
      </c>
      <c r="C29" s="330">
        <v>646.76</v>
      </c>
      <c r="D29" s="199">
        <v>1.4</v>
      </c>
      <c r="E29" s="273">
        <v>844</v>
      </c>
      <c r="F29" s="274">
        <f t="shared" si="0"/>
        <v>70.333333333333329</v>
      </c>
      <c r="G29" s="83">
        <f t="shared" si="1"/>
        <v>98.466666666666654</v>
      </c>
      <c r="H29" s="83">
        <v>19.920000000000002</v>
      </c>
      <c r="I29" s="83">
        <f t="shared" si="2"/>
        <v>0.1825734842393881</v>
      </c>
    </row>
    <row r="30" spans="1:9" ht="12" x14ac:dyDescent="0.2">
      <c r="A30" s="34">
        <v>28</v>
      </c>
      <c r="B30" s="285" t="s">
        <v>358</v>
      </c>
      <c r="C30" s="330">
        <v>638.20000000000005</v>
      </c>
      <c r="D30" s="199">
        <v>1.4</v>
      </c>
      <c r="E30" s="273">
        <v>575</v>
      </c>
      <c r="F30" s="274">
        <f t="shared" si="0"/>
        <v>47.916666666666664</v>
      </c>
      <c r="G30" s="83">
        <f t="shared" si="1"/>
        <v>67.083333333333329</v>
      </c>
      <c r="H30" s="83">
        <v>19.920000000000002</v>
      </c>
      <c r="I30" s="83">
        <f t="shared" si="2"/>
        <v>0.12605191684947245</v>
      </c>
    </row>
    <row r="31" spans="1:9" ht="12" x14ac:dyDescent="0.2">
      <c r="A31" s="34">
        <v>29</v>
      </c>
      <c r="B31" s="285" t="s">
        <v>359</v>
      </c>
      <c r="C31" s="330">
        <v>385.2</v>
      </c>
      <c r="D31" s="199">
        <v>1.4</v>
      </c>
      <c r="E31" s="273">
        <v>398</v>
      </c>
      <c r="F31" s="274">
        <f t="shared" si="0"/>
        <v>33.166666666666664</v>
      </c>
      <c r="G31" s="83">
        <f t="shared" si="1"/>
        <v>46.43333333333333</v>
      </c>
      <c r="H31" s="83">
        <v>19.920000000000002</v>
      </c>
      <c r="I31" s="83">
        <f t="shared" si="2"/>
        <v>0.14455569401176876</v>
      </c>
    </row>
    <row r="32" spans="1:9" ht="12" x14ac:dyDescent="0.2">
      <c r="A32" s="34">
        <v>30</v>
      </c>
      <c r="B32" s="285" t="s">
        <v>360</v>
      </c>
      <c r="C32" s="330">
        <v>398.4</v>
      </c>
      <c r="D32" s="199">
        <v>1.4</v>
      </c>
      <c r="E32" s="273">
        <v>377</v>
      </c>
      <c r="F32" s="274">
        <f t="shared" si="0"/>
        <v>31.416666666666668</v>
      </c>
      <c r="G32" s="83">
        <f t="shared" si="1"/>
        <v>43.983333333333334</v>
      </c>
      <c r="H32" s="83">
        <v>19.920000000000002</v>
      </c>
      <c r="I32" s="83">
        <f t="shared" si="2"/>
        <v>0.13239159973226239</v>
      </c>
    </row>
    <row r="33" spans="1:9" ht="12" x14ac:dyDescent="0.2">
      <c r="A33" s="34">
        <v>31</v>
      </c>
      <c r="B33" s="285" t="s">
        <v>361</v>
      </c>
      <c r="C33" s="330">
        <v>977.25</v>
      </c>
      <c r="D33" s="199">
        <v>1.4</v>
      </c>
      <c r="E33" s="273">
        <v>1058</v>
      </c>
      <c r="F33" s="274">
        <f t="shared" si="0"/>
        <v>88.166666666666671</v>
      </c>
      <c r="G33" s="83">
        <f t="shared" si="1"/>
        <v>123.43333333333334</v>
      </c>
      <c r="H33" s="83">
        <v>19.920000000000002</v>
      </c>
      <c r="I33" s="83">
        <f t="shared" si="2"/>
        <v>0.15146713055342373</v>
      </c>
    </row>
    <row r="34" spans="1:9" ht="12" x14ac:dyDescent="0.2">
      <c r="A34" s="34">
        <v>32</v>
      </c>
      <c r="B34" s="285" t="s">
        <v>362</v>
      </c>
      <c r="C34" s="330">
        <v>796.2</v>
      </c>
      <c r="D34" s="199">
        <v>1.4</v>
      </c>
      <c r="E34" s="273">
        <v>373</v>
      </c>
      <c r="F34" s="274">
        <f t="shared" si="0"/>
        <v>31.083333333333332</v>
      </c>
      <c r="G34" s="83">
        <f t="shared" si="1"/>
        <v>43.516666666666666</v>
      </c>
      <c r="H34" s="83">
        <v>19.920000000000002</v>
      </c>
      <c r="I34" s="83">
        <f t="shared" si="2"/>
        <v>6.5542811688855396E-2</v>
      </c>
    </row>
    <row r="35" spans="1:9" ht="12" x14ac:dyDescent="0.2">
      <c r="A35" s="34">
        <v>33</v>
      </c>
      <c r="B35" s="285" t="s">
        <v>363</v>
      </c>
      <c r="C35" s="330">
        <v>394.3</v>
      </c>
      <c r="D35" s="199">
        <v>1.4</v>
      </c>
      <c r="E35" s="337">
        <f>[9]Общее!$F$12</f>
        <v>332.51</v>
      </c>
      <c r="F35" s="274">
        <f t="shared" si="0"/>
        <v>27.709166666666665</v>
      </c>
      <c r="G35" s="83">
        <f t="shared" si="1"/>
        <v>38.792833333333327</v>
      </c>
      <c r="H35" s="83">
        <v>19.920000000000002</v>
      </c>
      <c r="I35" s="83">
        <f t="shared" si="2"/>
        <v>0.11798216011497166</v>
      </c>
    </row>
    <row r="36" spans="1:9" ht="12" customHeight="1" x14ac:dyDescent="0.2">
      <c r="A36" s="34">
        <v>34</v>
      </c>
      <c r="B36" s="285" t="s">
        <v>364</v>
      </c>
      <c r="C36" s="330">
        <v>462.9</v>
      </c>
      <c r="D36" s="199">
        <v>1.4</v>
      </c>
      <c r="E36" s="337">
        <f>[9]Общее!$F$13</f>
        <v>394.33</v>
      </c>
      <c r="F36" s="274">
        <f t="shared" si="0"/>
        <v>32.860833333333332</v>
      </c>
      <c r="G36" s="83">
        <f t="shared" si="1"/>
        <v>46.005166666666661</v>
      </c>
      <c r="H36" s="83">
        <v>19.920000000000002</v>
      </c>
      <c r="I36" s="83">
        <f t="shared" si="2"/>
        <v>0.11918210383812199</v>
      </c>
    </row>
    <row r="37" spans="1:9" ht="12" customHeight="1" x14ac:dyDescent="0.2">
      <c r="A37" s="34">
        <v>35</v>
      </c>
      <c r="B37" s="285" t="s">
        <v>365</v>
      </c>
      <c r="C37" s="330">
        <v>411.79</v>
      </c>
      <c r="D37" s="199">
        <v>1.4</v>
      </c>
      <c r="E37" s="337">
        <f>[9]Общее!$F$14</f>
        <v>332.51</v>
      </c>
      <c r="F37" s="274">
        <f t="shared" si="0"/>
        <v>27.709166666666665</v>
      </c>
      <c r="G37" s="83">
        <f t="shared" si="1"/>
        <v>38.792833333333327</v>
      </c>
      <c r="H37" s="83">
        <v>19.920000000000002</v>
      </c>
      <c r="I37" s="83">
        <f t="shared" si="2"/>
        <v>0.11297109141390836</v>
      </c>
    </row>
    <row r="38" spans="1:9" ht="12" customHeight="1" x14ac:dyDescent="0.2">
      <c r="A38" s="34">
        <v>36</v>
      </c>
      <c r="B38" s="285" t="s">
        <v>366</v>
      </c>
      <c r="C38" s="330">
        <v>674.2</v>
      </c>
      <c r="D38" s="199">
        <v>1.4</v>
      </c>
      <c r="E38" s="337">
        <f>[9]Общее!$F$15</f>
        <v>456.15</v>
      </c>
      <c r="F38" s="274">
        <f t="shared" si="0"/>
        <v>38.012499999999996</v>
      </c>
      <c r="G38" s="83">
        <f t="shared" si="1"/>
        <v>53.217499999999994</v>
      </c>
      <c r="H38" s="83">
        <v>19.920000000000002</v>
      </c>
      <c r="I38" s="83">
        <f t="shared" si="2"/>
        <v>9.4658003559774537E-2</v>
      </c>
    </row>
    <row r="39" spans="1:9" ht="12" customHeight="1" x14ac:dyDescent="0.2">
      <c r="A39" s="34">
        <v>37</v>
      </c>
      <c r="B39" s="285" t="s">
        <v>367</v>
      </c>
      <c r="C39" s="330">
        <v>169</v>
      </c>
      <c r="D39" s="199">
        <v>1.4</v>
      </c>
      <c r="E39" s="273">
        <v>715</v>
      </c>
      <c r="F39" s="274">
        <f t="shared" si="0"/>
        <v>59.583333333333336</v>
      </c>
      <c r="G39" s="83">
        <f t="shared" si="1"/>
        <v>83.416666666666671</v>
      </c>
      <c r="H39" s="83">
        <v>19.920000000000002</v>
      </c>
      <c r="I39" s="83">
        <f t="shared" si="2"/>
        <v>0.59191282051282057</v>
      </c>
    </row>
    <row r="40" spans="1:9" ht="12" customHeight="1" x14ac:dyDescent="0.2">
      <c r="A40" s="34">
        <v>38</v>
      </c>
      <c r="B40" s="285" t="s">
        <v>368</v>
      </c>
      <c r="C40" s="330">
        <v>175.4</v>
      </c>
      <c r="D40" s="199">
        <v>1.4</v>
      </c>
      <c r="E40" s="273">
        <v>219</v>
      </c>
      <c r="F40" s="274">
        <f t="shared" si="0"/>
        <v>18.25</v>
      </c>
      <c r="G40" s="83">
        <f t="shared" si="1"/>
        <v>25.549999999999997</v>
      </c>
      <c r="H40" s="83">
        <v>19.920000000000002</v>
      </c>
      <c r="I40" s="83">
        <f t="shared" si="2"/>
        <v>0.17468392246294182</v>
      </c>
    </row>
    <row r="41" spans="1:9" ht="12" customHeight="1" x14ac:dyDescent="0.2">
      <c r="A41" s="34">
        <v>39</v>
      </c>
      <c r="B41" s="285" t="s">
        <v>369</v>
      </c>
      <c r="C41" s="330">
        <v>173.5</v>
      </c>
      <c r="D41" s="199">
        <v>1.4</v>
      </c>
      <c r="E41" s="273">
        <v>304</v>
      </c>
      <c r="F41" s="274">
        <f t="shared" si="0"/>
        <v>25.333333333333332</v>
      </c>
      <c r="G41" s="83">
        <f t="shared" si="1"/>
        <v>35.466666666666661</v>
      </c>
      <c r="H41" s="83">
        <v>19.920000000000002</v>
      </c>
      <c r="I41" s="83">
        <f t="shared" si="2"/>
        <v>0.24513905859750237</v>
      </c>
    </row>
    <row r="42" spans="1:9" ht="12" customHeight="1" x14ac:dyDescent="0.2">
      <c r="A42" s="34">
        <v>40</v>
      </c>
      <c r="B42" s="285" t="s">
        <v>370</v>
      </c>
      <c r="C42" s="330">
        <v>182</v>
      </c>
      <c r="D42" s="199">
        <v>1.4</v>
      </c>
      <c r="E42" s="273">
        <v>240</v>
      </c>
      <c r="F42" s="274">
        <f t="shared" si="0"/>
        <v>20</v>
      </c>
      <c r="G42" s="83">
        <f t="shared" si="1"/>
        <v>28</v>
      </c>
      <c r="H42" s="83">
        <v>19.920000000000002</v>
      </c>
      <c r="I42" s="83">
        <f t="shared" si="2"/>
        <v>0.18449230769230771</v>
      </c>
    </row>
    <row r="43" spans="1:9" ht="12" customHeight="1" x14ac:dyDescent="0.2">
      <c r="A43" s="34">
        <v>41</v>
      </c>
      <c r="B43" s="285" t="s">
        <v>371</v>
      </c>
      <c r="C43" s="330">
        <v>629.6</v>
      </c>
      <c r="D43" s="199">
        <v>1.4</v>
      </c>
      <c r="E43" s="273">
        <v>996</v>
      </c>
      <c r="F43" s="274">
        <f t="shared" si="0"/>
        <v>83</v>
      </c>
      <c r="G43" s="83">
        <f t="shared" si="1"/>
        <v>116.19999999999999</v>
      </c>
      <c r="H43" s="83">
        <v>19.920000000000002</v>
      </c>
      <c r="I43" s="83">
        <f t="shared" si="2"/>
        <v>0.22132630241423124</v>
      </c>
    </row>
    <row r="44" spans="1:9" ht="12" customHeight="1" x14ac:dyDescent="0.2">
      <c r="A44" s="34">
        <v>42</v>
      </c>
      <c r="B44" s="285" t="s">
        <v>372</v>
      </c>
      <c r="C44" s="330">
        <v>628.9</v>
      </c>
      <c r="D44" s="199">
        <v>1.4</v>
      </c>
      <c r="E44" s="273">
        <v>1974</v>
      </c>
      <c r="F44" s="274">
        <f t="shared" si="0"/>
        <v>164.5</v>
      </c>
      <c r="G44" s="83">
        <f t="shared" si="1"/>
        <v>230.29999999999998</v>
      </c>
      <c r="H44" s="83">
        <v>19.920000000000002</v>
      </c>
      <c r="I44" s="83">
        <f t="shared" si="2"/>
        <v>0.43914097630783905</v>
      </c>
    </row>
    <row r="45" spans="1:9" ht="12" customHeight="1" x14ac:dyDescent="0.2">
      <c r="A45" s="34">
        <v>43</v>
      </c>
      <c r="B45" s="285" t="s">
        <v>373</v>
      </c>
      <c r="C45" s="330">
        <v>509.3</v>
      </c>
      <c r="D45" s="199">
        <v>1.4</v>
      </c>
      <c r="E45" s="273">
        <v>548</v>
      </c>
      <c r="F45" s="274">
        <f t="shared" si="0"/>
        <v>45.666666666666664</v>
      </c>
      <c r="G45" s="83">
        <f t="shared" si="1"/>
        <v>63.933333333333323</v>
      </c>
      <c r="H45" s="83">
        <v>19.920000000000002</v>
      </c>
      <c r="I45" s="83">
        <f t="shared" si="2"/>
        <v>0.15053770534720856</v>
      </c>
    </row>
    <row r="46" spans="1:9" ht="12" customHeight="1" x14ac:dyDescent="0.2">
      <c r="A46" s="34">
        <v>44</v>
      </c>
      <c r="B46" s="285" t="s">
        <v>374</v>
      </c>
      <c r="C46" s="330">
        <v>404.4</v>
      </c>
      <c r="D46" s="199">
        <v>1.4</v>
      </c>
      <c r="E46" s="337">
        <f>[9]Общее!$F$16</f>
        <v>394.33</v>
      </c>
      <c r="F46" s="274">
        <f t="shared" si="0"/>
        <v>32.860833333333332</v>
      </c>
      <c r="G46" s="83">
        <f t="shared" si="1"/>
        <v>46.005166666666661</v>
      </c>
      <c r="H46" s="83">
        <v>19.920000000000002</v>
      </c>
      <c r="I46" s="83">
        <f t="shared" si="2"/>
        <v>0.13642283844378503</v>
      </c>
    </row>
    <row r="47" spans="1:9" ht="12" customHeight="1" x14ac:dyDescent="0.2">
      <c r="A47" s="34">
        <v>45</v>
      </c>
      <c r="B47" s="285" t="s">
        <v>375</v>
      </c>
      <c r="C47" s="330">
        <v>409.8</v>
      </c>
      <c r="D47" s="199">
        <v>1.4</v>
      </c>
      <c r="E47" s="337">
        <f>[9]Общее!$F$17</f>
        <v>394.33</v>
      </c>
      <c r="F47" s="274">
        <f t="shared" si="0"/>
        <v>32.860833333333332</v>
      </c>
      <c r="G47" s="83">
        <f t="shared" si="1"/>
        <v>46.005166666666661</v>
      </c>
      <c r="H47" s="83">
        <v>19.920000000000002</v>
      </c>
      <c r="I47" s="83">
        <f t="shared" si="2"/>
        <v>0.13462517292988449</v>
      </c>
    </row>
    <row r="48" spans="1:9" ht="12" customHeight="1" x14ac:dyDescent="0.2">
      <c r="A48" s="34">
        <v>46</v>
      </c>
      <c r="B48" s="285" t="s">
        <v>376</v>
      </c>
      <c r="C48" s="330">
        <v>374.7</v>
      </c>
      <c r="D48" s="199">
        <v>1.4</v>
      </c>
      <c r="E48" s="337">
        <f>[9]Общее!$F$18</f>
        <v>332.51</v>
      </c>
      <c r="F48" s="274">
        <f t="shared" si="0"/>
        <v>27.709166666666665</v>
      </c>
      <c r="G48" s="83">
        <f t="shared" si="1"/>
        <v>38.792833333333327</v>
      </c>
      <c r="H48" s="83">
        <v>19.920000000000002</v>
      </c>
      <c r="I48" s="83">
        <f t="shared" si="2"/>
        <v>0.12415363152744417</v>
      </c>
    </row>
    <row r="49" spans="1:9" ht="12" customHeight="1" x14ac:dyDescent="0.2">
      <c r="A49" s="34">
        <v>47</v>
      </c>
      <c r="B49" s="285" t="s">
        <v>377</v>
      </c>
      <c r="C49" s="330">
        <v>618.4</v>
      </c>
      <c r="D49" s="199">
        <v>1.4</v>
      </c>
      <c r="E49" s="337">
        <f>[9]Общее!$F$19</f>
        <v>394.33</v>
      </c>
      <c r="F49" s="274">
        <f t="shared" si="0"/>
        <v>32.860833333333332</v>
      </c>
      <c r="G49" s="83">
        <f t="shared" si="1"/>
        <v>46.005166666666661</v>
      </c>
      <c r="H49" s="83">
        <v>19.920000000000002</v>
      </c>
      <c r="I49" s="83">
        <f t="shared" si="2"/>
        <v>8.9213123975851655E-2</v>
      </c>
    </row>
    <row r="50" spans="1:9" ht="12" customHeight="1" x14ac:dyDescent="0.2">
      <c r="A50" s="34">
        <v>48</v>
      </c>
      <c r="B50" s="285" t="s">
        <v>378</v>
      </c>
      <c r="C50" s="330">
        <v>1126.3</v>
      </c>
      <c r="D50" s="199">
        <v>1.4</v>
      </c>
      <c r="E50" s="337">
        <f>[9]Общее!$F$20</f>
        <v>456.15</v>
      </c>
      <c r="F50" s="274">
        <f t="shared" si="0"/>
        <v>38.012499999999996</v>
      </c>
      <c r="G50" s="83">
        <f t="shared" si="1"/>
        <v>53.217499999999994</v>
      </c>
      <c r="H50" s="83">
        <v>19.920000000000002</v>
      </c>
      <c r="I50" s="83">
        <f t="shared" si="2"/>
        <v>5.6662013673088873E-2</v>
      </c>
    </row>
    <row r="51" spans="1:9" ht="12" customHeight="1" x14ac:dyDescent="0.2">
      <c r="A51" s="34">
        <v>49</v>
      </c>
      <c r="B51" s="285" t="s">
        <v>379</v>
      </c>
      <c r="C51" s="330">
        <v>617</v>
      </c>
      <c r="D51" s="199">
        <v>1.4</v>
      </c>
      <c r="E51" s="337">
        <f>[9]Общее!$F$21</f>
        <v>548.88000000000011</v>
      </c>
      <c r="F51" s="274">
        <f t="shared" si="0"/>
        <v>45.740000000000009</v>
      </c>
      <c r="G51" s="83">
        <f t="shared" si="1"/>
        <v>64.036000000000016</v>
      </c>
      <c r="H51" s="83">
        <v>19.920000000000002</v>
      </c>
      <c r="I51" s="83">
        <f t="shared" si="2"/>
        <v>0.12446024505672612</v>
      </c>
    </row>
    <row r="52" spans="1:9" ht="12" customHeight="1" x14ac:dyDescent="0.2">
      <c r="A52" s="34">
        <v>50</v>
      </c>
      <c r="B52" s="285" t="s">
        <v>380</v>
      </c>
      <c r="C52" s="330">
        <v>452</v>
      </c>
      <c r="D52" s="199">
        <v>1.4</v>
      </c>
      <c r="E52" s="337">
        <f>[9]Общее!$F$22</f>
        <v>363.42</v>
      </c>
      <c r="F52" s="274">
        <f t="shared" si="0"/>
        <v>30.285</v>
      </c>
      <c r="G52" s="83">
        <f t="shared" si="1"/>
        <v>42.399000000000001</v>
      </c>
      <c r="H52" s="83">
        <v>19.920000000000002</v>
      </c>
      <c r="I52" s="83">
        <f t="shared" si="2"/>
        <v>0.11248867433628318</v>
      </c>
    </row>
    <row r="53" spans="1:9" ht="12" customHeight="1" x14ac:dyDescent="0.2">
      <c r="A53" s="34">
        <v>51</v>
      </c>
      <c r="B53" s="285" t="s">
        <v>381</v>
      </c>
      <c r="C53" s="330">
        <v>1245.5999999999999</v>
      </c>
      <c r="D53" s="199">
        <v>1.4</v>
      </c>
      <c r="E53" s="273">
        <v>792</v>
      </c>
      <c r="F53" s="274">
        <f t="shared" si="0"/>
        <v>66</v>
      </c>
      <c r="G53" s="83">
        <f t="shared" si="1"/>
        <v>92.399999999999991</v>
      </c>
      <c r="H53" s="83">
        <v>19.920000000000002</v>
      </c>
      <c r="I53" s="83">
        <f t="shared" si="2"/>
        <v>8.8957996146435458E-2</v>
      </c>
    </row>
    <row r="54" spans="1:9" ht="12" customHeight="1" x14ac:dyDescent="0.2">
      <c r="A54" s="34">
        <v>52</v>
      </c>
      <c r="B54" s="285" t="s">
        <v>382</v>
      </c>
      <c r="C54" s="330">
        <v>1275.5999999999999</v>
      </c>
      <c r="D54" s="199">
        <v>1.4</v>
      </c>
      <c r="E54" s="273">
        <v>254</v>
      </c>
      <c r="F54" s="274">
        <f t="shared" si="0"/>
        <v>21.166666666666668</v>
      </c>
      <c r="G54" s="83">
        <f t="shared" si="1"/>
        <v>29.633333333333333</v>
      </c>
      <c r="H54" s="83">
        <v>19.920000000000002</v>
      </c>
      <c r="I54" s="83">
        <f t="shared" si="2"/>
        <v>2.7858492735444759E-2</v>
      </c>
    </row>
    <row r="55" spans="1:9" ht="12" customHeight="1" x14ac:dyDescent="0.2">
      <c r="A55" s="34">
        <v>53</v>
      </c>
      <c r="B55" s="285" t="s">
        <v>383</v>
      </c>
      <c r="C55" s="330">
        <v>942.4</v>
      </c>
      <c r="D55" s="199">
        <v>1.4</v>
      </c>
      <c r="E55" s="273">
        <v>1405</v>
      </c>
      <c r="F55" s="274">
        <f t="shared" si="0"/>
        <v>117.08333333333333</v>
      </c>
      <c r="G55" s="83">
        <f t="shared" si="1"/>
        <v>163.91666666666666</v>
      </c>
      <c r="H55" s="83">
        <v>19.920000000000002</v>
      </c>
      <c r="I55" s="83">
        <f t="shared" si="2"/>
        <v>0.20858326259196378</v>
      </c>
    </row>
    <row r="56" spans="1:9" ht="12" customHeight="1" x14ac:dyDescent="0.2">
      <c r="A56" s="34">
        <v>54</v>
      </c>
      <c r="B56" s="285" t="s">
        <v>384</v>
      </c>
      <c r="C56" s="330">
        <v>567.95000000000005</v>
      </c>
      <c r="D56" s="199">
        <v>1.4</v>
      </c>
      <c r="E56" s="337">
        <f>[9]Общее!$F$23</f>
        <v>363.42</v>
      </c>
      <c r="F56" s="274">
        <f t="shared" si="0"/>
        <v>30.285</v>
      </c>
      <c r="G56" s="83">
        <f t="shared" si="1"/>
        <v>42.399000000000001</v>
      </c>
      <c r="H56" s="83">
        <v>19.920000000000002</v>
      </c>
      <c r="I56" s="83">
        <f t="shared" si="2"/>
        <v>8.9523515802447384E-2</v>
      </c>
    </row>
    <row r="57" spans="1:9" ht="12" customHeight="1" x14ac:dyDescent="0.2">
      <c r="A57" s="34">
        <v>55</v>
      </c>
      <c r="B57" s="285" t="s">
        <v>385</v>
      </c>
      <c r="C57" s="330">
        <v>1119.5999999999999</v>
      </c>
      <c r="D57" s="199">
        <v>1.4</v>
      </c>
      <c r="E57" s="273">
        <v>613</v>
      </c>
      <c r="F57" s="274">
        <f t="shared" si="0"/>
        <v>51.083333333333336</v>
      </c>
      <c r="G57" s="83">
        <f t="shared" si="1"/>
        <v>71.516666666666666</v>
      </c>
      <c r="H57" s="83">
        <v>19.920000000000002</v>
      </c>
      <c r="I57" s="83">
        <f t="shared" si="2"/>
        <v>7.6601274264618324E-2</v>
      </c>
    </row>
    <row r="58" spans="1:9" ht="12" customHeight="1" x14ac:dyDescent="0.2">
      <c r="A58" s="34">
        <v>56</v>
      </c>
      <c r="B58" s="285" t="s">
        <v>386</v>
      </c>
      <c r="C58" s="330">
        <v>946.6</v>
      </c>
      <c r="D58" s="199">
        <v>1.4</v>
      </c>
      <c r="E58" s="273">
        <v>193</v>
      </c>
      <c r="F58" s="274">
        <f t="shared" si="0"/>
        <v>16.083333333333332</v>
      </c>
      <c r="G58" s="83">
        <f t="shared" si="1"/>
        <v>22.516666666666662</v>
      </c>
      <c r="H58" s="83">
        <v>19.920000000000002</v>
      </c>
      <c r="I58" s="83">
        <f t="shared" si="2"/>
        <v>2.8525234171420517E-2</v>
      </c>
    </row>
    <row r="59" spans="1:9" ht="12" customHeight="1" x14ac:dyDescent="0.2">
      <c r="A59" s="34">
        <v>57</v>
      </c>
      <c r="B59" s="285" t="s">
        <v>387</v>
      </c>
      <c r="C59" s="330">
        <v>1375.7</v>
      </c>
      <c r="D59" s="199">
        <v>1.4</v>
      </c>
      <c r="E59" s="273">
        <v>788</v>
      </c>
      <c r="F59" s="274">
        <f t="shared" si="0"/>
        <v>65.666666666666671</v>
      </c>
      <c r="G59" s="83">
        <f t="shared" si="1"/>
        <v>91.933333333333337</v>
      </c>
      <c r="H59" s="83">
        <v>19.920000000000002</v>
      </c>
      <c r="I59" s="83">
        <f t="shared" si="2"/>
        <v>8.0138441036078603E-2</v>
      </c>
    </row>
    <row r="60" spans="1:9" ht="12" customHeight="1" x14ac:dyDescent="0.2">
      <c r="A60" s="34">
        <v>58</v>
      </c>
      <c r="B60" s="285" t="s">
        <v>388</v>
      </c>
      <c r="C60" s="330">
        <v>1540.17</v>
      </c>
      <c r="D60" s="199">
        <v>1.4</v>
      </c>
      <c r="E60" s="337">
        <f>[9]Общее!F24</f>
        <v>912.3</v>
      </c>
      <c r="F60" s="274">
        <f t="shared" si="0"/>
        <v>76.024999999999991</v>
      </c>
      <c r="G60" s="83">
        <f t="shared" si="1"/>
        <v>106.43499999999999</v>
      </c>
      <c r="H60" s="83">
        <v>19.920000000000002</v>
      </c>
      <c r="I60" s="83">
        <f t="shared" si="2"/>
        <v>8.2871924527811849E-2</v>
      </c>
    </row>
    <row r="61" spans="1:9" ht="12" customHeight="1" x14ac:dyDescent="0.2">
      <c r="A61" s="34">
        <v>59</v>
      </c>
      <c r="B61" s="285" t="s">
        <v>389</v>
      </c>
      <c r="C61" s="330">
        <v>1571.33</v>
      </c>
      <c r="D61" s="199">
        <v>1.4</v>
      </c>
      <c r="E61" s="337">
        <f>[9]Общее!F25</f>
        <v>912.3</v>
      </c>
      <c r="F61" s="274">
        <f t="shared" si="0"/>
        <v>76.024999999999991</v>
      </c>
      <c r="G61" s="83">
        <f t="shared" si="1"/>
        <v>106.43499999999999</v>
      </c>
      <c r="H61" s="83">
        <v>19.920000000000002</v>
      </c>
      <c r="I61" s="83">
        <f t="shared" si="2"/>
        <v>8.1228546517917943E-2</v>
      </c>
    </row>
    <row r="62" spans="1:9" ht="12" customHeight="1" x14ac:dyDescent="0.2">
      <c r="A62" s="34">
        <v>60</v>
      </c>
      <c r="B62" s="285" t="s">
        <v>390</v>
      </c>
      <c r="C62" s="330">
        <v>1686.29</v>
      </c>
      <c r="D62" s="199">
        <v>1.4</v>
      </c>
      <c r="E62" s="337">
        <f>[9]Общее!F26</f>
        <v>548.88000000000011</v>
      </c>
      <c r="F62" s="274">
        <f t="shared" si="0"/>
        <v>45.740000000000009</v>
      </c>
      <c r="G62" s="83">
        <f t="shared" si="1"/>
        <v>64.036000000000016</v>
      </c>
      <c r="H62" s="83">
        <v>19.920000000000002</v>
      </c>
      <c r="I62" s="83">
        <f t="shared" si="2"/>
        <v>4.5539006457963944E-2</v>
      </c>
    </row>
    <row r="63" spans="1:9" ht="12" customHeight="1" x14ac:dyDescent="0.2">
      <c r="A63" s="34">
        <v>61</v>
      </c>
      <c r="B63" s="285" t="s">
        <v>391</v>
      </c>
      <c r="C63" s="330">
        <v>454.2</v>
      </c>
      <c r="D63" s="199">
        <v>1.4</v>
      </c>
      <c r="E63" s="337">
        <f>[9]Общее!F27</f>
        <v>363.42</v>
      </c>
      <c r="F63" s="274">
        <f t="shared" si="0"/>
        <v>30.285</v>
      </c>
      <c r="G63" s="83">
        <f t="shared" si="1"/>
        <v>42.399000000000001</v>
      </c>
      <c r="H63" s="83">
        <v>19.920000000000002</v>
      </c>
      <c r="I63" s="83">
        <f t="shared" si="2"/>
        <v>0.11194381505944517</v>
      </c>
    </row>
    <row r="64" spans="1:9" ht="12" customHeight="1" x14ac:dyDescent="0.2">
      <c r="A64" s="34">
        <v>62</v>
      </c>
      <c r="B64" s="285" t="s">
        <v>392</v>
      </c>
      <c r="C64" s="330">
        <v>752.4</v>
      </c>
      <c r="D64" s="199">
        <v>1.4</v>
      </c>
      <c r="E64" s="337">
        <f>[9]Общее!F28</f>
        <v>456.15</v>
      </c>
      <c r="F64" s="274">
        <f t="shared" si="0"/>
        <v>38.012499999999996</v>
      </c>
      <c r="G64" s="83">
        <f t="shared" si="1"/>
        <v>53.217499999999994</v>
      </c>
      <c r="H64" s="83">
        <v>19.920000000000002</v>
      </c>
      <c r="I64" s="83">
        <f t="shared" si="2"/>
        <v>8.4819811270600745E-2</v>
      </c>
    </row>
    <row r="65" spans="1:9" ht="12" customHeight="1" x14ac:dyDescent="0.2">
      <c r="A65" s="34">
        <v>63</v>
      </c>
      <c r="B65" s="285" t="s">
        <v>393</v>
      </c>
      <c r="C65" s="330">
        <v>956.4</v>
      </c>
      <c r="D65" s="199">
        <v>1.4</v>
      </c>
      <c r="E65" s="337">
        <f>[9]Общее!F29</f>
        <v>456.15</v>
      </c>
      <c r="F65" s="274">
        <f t="shared" si="0"/>
        <v>38.012499999999996</v>
      </c>
      <c r="G65" s="83">
        <f t="shared" si="1"/>
        <v>53.217499999999994</v>
      </c>
      <c r="H65" s="83">
        <v>19.920000000000002</v>
      </c>
      <c r="I65" s="83">
        <f t="shared" si="2"/>
        <v>6.6727756168966951E-2</v>
      </c>
    </row>
    <row r="66" spans="1:9" ht="12" customHeight="1" x14ac:dyDescent="0.2">
      <c r="A66" s="34">
        <v>64</v>
      </c>
      <c r="B66" s="285" t="s">
        <v>394</v>
      </c>
      <c r="C66" s="330">
        <v>955.5</v>
      </c>
      <c r="D66" s="199">
        <v>1.4</v>
      </c>
      <c r="E66" s="337">
        <f>[9]Общее!F30</f>
        <v>456.15</v>
      </c>
      <c r="F66" s="274">
        <f t="shared" si="0"/>
        <v>38.012499999999996</v>
      </c>
      <c r="G66" s="83">
        <f t="shared" si="1"/>
        <v>53.217499999999994</v>
      </c>
      <c r="H66" s="83">
        <v>19.920000000000002</v>
      </c>
      <c r="I66" s="83">
        <f t="shared" si="2"/>
        <v>6.679060805860805E-2</v>
      </c>
    </row>
    <row r="67" spans="1:9" ht="12" customHeight="1" x14ac:dyDescent="0.2">
      <c r="A67" s="34">
        <v>65</v>
      </c>
      <c r="B67" s="285" t="s">
        <v>395</v>
      </c>
      <c r="C67" s="330">
        <v>1548.5</v>
      </c>
      <c r="D67" s="199">
        <v>1.4</v>
      </c>
      <c r="E67" s="337">
        <f>[9]Общее!F31</f>
        <v>912.3</v>
      </c>
      <c r="F67" s="274">
        <f t="shared" si="0"/>
        <v>76.024999999999991</v>
      </c>
      <c r="G67" s="83">
        <f t="shared" si="1"/>
        <v>106.43499999999999</v>
      </c>
      <c r="H67" s="83">
        <v>19.920000000000002</v>
      </c>
      <c r="I67" s="83">
        <f t="shared" si="2"/>
        <v>8.2426123345172742E-2</v>
      </c>
    </row>
    <row r="68" spans="1:9" ht="12" customHeight="1" x14ac:dyDescent="0.2">
      <c r="A68" s="34">
        <v>66</v>
      </c>
      <c r="B68" s="285" t="s">
        <v>396</v>
      </c>
      <c r="C68" s="330">
        <v>1567.3</v>
      </c>
      <c r="D68" s="199">
        <v>1.4</v>
      </c>
      <c r="E68" s="337">
        <f>[9]Общее!F32</f>
        <v>912.3</v>
      </c>
      <c r="F68" s="274">
        <f t="shared" ref="F68:F161" si="3">E68/12</f>
        <v>76.024999999999991</v>
      </c>
      <c r="G68" s="83">
        <f t="shared" ref="G68:G161" si="4">D68*F68</f>
        <v>106.43499999999999</v>
      </c>
      <c r="H68" s="83">
        <v>19.920000000000002</v>
      </c>
      <c r="I68" s="83">
        <f t="shared" ref="I68:I131" si="5">(G68+(G68*H68)/100)/C68</f>
        <v>8.1437409557838319E-2</v>
      </c>
    </row>
    <row r="69" spans="1:9" ht="12" customHeight="1" x14ac:dyDescent="0.2">
      <c r="A69" s="34">
        <v>67</v>
      </c>
      <c r="B69" s="285" t="s">
        <v>397</v>
      </c>
      <c r="C69" s="330">
        <v>1558.46</v>
      </c>
      <c r="D69" s="199">
        <v>1.4</v>
      </c>
      <c r="E69" s="337">
        <f>[9]Общее!F33</f>
        <v>912.3</v>
      </c>
      <c r="F69" s="274">
        <f t="shared" si="3"/>
        <v>76.024999999999991</v>
      </c>
      <c r="G69" s="83">
        <f t="shared" si="4"/>
        <v>106.43499999999999</v>
      </c>
      <c r="H69" s="83">
        <v>19.920000000000002</v>
      </c>
      <c r="I69" s="83">
        <f t="shared" si="5"/>
        <v>8.1899344224426671E-2</v>
      </c>
    </row>
    <row r="70" spans="1:9" ht="12" customHeight="1" x14ac:dyDescent="0.2">
      <c r="A70" s="34">
        <v>68</v>
      </c>
      <c r="B70" s="285" t="s">
        <v>398</v>
      </c>
      <c r="C70" s="330">
        <v>1575.7</v>
      </c>
      <c r="D70" s="199">
        <v>1.4</v>
      </c>
      <c r="E70" s="337">
        <f>[9]Общее!F34</f>
        <v>912.3</v>
      </c>
      <c r="F70" s="274">
        <f t="shared" si="3"/>
        <v>76.024999999999991</v>
      </c>
      <c r="G70" s="83">
        <f t="shared" si="4"/>
        <v>106.43499999999999</v>
      </c>
      <c r="H70" s="83">
        <v>19.920000000000002</v>
      </c>
      <c r="I70" s="83">
        <f t="shared" si="5"/>
        <v>8.1003269657929797E-2</v>
      </c>
    </row>
    <row r="71" spans="1:9" ht="12" customHeight="1" x14ac:dyDescent="0.2">
      <c r="A71" s="34">
        <v>69</v>
      </c>
      <c r="B71" s="285" t="s">
        <v>399</v>
      </c>
      <c r="C71" s="330">
        <v>1546.3</v>
      </c>
      <c r="D71" s="199">
        <v>1.4</v>
      </c>
      <c r="E71" s="337">
        <f>[9]Общее!F35</f>
        <v>912.3</v>
      </c>
      <c r="F71" s="274">
        <f t="shared" si="3"/>
        <v>76.024999999999991</v>
      </c>
      <c r="G71" s="83">
        <f t="shared" si="4"/>
        <v>106.43499999999999</v>
      </c>
      <c r="H71" s="83">
        <v>19.920000000000002</v>
      </c>
      <c r="I71" s="83">
        <f t="shared" si="5"/>
        <v>8.2543395201448613E-2</v>
      </c>
    </row>
    <row r="72" spans="1:9" ht="12" customHeight="1" x14ac:dyDescent="0.2">
      <c r="A72" s="34">
        <v>70</v>
      </c>
      <c r="B72" s="285" t="s">
        <v>400</v>
      </c>
      <c r="C72" s="330">
        <v>563.1</v>
      </c>
      <c r="D72" s="199">
        <v>1.4</v>
      </c>
      <c r="E72" s="273">
        <v>767</v>
      </c>
      <c r="F72" s="274">
        <f t="shared" si="3"/>
        <v>63.916666666666664</v>
      </c>
      <c r="G72" s="83">
        <f t="shared" si="4"/>
        <v>89.48333333333332</v>
      </c>
      <c r="H72" s="83">
        <v>19.920000000000002</v>
      </c>
      <c r="I72" s="83">
        <f t="shared" si="5"/>
        <v>0.19056724086899895</v>
      </c>
    </row>
    <row r="73" spans="1:9" ht="12" customHeight="1" x14ac:dyDescent="0.2">
      <c r="A73" s="34">
        <v>71</v>
      </c>
      <c r="B73" s="285" t="s">
        <v>401</v>
      </c>
      <c r="C73" s="330">
        <v>549.6</v>
      </c>
      <c r="D73" s="199">
        <v>1.4</v>
      </c>
      <c r="E73" s="337">
        <f>[9]Общее!F36</f>
        <v>363.42</v>
      </c>
      <c r="F73" s="274">
        <f t="shared" si="3"/>
        <v>30.285</v>
      </c>
      <c r="G73" s="83">
        <f t="shared" si="4"/>
        <v>42.399000000000001</v>
      </c>
      <c r="H73" s="83">
        <v>19.920000000000002</v>
      </c>
      <c r="I73" s="83">
        <f t="shared" si="5"/>
        <v>9.2512519650655017E-2</v>
      </c>
    </row>
    <row r="74" spans="1:9" ht="12" customHeight="1" x14ac:dyDescent="0.2">
      <c r="A74" s="34">
        <v>72</v>
      </c>
      <c r="B74" s="285" t="s">
        <v>402</v>
      </c>
      <c r="C74" s="330">
        <v>983</v>
      </c>
      <c r="D74" s="199">
        <v>1.4</v>
      </c>
      <c r="E74" s="337">
        <f>[9]Общее!F37</f>
        <v>456.15</v>
      </c>
      <c r="F74" s="274">
        <f t="shared" si="3"/>
        <v>38.012499999999996</v>
      </c>
      <c r="G74" s="83">
        <f t="shared" si="4"/>
        <v>53.217499999999994</v>
      </c>
      <c r="H74" s="83">
        <v>19.920000000000002</v>
      </c>
      <c r="I74" s="83">
        <f t="shared" si="5"/>
        <v>6.4922101729399787E-2</v>
      </c>
    </row>
    <row r="75" spans="1:9" ht="12" customHeight="1" x14ac:dyDescent="0.2">
      <c r="A75" s="34">
        <v>73</v>
      </c>
      <c r="B75" s="285" t="s">
        <v>403</v>
      </c>
      <c r="C75" s="330">
        <v>1093.5999999999999</v>
      </c>
      <c r="D75" s="199">
        <v>1.4</v>
      </c>
      <c r="E75" s="337">
        <f>[9]Общее!F38</f>
        <v>456.15</v>
      </c>
      <c r="F75" s="274">
        <f t="shared" si="3"/>
        <v>38.012499999999996</v>
      </c>
      <c r="G75" s="83">
        <f t="shared" si="4"/>
        <v>53.217499999999994</v>
      </c>
      <c r="H75" s="83">
        <v>19.920000000000002</v>
      </c>
      <c r="I75" s="83">
        <f t="shared" si="5"/>
        <v>5.83562783467447E-2</v>
      </c>
    </row>
    <row r="76" spans="1:9" ht="12" customHeight="1" x14ac:dyDescent="0.2">
      <c r="A76" s="34">
        <v>74</v>
      </c>
      <c r="B76" s="285" t="s">
        <v>404</v>
      </c>
      <c r="C76" s="330">
        <v>773.53</v>
      </c>
      <c r="D76" s="199">
        <v>1.4</v>
      </c>
      <c r="E76" s="337">
        <f>[9]Общее!F39</f>
        <v>456.15</v>
      </c>
      <c r="F76" s="274">
        <f t="shared" si="3"/>
        <v>38.012499999999996</v>
      </c>
      <c r="G76" s="83">
        <f t="shared" si="4"/>
        <v>53.217499999999994</v>
      </c>
      <c r="H76" s="83">
        <v>19.920000000000002</v>
      </c>
      <c r="I76" s="83">
        <f t="shared" si="5"/>
        <v>8.2502845397075739E-2</v>
      </c>
    </row>
    <row r="77" spans="1:9" ht="12" customHeight="1" x14ac:dyDescent="0.2">
      <c r="A77" s="34">
        <v>75</v>
      </c>
      <c r="B77" s="285" t="s">
        <v>405</v>
      </c>
      <c r="C77" s="330">
        <v>1603.4</v>
      </c>
      <c r="D77" s="199">
        <v>1.4</v>
      </c>
      <c r="E77" s="337">
        <f>[9]Общее!F40</f>
        <v>1275.72</v>
      </c>
      <c r="F77" s="274">
        <f t="shared" si="3"/>
        <v>106.31</v>
      </c>
      <c r="G77" s="83">
        <f t="shared" si="4"/>
        <v>148.834</v>
      </c>
      <c r="H77" s="83">
        <v>19.920000000000002</v>
      </c>
      <c r="I77" s="83">
        <f t="shared" si="5"/>
        <v>0.11131453960334289</v>
      </c>
    </row>
    <row r="78" spans="1:9" ht="12" customHeight="1" x14ac:dyDescent="0.2">
      <c r="A78" s="34">
        <v>76</v>
      </c>
      <c r="B78" s="285" t="s">
        <v>406</v>
      </c>
      <c r="C78" s="330">
        <v>561.1</v>
      </c>
      <c r="D78" s="199">
        <v>1.4</v>
      </c>
      <c r="E78" s="337">
        <f>[9]Общее!F41</f>
        <v>363.42</v>
      </c>
      <c r="F78" s="274">
        <f t="shared" si="3"/>
        <v>30.285</v>
      </c>
      <c r="G78" s="83">
        <f t="shared" si="4"/>
        <v>42.399000000000001</v>
      </c>
      <c r="H78" s="83">
        <v>19.920000000000002</v>
      </c>
      <c r="I78" s="83">
        <f t="shared" si="5"/>
        <v>9.0616433434325419E-2</v>
      </c>
    </row>
    <row r="79" spans="1:9" ht="12" customHeight="1" x14ac:dyDescent="0.2">
      <c r="A79" s="34">
        <v>77</v>
      </c>
      <c r="B79" s="285" t="s">
        <v>407</v>
      </c>
      <c r="C79" s="330">
        <v>780.4</v>
      </c>
      <c r="D79" s="199">
        <v>1.4</v>
      </c>
      <c r="E79" s="337">
        <f>[9]Общее!F42</f>
        <v>456.15</v>
      </c>
      <c r="F79" s="274">
        <f t="shared" si="3"/>
        <v>38.012499999999996</v>
      </c>
      <c r="G79" s="83">
        <f t="shared" si="4"/>
        <v>53.217499999999994</v>
      </c>
      <c r="H79" s="83">
        <v>19.920000000000002</v>
      </c>
      <c r="I79" s="83">
        <f t="shared" si="5"/>
        <v>8.1776558175294722E-2</v>
      </c>
    </row>
    <row r="80" spans="1:9" ht="12" customHeight="1" x14ac:dyDescent="0.2">
      <c r="A80" s="34">
        <v>78</v>
      </c>
      <c r="B80" s="285" t="s">
        <v>408</v>
      </c>
      <c r="C80" s="330">
        <v>1890.1</v>
      </c>
      <c r="D80" s="199">
        <v>1.4</v>
      </c>
      <c r="E80" s="337">
        <f>[9]Общее!F43</f>
        <v>1090.26</v>
      </c>
      <c r="F80" s="274">
        <f t="shared" si="3"/>
        <v>90.855000000000004</v>
      </c>
      <c r="G80" s="83">
        <f t="shared" si="4"/>
        <v>127.197</v>
      </c>
      <c r="H80" s="83">
        <v>19.920000000000002</v>
      </c>
      <c r="I80" s="83">
        <f t="shared" si="5"/>
        <v>8.0701890058727049E-2</v>
      </c>
    </row>
    <row r="81" spans="1:9" ht="12" customHeight="1" x14ac:dyDescent="0.2">
      <c r="A81" s="34">
        <v>79</v>
      </c>
      <c r="B81" s="285" t="s">
        <v>409</v>
      </c>
      <c r="C81" s="330">
        <v>1734.5</v>
      </c>
      <c r="D81" s="199">
        <v>1.4</v>
      </c>
      <c r="E81" s="337">
        <f>[9]Общее!F44</f>
        <v>548.88000000000011</v>
      </c>
      <c r="F81" s="274">
        <f t="shared" si="3"/>
        <v>45.740000000000009</v>
      </c>
      <c r="G81" s="83">
        <f t="shared" si="4"/>
        <v>64.036000000000016</v>
      </c>
      <c r="H81" s="83">
        <v>19.920000000000002</v>
      </c>
      <c r="I81" s="83">
        <f t="shared" si="5"/>
        <v>4.4273260997405604E-2</v>
      </c>
    </row>
    <row r="82" spans="1:9" ht="12" customHeight="1" x14ac:dyDescent="0.2">
      <c r="A82" s="34">
        <v>80</v>
      </c>
      <c r="B82" s="285" t="s">
        <v>410</v>
      </c>
      <c r="C82" s="330">
        <v>1565.58</v>
      </c>
      <c r="D82" s="199">
        <v>1.4</v>
      </c>
      <c r="E82" s="337">
        <f>[9]Общее!F45</f>
        <v>548.88000000000011</v>
      </c>
      <c r="F82" s="274">
        <f t="shared" si="3"/>
        <v>45.740000000000009</v>
      </c>
      <c r="G82" s="83">
        <f t="shared" si="4"/>
        <v>64.036000000000016</v>
      </c>
      <c r="H82" s="83">
        <v>19.920000000000002</v>
      </c>
      <c r="I82" s="83">
        <f t="shared" si="5"/>
        <v>4.9050173865276783E-2</v>
      </c>
    </row>
    <row r="83" spans="1:9" ht="12" customHeight="1" x14ac:dyDescent="0.2">
      <c r="A83" s="34">
        <v>81</v>
      </c>
      <c r="B83" s="285" t="s">
        <v>411</v>
      </c>
      <c r="C83" s="330">
        <v>2043.8</v>
      </c>
      <c r="D83" s="199">
        <v>1.4</v>
      </c>
      <c r="E83" s="337">
        <f>[9]Общее!F46</f>
        <v>641.61</v>
      </c>
      <c r="F83" s="274">
        <f t="shared" si="3"/>
        <v>53.467500000000001</v>
      </c>
      <c r="G83" s="83">
        <f t="shared" si="4"/>
        <v>74.854500000000002</v>
      </c>
      <c r="H83" s="83">
        <v>19.920000000000002</v>
      </c>
      <c r="I83" s="83">
        <f t="shared" si="5"/>
        <v>4.3920890693805656E-2</v>
      </c>
    </row>
    <row r="84" spans="1:9" ht="12" customHeight="1" x14ac:dyDescent="0.2">
      <c r="A84" s="34">
        <v>82</v>
      </c>
      <c r="B84" s="285" t="s">
        <v>412</v>
      </c>
      <c r="C84" s="330">
        <v>1277.5999999999999</v>
      </c>
      <c r="D84" s="199">
        <v>1.4</v>
      </c>
      <c r="E84" s="337">
        <f>[9]Общее!F47</f>
        <v>517.97</v>
      </c>
      <c r="F84" s="274">
        <f t="shared" si="3"/>
        <v>43.164166666666667</v>
      </c>
      <c r="G84" s="83">
        <f t="shared" si="4"/>
        <v>60.429833333333328</v>
      </c>
      <c r="H84" s="83">
        <v>19.920000000000002</v>
      </c>
      <c r="I84" s="83">
        <f t="shared" si="5"/>
        <v>5.6721553016071805E-2</v>
      </c>
    </row>
    <row r="85" spans="1:9" ht="12" customHeight="1" x14ac:dyDescent="0.2">
      <c r="A85" s="34">
        <v>83</v>
      </c>
      <c r="B85" s="285" t="s">
        <v>413</v>
      </c>
      <c r="C85" s="330">
        <v>1281.1500000000001</v>
      </c>
      <c r="D85" s="199">
        <v>1.4</v>
      </c>
      <c r="E85" s="337">
        <f>[9]Общее!F48</f>
        <v>517.97</v>
      </c>
      <c r="F85" s="274">
        <f t="shared" si="3"/>
        <v>43.164166666666667</v>
      </c>
      <c r="G85" s="83">
        <f t="shared" si="4"/>
        <v>60.429833333333328</v>
      </c>
      <c r="H85" s="83">
        <v>19.920000000000002</v>
      </c>
      <c r="I85" s="83">
        <f t="shared" si="5"/>
        <v>5.6564380543522086E-2</v>
      </c>
    </row>
    <row r="86" spans="1:9" ht="12" customHeight="1" x14ac:dyDescent="0.2">
      <c r="A86" s="34">
        <v>84</v>
      </c>
      <c r="B86" s="285" t="s">
        <v>414</v>
      </c>
      <c r="C86" s="330">
        <v>1492.3</v>
      </c>
      <c r="D86" s="199">
        <v>1.4</v>
      </c>
      <c r="E86" s="337">
        <f>[9]Общее!F49</f>
        <v>517.97</v>
      </c>
      <c r="F86" s="274">
        <f t="shared" si="3"/>
        <v>43.164166666666667</v>
      </c>
      <c r="G86" s="83">
        <f t="shared" si="4"/>
        <v>60.429833333333328</v>
      </c>
      <c r="H86" s="83">
        <v>19.920000000000002</v>
      </c>
      <c r="I86" s="83">
        <f t="shared" si="5"/>
        <v>4.8560916795103756E-2</v>
      </c>
    </row>
    <row r="87" spans="1:9" ht="12" customHeight="1" x14ac:dyDescent="0.2">
      <c r="A87" s="34">
        <v>85</v>
      </c>
      <c r="B87" s="285" t="s">
        <v>415</v>
      </c>
      <c r="C87" s="330">
        <v>4130.75</v>
      </c>
      <c r="D87" s="199">
        <v>1.4</v>
      </c>
      <c r="E87" s="337">
        <f>[9]Общее!F50</f>
        <v>1553.9099999999999</v>
      </c>
      <c r="F87" s="274">
        <f t="shared" si="3"/>
        <v>129.49249999999998</v>
      </c>
      <c r="G87" s="83">
        <f t="shared" si="4"/>
        <v>181.28949999999995</v>
      </c>
      <c r="H87" s="83">
        <v>19.920000000000002</v>
      </c>
      <c r="I87" s="83">
        <f t="shared" si="5"/>
        <v>5.2630241094232269E-2</v>
      </c>
    </row>
    <row r="88" spans="1:9" ht="12" customHeight="1" x14ac:dyDescent="0.2">
      <c r="A88" s="34">
        <v>86</v>
      </c>
      <c r="B88" s="285" t="s">
        <v>416</v>
      </c>
      <c r="C88" s="330">
        <v>3262.1</v>
      </c>
      <c r="D88" s="199">
        <v>1.4</v>
      </c>
      <c r="E88" s="337">
        <f>[9]Общее!F51</f>
        <v>1430.27</v>
      </c>
      <c r="F88" s="274">
        <f t="shared" si="3"/>
        <v>119.18916666666667</v>
      </c>
      <c r="G88" s="83">
        <f t="shared" si="4"/>
        <v>166.86483333333331</v>
      </c>
      <c r="H88" s="83">
        <v>19.920000000000002</v>
      </c>
      <c r="I88" s="83">
        <f t="shared" si="5"/>
        <v>6.1342174713630265E-2</v>
      </c>
    </row>
    <row r="89" spans="1:9" ht="12" customHeight="1" x14ac:dyDescent="0.2">
      <c r="A89" s="34">
        <v>87</v>
      </c>
      <c r="B89" s="285" t="s">
        <v>417</v>
      </c>
      <c r="C89" s="330">
        <v>1516.8</v>
      </c>
      <c r="D89" s="199">
        <v>1.4</v>
      </c>
      <c r="E89" s="337">
        <f>[9]Общее!F52</f>
        <v>641.61</v>
      </c>
      <c r="F89" s="274">
        <f t="shared" si="3"/>
        <v>53.467500000000001</v>
      </c>
      <c r="G89" s="83">
        <f t="shared" si="4"/>
        <v>74.854500000000002</v>
      </c>
      <c r="H89" s="83">
        <v>19.920000000000002</v>
      </c>
      <c r="I89" s="83">
        <f t="shared" si="5"/>
        <v>5.9180852056962024E-2</v>
      </c>
    </row>
    <row r="90" spans="1:9" ht="12" customHeight="1" x14ac:dyDescent="0.2">
      <c r="A90" s="34">
        <v>88</v>
      </c>
      <c r="B90" s="285" t="s">
        <v>418</v>
      </c>
      <c r="C90" s="330">
        <v>752.42</v>
      </c>
      <c r="D90" s="199">
        <v>1.4</v>
      </c>
      <c r="E90" s="337">
        <f>[9]Общее!F53</f>
        <v>394.33</v>
      </c>
      <c r="F90" s="274">
        <f t="shared" si="3"/>
        <v>32.860833333333332</v>
      </c>
      <c r="G90" s="83">
        <f t="shared" si="4"/>
        <v>46.005166666666661</v>
      </c>
      <c r="H90" s="83">
        <v>19.920000000000002</v>
      </c>
      <c r="I90" s="83">
        <f t="shared" si="5"/>
        <v>7.3322606877364596E-2</v>
      </c>
    </row>
    <row r="91" spans="1:9" ht="12" customHeight="1" x14ac:dyDescent="0.2">
      <c r="A91" s="34">
        <v>89</v>
      </c>
      <c r="B91" s="285" t="s">
        <v>419</v>
      </c>
      <c r="C91" s="330">
        <v>771.7</v>
      </c>
      <c r="D91" s="199">
        <v>1.4</v>
      </c>
      <c r="E91" s="337">
        <f>[9]Общее!F54</f>
        <v>394.33</v>
      </c>
      <c r="F91" s="274">
        <f t="shared" si="3"/>
        <v>32.860833333333332</v>
      </c>
      <c r="G91" s="83">
        <f t="shared" si="4"/>
        <v>46.005166666666661</v>
      </c>
      <c r="H91" s="83">
        <v>19.920000000000002</v>
      </c>
      <c r="I91" s="83">
        <f t="shared" si="5"/>
        <v>7.1490729385339721E-2</v>
      </c>
    </row>
    <row r="92" spans="1:9" ht="12" customHeight="1" x14ac:dyDescent="0.2">
      <c r="A92" s="34">
        <v>90</v>
      </c>
      <c r="B92" s="285" t="s">
        <v>420</v>
      </c>
      <c r="C92" s="330">
        <v>1545</v>
      </c>
      <c r="D92" s="199">
        <v>1.4</v>
      </c>
      <c r="E92" s="273">
        <v>2119</v>
      </c>
      <c r="F92" s="274">
        <f t="shared" si="3"/>
        <v>176.58333333333334</v>
      </c>
      <c r="G92" s="83">
        <f t="shared" si="4"/>
        <v>247.21666666666667</v>
      </c>
      <c r="H92" s="83">
        <v>19.920000000000002</v>
      </c>
      <c r="I92" s="83">
        <f t="shared" si="5"/>
        <v>0.19188493635382955</v>
      </c>
    </row>
    <row r="93" spans="1:9" ht="12" customHeight="1" x14ac:dyDescent="0.2">
      <c r="A93" s="34">
        <v>91</v>
      </c>
      <c r="B93" s="285" t="s">
        <v>421</v>
      </c>
      <c r="C93" s="330">
        <v>769.7</v>
      </c>
      <c r="D93" s="199">
        <v>1.4</v>
      </c>
      <c r="E93" s="337">
        <f>[9]Общее!F55</f>
        <v>394.33</v>
      </c>
      <c r="F93" s="274">
        <f t="shared" si="3"/>
        <v>32.860833333333332</v>
      </c>
      <c r="G93" s="83">
        <f t="shared" si="4"/>
        <v>46.005166666666661</v>
      </c>
      <c r="H93" s="83">
        <v>19.920000000000002</v>
      </c>
      <c r="I93" s="83">
        <f t="shared" si="5"/>
        <v>7.1676491966567044E-2</v>
      </c>
    </row>
    <row r="94" spans="1:9" ht="12" customHeight="1" x14ac:dyDescent="0.2">
      <c r="A94" s="34">
        <v>92</v>
      </c>
      <c r="B94" s="285" t="s">
        <v>422</v>
      </c>
      <c r="C94" s="330">
        <v>776.9</v>
      </c>
      <c r="D94" s="199">
        <v>1.4</v>
      </c>
      <c r="E94" s="337">
        <f>[9]Общее!F56</f>
        <v>394.33</v>
      </c>
      <c r="F94" s="274">
        <f t="shared" si="3"/>
        <v>32.860833333333332</v>
      </c>
      <c r="G94" s="83">
        <f t="shared" si="4"/>
        <v>46.005166666666661</v>
      </c>
      <c r="H94" s="83">
        <v>19.920000000000002</v>
      </c>
      <c r="I94" s="83">
        <f t="shared" si="5"/>
        <v>7.1012222765692704E-2</v>
      </c>
    </row>
    <row r="95" spans="1:9" ht="12" customHeight="1" x14ac:dyDescent="0.2">
      <c r="A95" s="34">
        <v>93</v>
      </c>
      <c r="B95" s="285" t="s">
        <v>423</v>
      </c>
      <c r="C95" s="330">
        <v>1935.6</v>
      </c>
      <c r="D95" s="199">
        <v>1.4</v>
      </c>
      <c r="E95" s="337">
        <f>[9]Общее!F57</f>
        <v>641.61</v>
      </c>
      <c r="F95" s="274">
        <f t="shared" si="3"/>
        <v>53.467500000000001</v>
      </c>
      <c r="G95" s="83">
        <f t="shared" si="4"/>
        <v>74.854500000000002</v>
      </c>
      <c r="H95" s="83">
        <v>19.920000000000002</v>
      </c>
      <c r="I95" s="83">
        <f t="shared" si="5"/>
        <v>4.6376067575945444E-2</v>
      </c>
    </row>
    <row r="96" spans="1:9" ht="12" customHeight="1" x14ac:dyDescent="0.2">
      <c r="A96" s="34">
        <v>94</v>
      </c>
      <c r="B96" s="285" t="s">
        <v>424</v>
      </c>
      <c r="C96" s="330">
        <v>1513.72</v>
      </c>
      <c r="D96" s="199">
        <v>1.4</v>
      </c>
      <c r="E96" s="337">
        <f>[9]Общее!F58</f>
        <v>517.97</v>
      </c>
      <c r="F96" s="274">
        <f t="shared" si="3"/>
        <v>43.164166666666667</v>
      </c>
      <c r="G96" s="83">
        <f t="shared" si="4"/>
        <v>60.429833333333328</v>
      </c>
      <c r="H96" s="83">
        <v>19.920000000000002</v>
      </c>
      <c r="I96" s="83">
        <f t="shared" si="5"/>
        <v>4.7873752169049315E-2</v>
      </c>
    </row>
    <row r="97" spans="1:9" ht="12" customHeight="1" x14ac:dyDescent="0.2">
      <c r="A97" s="34">
        <v>95</v>
      </c>
      <c r="B97" s="285" t="s">
        <v>425</v>
      </c>
      <c r="C97" s="330">
        <v>1500.3</v>
      </c>
      <c r="D97" s="199">
        <v>1.4</v>
      </c>
      <c r="E97" s="337">
        <f>[9]Общее!F59</f>
        <v>517.97</v>
      </c>
      <c r="F97" s="274">
        <f t="shared" si="3"/>
        <v>43.164166666666667</v>
      </c>
      <c r="G97" s="83">
        <f t="shared" si="4"/>
        <v>60.429833333333328</v>
      </c>
      <c r="H97" s="83">
        <v>19.920000000000002</v>
      </c>
      <c r="I97" s="83">
        <f t="shared" si="5"/>
        <v>4.8301977026816857E-2</v>
      </c>
    </row>
    <row r="98" spans="1:9" ht="12" customHeight="1" x14ac:dyDescent="0.2">
      <c r="A98" s="34">
        <v>96</v>
      </c>
      <c r="B98" s="285" t="s">
        <v>426</v>
      </c>
      <c r="C98" s="330">
        <v>735.9</v>
      </c>
      <c r="D98" s="199">
        <v>1.4</v>
      </c>
      <c r="E98" s="337">
        <f>[9]Общее!F60</f>
        <v>394.33</v>
      </c>
      <c r="F98" s="274">
        <f t="shared" si="3"/>
        <v>32.860833333333332</v>
      </c>
      <c r="G98" s="83">
        <f t="shared" si="4"/>
        <v>46.005166666666661</v>
      </c>
      <c r="H98" s="83">
        <v>19.920000000000002</v>
      </c>
      <c r="I98" s="83">
        <f t="shared" si="5"/>
        <v>7.4968604248765683E-2</v>
      </c>
    </row>
    <row r="99" spans="1:9" ht="12" customHeight="1" x14ac:dyDescent="0.2">
      <c r="A99" s="34">
        <v>97</v>
      </c>
      <c r="B99" s="285" t="s">
        <v>427</v>
      </c>
      <c r="C99" s="330">
        <v>757.7</v>
      </c>
      <c r="D99" s="199">
        <v>1.4</v>
      </c>
      <c r="E99" s="337">
        <f>[9]Общее!F61</f>
        <v>394.33</v>
      </c>
      <c r="F99" s="274">
        <f t="shared" si="3"/>
        <v>32.860833333333332</v>
      </c>
      <c r="G99" s="83">
        <f t="shared" si="4"/>
        <v>46.005166666666661</v>
      </c>
      <c r="H99" s="83">
        <v>19.920000000000002</v>
      </c>
      <c r="I99" s="83">
        <f t="shared" si="5"/>
        <v>7.2811661431525218E-2</v>
      </c>
    </row>
    <row r="100" spans="1:9" ht="12" customHeight="1" x14ac:dyDescent="0.2">
      <c r="A100" s="34">
        <v>98</v>
      </c>
      <c r="B100" s="285" t="s">
        <v>428</v>
      </c>
      <c r="C100" s="330">
        <v>1915.15</v>
      </c>
      <c r="D100" s="199">
        <v>1.4</v>
      </c>
      <c r="E100" s="337">
        <f>[9]Общее!F62</f>
        <v>641.61</v>
      </c>
      <c r="F100" s="274">
        <f t="shared" si="3"/>
        <v>53.467500000000001</v>
      </c>
      <c r="G100" s="83">
        <f t="shared" si="4"/>
        <v>74.854500000000002</v>
      </c>
      <c r="H100" s="83">
        <v>19.920000000000002</v>
      </c>
      <c r="I100" s="83">
        <f t="shared" si="5"/>
        <v>4.687127191081638E-2</v>
      </c>
    </row>
    <row r="101" spans="1:9" ht="12" customHeight="1" x14ac:dyDescent="0.2">
      <c r="A101" s="34">
        <v>99</v>
      </c>
      <c r="B101" s="285" t="s">
        <v>429</v>
      </c>
      <c r="C101" s="330">
        <v>1544.5</v>
      </c>
      <c r="D101" s="199">
        <v>1.4</v>
      </c>
      <c r="E101" s="273">
        <v>1206</v>
      </c>
      <c r="F101" s="274">
        <f t="shared" si="3"/>
        <v>100.5</v>
      </c>
      <c r="G101" s="83">
        <f t="shared" si="4"/>
        <v>140.69999999999999</v>
      </c>
      <c r="H101" s="83">
        <v>19.920000000000002</v>
      </c>
      <c r="I101" s="83">
        <f t="shared" si="5"/>
        <v>0.10924405309161542</v>
      </c>
    </row>
    <row r="102" spans="1:9" ht="12" customHeight="1" x14ac:dyDescent="0.2">
      <c r="A102" s="34">
        <v>100</v>
      </c>
      <c r="B102" s="285" t="s">
        <v>430</v>
      </c>
      <c r="C102" s="330">
        <v>1552.3</v>
      </c>
      <c r="D102" s="199">
        <v>1.4</v>
      </c>
      <c r="E102" s="273">
        <v>1115</v>
      </c>
      <c r="F102" s="274">
        <f t="shared" si="3"/>
        <v>92.916666666666671</v>
      </c>
      <c r="G102" s="83">
        <f t="shared" si="4"/>
        <v>130.08333333333334</v>
      </c>
      <c r="H102" s="83">
        <v>19.920000000000002</v>
      </c>
      <c r="I102" s="83">
        <f t="shared" si="5"/>
        <v>0.10049341836844253</v>
      </c>
    </row>
    <row r="103" spans="1:9" ht="12" customHeight="1" x14ac:dyDescent="0.2">
      <c r="A103" s="34">
        <v>101</v>
      </c>
      <c r="B103" s="285" t="s">
        <v>431</v>
      </c>
      <c r="C103" s="330">
        <v>1287.0999999999999</v>
      </c>
      <c r="D103" s="199">
        <v>1.4</v>
      </c>
      <c r="E103" s="337">
        <f>[9]Общее!F63</f>
        <v>517.97</v>
      </c>
      <c r="F103" s="274">
        <f t="shared" si="3"/>
        <v>43.164166666666667</v>
      </c>
      <c r="G103" s="83">
        <f t="shared" si="4"/>
        <v>60.429833333333328</v>
      </c>
      <c r="H103" s="83">
        <v>19.920000000000002</v>
      </c>
      <c r="I103" s="83">
        <f t="shared" si="5"/>
        <v>5.6302894983554765E-2</v>
      </c>
    </row>
    <row r="104" spans="1:9" ht="12" customHeight="1" x14ac:dyDescent="0.2">
      <c r="A104" s="34">
        <v>102</v>
      </c>
      <c r="B104" s="285" t="s">
        <v>432</v>
      </c>
      <c r="C104" s="330">
        <v>3473.9</v>
      </c>
      <c r="D104" s="199">
        <v>1.4</v>
      </c>
      <c r="E104" s="337">
        <f>[9]Общее!F64</f>
        <v>1159.58</v>
      </c>
      <c r="F104" s="274">
        <f t="shared" si="3"/>
        <v>96.631666666666661</v>
      </c>
      <c r="G104" s="83">
        <f t="shared" si="4"/>
        <v>135.28433333333331</v>
      </c>
      <c r="H104" s="83">
        <v>19.920000000000002</v>
      </c>
      <c r="I104" s="83">
        <f t="shared" si="5"/>
        <v>4.6700530393313941E-2</v>
      </c>
    </row>
    <row r="105" spans="1:9" ht="12" customHeight="1" x14ac:dyDescent="0.2">
      <c r="A105" s="34">
        <v>103</v>
      </c>
      <c r="B105" s="285" t="s">
        <v>433</v>
      </c>
      <c r="C105" s="330">
        <v>1838.18</v>
      </c>
      <c r="D105" s="199">
        <v>1.4</v>
      </c>
      <c r="E105" s="337">
        <f>[9]Общее!F65</f>
        <v>579.79</v>
      </c>
      <c r="F105" s="274">
        <f t="shared" si="3"/>
        <v>48.31583333333333</v>
      </c>
      <c r="G105" s="83">
        <f t="shared" si="4"/>
        <v>67.642166666666654</v>
      </c>
      <c r="H105" s="83">
        <v>19.920000000000002</v>
      </c>
      <c r="I105" s="83">
        <f t="shared" si="5"/>
        <v>4.4128695920239942E-2</v>
      </c>
    </row>
    <row r="106" spans="1:9" ht="12" customHeight="1" x14ac:dyDescent="0.2">
      <c r="A106" s="34">
        <v>104</v>
      </c>
      <c r="B106" s="285" t="s">
        <v>434</v>
      </c>
      <c r="C106" s="330">
        <v>4517.6000000000004</v>
      </c>
      <c r="D106" s="199">
        <v>1.4</v>
      </c>
      <c r="E106" s="337">
        <f>[9]Общее!F66</f>
        <v>1739.37</v>
      </c>
      <c r="F106" s="274">
        <f t="shared" si="3"/>
        <v>144.94749999999999</v>
      </c>
      <c r="G106" s="83">
        <f t="shared" si="4"/>
        <v>202.92649999999998</v>
      </c>
      <c r="H106" s="83">
        <v>19.920000000000002</v>
      </c>
      <c r="I106" s="83">
        <f t="shared" si="5"/>
        <v>5.3866977775810156E-2</v>
      </c>
    </row>
    <row r="107" spans="1:9" ht="12" customHeight="1" x14ac:dyDescent="0.2">
      <c r="A107" s="34">
        <v>105</v>
      </c>
      <c r="B107" s="285" t="s">
        <v>435</v>
      </c>
      <c r="C107" s="330">
        <v>4524.9399999999996</v>
      </c>
      <c r="D107" s="199">
        <v>1.4</v>
      </c>
      <c r="E107" s="337">
        <f>[9]Общее!F67</f>
        <v>1739.37</v>
      </c>
      <c r="F107" s="274">
        <f t="shared" si="3"/>
        <v>144.94749999999999</v>
      </c>
      <c r="G107" s="83">
        <f t="shared" si="4"/>
        <v>202.92649999999998</v>
      </c>
      <c r="H107" s="83">
        <v>19.920000000000002</v>
      </c>
      <c r="I107" s="83">
        <f t="shared" si="5"/>
        <v>5.377959902230748E-2</v>
      </c>
    </row>
    <row r="108" spans="1:9" ht="12" customHeight="1" x14ac:dyDescent="0.2">
      <c r="A108" s="34">
        <v>106</v>
      </c>
      <c r="B108" s="285" t="s">
        <v>436</v>
      </c>
      <c r="C108" s="330">
        <v>4742.2700000000004</v>
      </c>
      <c r="D108" s="199">
        <v>1.4</v>
      </c>
      <c r="E108" s="337">
        <f>[9]Общее!F68</f>
        <v>1739.37</v>
      </c>
      <c r="F108" s="274">
        <f t="shared" si="3"/>
        <v>144.94749999999999</v>
      </c>
      <c r="G108" s="83">
        <f t="shared" si="4"/>
        <v>202.92649999999998</v>
      </c>
      <c r="H108" s="83">
        <v>19.920000000000002</v>
      </c>
      <c r="I108" s="83">
        <f t="shared" si="5"/>
        <v>5.1314973377728376E-2</v>
      </c>
    </row>
    <row r="109" spans="1:9" ht="12" customHeight="1" x14ac:dyDescent="0.2">
      <c r="A109" s="34">
        <v>107</v>
      </c>
      <c r="B109" s="285" t="s">
        <v>437</v>
      </c>
      <c r="C109" s="330">
        <v>2538.3000000000002</v>
      </c>
      <c r="D109" s="199">
        <v>1.4</v>
      </c>
      <c r="E109" s="337">
        <f>[9]Общее!F69</f>
        <v>1159.58</v>
      </c>
      <c r="F109" s="274">
        <f t="shared" si="3"/>
        <v>96.631666666666661</v>
      </c>
      <c r="G109" s="83">
        <f t="shared" si="4"/>
        <v>135.28433333333331</v>
      </c>
      <c r="H109" s="83">
        <v>19.920000000000002</v>
      </c>
      <c r="I109" s="83">
        <f t="shared" si="5"/>
        <v>6.3914026132976129E-2</v>
      </c>
    </row>
    <row r="110" spans="1:9" ht="12" customHeight="1" x14ac:dyDescent="0.2">
      <c r="A110" s="34">
        <v>108</v>
      </c>
      <c r="B110" s="285" t="s">
        <v>438</v>
      </c>
      <c r="C110" s="330">
        <v>4452.8999999999996</v>
      </c>
      <c r="D110" s="199">
        <v>1.4</v>
      </c>
      <c r="E110" s="337">
        <f>[9]Общее!F70</f>
        <v>1739.37</v>
      </c>
      <c r="F110" s="274">
        <f t="shared" si="3"/>
        <v>144.94749999999999</v>
      </c>
      <c r="G110" s="83">
        <f t="shared" si="4"/>
        <v>202.92649999999998</v>
      </c>
      <c r="H110" s="83">
        <v>19.920000000000002</v>
      </c>
      <c r="I110" s="83">
        <f t="shared" si="5"/>
        <v>5.4649657257068426E-2</v>
      </c>
    </row>
    <row r="111" spans="1:9" ht="12" customHeight="1" x14ac:dyDescent="0.2">
      <c r="A111" s="34">
        <v>109</v>
      </c>
      <c r="B111" s="285" t="s">
        <v>439</v>
      </c>
      <c r="C111" s="330">
        <v>1573.08</v>
      </c>
      <c r="D111" s="199">
        <v>1.4</v>
      </c>
      <c r="E111" s="337">
        <f>[9]Общее!F71</f>
        <v>579.79</v>
      </c>
      <c r="F111" s="274">
        <f t="shared" si="3"/>
        <v>48.31583333333333</v>
      </c>
      <c r="G111" s="83">
        <f t="shared" si="4"/>
        <v>67.642166666666654</v>
      </c>
      <c r="H111" s="83">
        <v>19.920000000000002</v>
      </c>
      <c r="I111" s="83">
        <f t="shared" si="5"/>
        <v>5.1565391630855814E-2</v>
      </c>
    </row>
    <row r="112" spans="1:9" ht="12" customHeight="1" x14ac:dyDescent="0.2">
      <c r="A112" s="34">
        <v>110</v>
      </c>
      <c r="B112" s="285" t="s">
        <v>440</v>
      </c>
      <c r="C112" s="330">
        <v>3168.45</v>
      </c>
      <c r="D112" s="199">
        <v>1.4</v>
      </c>
      <c r="E112" s="337">
        <f>[9]Общее!F72</f>
        <v>1159.58</v>
      </c>
      <c r="F112" s="274">
        <f t="shared" si="3"/>
        <v>96.631666666666661</v>
      </c>
      <c r="G112" s="83">
        <f t="shared" si="4"/>
        <v>135.28433333333331</v>
      </c>
      <c r="H112" s="83">
        <v>19.920000000000002</v>
      </c>
      <c r="I112" s="83">
        <f t="shared" si="5"/>
        <v>5.1202629845297644E-2</v>
      </c>
    </row>
    <row r="113" spans="1:9" ht="12" customHeight="1" x14ac:dyDescent="0.2">
      <c r="A113" s="34">
        <v>111</v>
      </c>
      <c r="B113" s="285" t="s">
        <v>441</v>
      </c>
      <c r="C113" s="330">
        <v>3182.6</v>
      </c>
      <c r="D113" s="199">
        <v>1.4</v>
      </c>
      <c r="E113" s="337">
        <f>[9]Общее!F73</f>
        <v>1159.58</v>
      </c>
      <c r="F113" s="274">
        <f t="shared" si="3"/>
        <v>96.631666666666661</v>
      </c>
      <c r="G113" s="83">
        <f t="shared" si="4"/>
        <v>135.28433333333331</v>
      </c>
      <c r="H113" s="83">
        <v>19.920000000000002</v>
      </c>
      <c r="I113" s="83">
        <f t="shared" si="5"/>
        <v>5.0974980372441817E-2</v>
      </c>
    </row>
    <row r="114" spans="1:9" ht="12" customHeight="1" x14ac:dyDescent="0.2">
      <c r="A114" s="34">
        <v>112</v>
      </c>
      <c r="B114" s="285" t="s">
        <v>442</v>
      </c>
      <c r="C114" s="330">
        <v>2283.1999999999998</v>
      </c>
      <c r="D114" s="199">
        <v>1.4</v>
      </c>
      <c r="E114" s="337">
        <f>[9]Общее!F74</f>
        <v>1159.58</v>
      </c>
      <c r="F114" s="274">
        <f t="shared" si="3"/>
        <v>96.631666666666661</v>
      </c>
      <c r="G114" s="83">
        <f t="shared" si="4"/>
        <v>135.28433333333331</v>
      </c>
      <c r="H114" s="83">
        <v>19.920000000000002</v>
      </c>
      <c r="I114" s="83">
        <f t="shared" si="5"/>
        <v>7.105508607801915E-2</v>
      </c>
    </row>
    <row r="115" spans="1:9" ht="12" customHeight="1" x14ac:dyDescent="0.2">
      <c r="A115" s="34">
        <v>113</v>
      </c>
      <c r="B115" s="285" t="s">
        <v>443</v>
      </c>
      <c r="C115" s="330">
        <v>1091.7</v>
      </c>
      <c r="D115" s="199">
        <v>1.4</v>
      </c>
      <c r="E115" s="337">
        <f>[9]Общее!F75</f>
        <v>579.79</v>
      </c>
      <c r="F115" s="274">
        <f t="shared" si="3"/>
        <v>48.31583333333333</v>
      </c>
      <c r="G115" s="83">
        <f t="shared" si="4"/>
        <v>67.642166666666654</v>
      </c>
      <c r="H115" s="83">
        <v>19.920000000000002</v>
      </c>
      <c r="I115" s="83">
        <f t="shared" si="5"/>
        <v>7.430290946841317E-2</v>
      </c>
    </row>
    <row r="116" spans="1:9" ht="12" customHeight="1" x14ac:dyDescent="0.2">
      <c r="A116" s="34">
        <v>114</v>
      </c>
      <c r="B116" s="285" t="s">
        <v>444</v>
      </c>
      <c r="C116" s="330">
        <v>1733.3</v>
      </c>
      <c r="D116" s="199">
        <v>1.4</v>
      </c>
      <c r="E116" s="337">
        <f>[9]Общее!F76</f>
        <v>579.79</v>
      </c>
      <c r="F116" s="274">
        <f t="shared" si="3"/>
        <v>48.31583333333333</v>
      </c>
      <c r="G116" s="83">
        <f t="shared" si="4"/>
        <v>67.642166666666654</v>
      </c>
      <c r="H116" s="83">
        <v>19.920000000000002</v>
      </c>
      <c r="I116" s="83">
        <f t="shared" si="5"/>
        <v>4.6798872824477387E-2</v>
      </c>
    </row>
    <row r="117" spans="1:9" ht="12" customHeight="1" x14ac:dyDescent="0.2">
      <c r="A117" s="34">
        <v>115</v>
      </c>
      <c r="B117" s="285" t="s">
        <v>445</v>
      </c>
      <c r="C117" s="330">
        <v>1752.82</v>
      </c>
      <c r="D117" s="199">
        <v>1.4</v>
      </c>
      <c r="E117" s="337">
        <f>[9]Общее!F77</f>
        <v>579.79</v>
      </c>
      <c r="F117" s="274">
        <f t="shared" si="3"/>
        <v>48.31583333333333</v>
      </c>
      <c r="G117" s="83">
        <f t="shared" si="4"/>
        <v>67.642166666666654</v>
      </c>
      <c r="H117" s="83">
        <v>19.920000000000002</v>
      </c>
      <c r="I117" s="83">
        <f t="shared" si="5"/>
        <v>4.6277704651171633E-2</v>
      </c>
    </row>
    <row r="118" spans="1:9" ht="12" customHeight="1" x14ac:dyDescent="0.2">
      <c r="A118" s="34">
        <v>116</v>
      </c>
      <c r="B118" s="285" t="s">
        <v>446</v>
      </c>
      <c r="C118" s="330">
        <v>3688.59</v>
      </c>
      <c r="D118" s="199">
        <v>1.4</v>
      </c>
      <c r="E118" s="337">
        <f>[9]Общее!F78</f>
        <v>1159.58</v>
      </c>
      <c r="F118" s="274">
        <f t="shared" si="3"/>
        <v>96.631666666666661</v>
      </c>
      <c r="G118" s="83">
        <f t="shared" si="4"/>
        <v>135.28433333333331</v>
      </c>
      <c r="H118" s="83">
        <v>19.920000000000002</v>
      </c>
      <c r="I118" s="83">
        <f t="shared" si="5"/>
        <v>4.3982381488138642E-2</v>
      </c>
    </row>
    <row r="119" spans="1:9" ht="12" customHeight="1" x14ac:dyDescent="0.2">
      <c r="A119" s="34">
        <v>117</v>
      </c>
      <c r="B119" s="285" t="s">
        <v>447</v>
      </c>
      <c r="C119" s="330">
        <v>3868.13</v>
      </c>
      <c r="D119" s="199">
        <v>1.4</v>
      </c>
      <c r="E119" s="337">
        <f>[9]Общее!F79</f>
        <v>1584.82</v>
      </c>
      <c r="F119" s="274">
        <f t="shared" si="3"/>
        <v>132.06833333333333</v>
      </c>
      <c r="G119" s="83">
        <f t="shared" si="4"/>
        <v>184.89566666666664</v>
      </c>
      <c r="H119" s="83">
        <v>19.920000000000002</v>
      </c>
      <c r="I119" s="83">
        <f t="shared" si="5"/>
        <v>5.7321466307147545E-2</v>
      </c>
    </row>
    <row r="120" spans="1:9" ht="12" customHeight="1" x14ac:dyDescent="0.2">
      <c r="A120" s="34">
        <v>118</v>
      </c>
      <c r="B120" s="285" t="s">
        <v>448</v>
      </c>
      <c r="C120" s="330">
        <v>2821.38</v>
      </c>
      <c r="D120" s="199">
        <v>1.4</v>
      </c>
      <c r="E120" s="337">
        <f>[9]Общее!F80</f>
        <v>1159.58</v>
      </c>
      <c r="F120" s="274">
        <f t="shared" si="3"/>
        <v>96.631666666666661</v>
      </c>
      <c r="G120" s="83">
        <f t="shared" si="4"/>
        <v>135.28433333333331</v>
      </c>
      <c r="H120" s="83">
        <v>19.920000000000002</v>
      </c>
      <c r="I120" s="83">
        <f t="shared" si="5"/>
        <v>5.7501283957968552E-2</v>
      </c>
    </row>
    <row r="121" spans="1:9" ht="12" customHeight="1" x14ac:dyDescent="0.2">
      <c r="A121" s="34">
        <v>119</v>
      </c>
      <c r="B121" s="285" t="s">
        <v>449</v>
      </c>
      <c r="C121" s="330">
        <v>4277.29</v>
      </c>
      <c r="D121" s="199">
        <v>1.4</v>
      </c>
      <c r="E121" s="337">
        <f>[9]Общее!F81</f>
        <v>1739.37</v>
      </c>
      <c r="F121" s="274">
        <f t="shared" si="3"/>
        <v>144.94749999999999</v>
      </c>
      <c r="G121" s="83">
        <f t="shared" si="4"/>
        <v>202.92649999999998</v>
      </c>
      <c r="H121" s="83">
        <v>19.920000000000002</v>
      </c>
      <c r="I121" s="83">
        <f t="shared" si="5"/>
        <v>5.689337379508988E-2</v>
      </c>
    </row>
    <row r="122" spans="1:9" ht="12" customHeight="1" x14ac:dyDescent="0.2">
      <c r="A122" s="34">
        <v>120</v>
      </c>
      <c r="B122" s="285" t="s">
        <v>450</v>
      </c>
      <c r="C122" s="330">
        <v>2171.3000000000002</v>
      </c>
      <c r="D122" s="199">
        <v>1.4</v>
      </c>
      <c r="E122" s="337">
        <f>[9]Общее!F82</f>
        <v>734.34</v>
      </c>
      <c r="F122" s="274">
        <f t="shared" si="3"/>
        <v>61.195</v>
      </c>
      <c r="G122" s="83">
        <f t="shared" si="4"/>
        <v>85.673000000000002</v>
      </c>
      <c r="H122" s="83">
        <v>19.920000000000002</v>
      </c>
      <c r="I122" s="83">
        <f t="shared" si="5"/>
        <v>4.7316843181504163E-2</v>
      </c>
    </row>
    <row r="123" spans="1:9" ht="12" customHeight="1" x14ac:dyDescent="0.2">
      <c r="A123" s="34">
        <v>121</v>
      </c>
      <c r="B123" s="285" t="s">
        <v>451</v>
      </c>
      <c r="C123" s="330">
        <v>5707.1</v>
      </c>
      <c r="D123" s="199">
        <v>1.4</v>
      </c>
      <c r="E123" s="337">
        <f>[9]Общее!F83</f>
        <v>2628.26</v>
      </c>
      <c r="F123" s="274">
        <f t="shared" si="3"/>
        <v>219.02166666666668</v>
      </c>
      <c r="G123" s="83">
        <f t="shared" si="4"/>
        <v>306.63033333333334</v>
      </c>
      <c r="H123" s="83">
        <v>19.920000000000002</v>
      </c>
      <c r="I123" s="83">
        <f t="shared" si="5"/>
        <v>6.4430463060632076E-2</v>
      </c>
    </row>
    <row r="124" spans="1:9" ht="12" customHeight="1" x14ac:dyDescent="0.2">
      <c r="A124" s="34">
        <v>122</v>
      </c>
      <c r="B124" s="285" t="s">
        <v>452</v>
      </c>
      <c r="C124" s="330">
        <v>1727.35</v>
      </c>
      <c r="D124" s="199">
        <v>1.4</v>
      </c>
      <c r="E124" s="337">
        <f>[9]Общее!F84</f>
        <v>579.79</v>
      </c>
      <c r="F124" s="274">
        <f t="shared" si="3"/>
        <v>48.31583333333333</v>
      </c>
      <c r="G124" s="83">
        <f t="shared" si="4"/>
        <v>67.642166666666654</v>
      </c>
      <c r="H124" s="83">
        <v>19.920000000000002</v>
      </c>
      <c r="I124" s="83">
        <f t="shared" si="5"/>
        <v>4.6960075414170063E-2</v>
      </c>
    </row>
    <row r="125" spans="1:9" ht="12" customHeight="1" x14ac:dyDescent="0.2">
      <c r="A125" s="34">
        <v>123</v>
      </c>
      <c r="B125" s="285" t="s">
        <v>453</v>
      </c>
      <c r="C125" s="330">
        <v>2522.5500000000002</v>
      </c>
      <c r="D125" s="199">
        <v>1.4</v>
      </c>
      <c r="E125" s="337">
        <f>[9]Общее!F85</f>
        <v>734.34</v>
      </c>
      <c r="F125" s="274">
        <f t="shared" si="3"/>
        <v>61.195</v>
      </c>
      <c r="G125" s="83">
        <f t="shared" si="4"/>
        <v>85.673000000000002</v>
      </c>
      <c r="H125" s="83">
        <v>19.920000000000002</v>
      </c>
      <c r="I125" s="83">
        <f t="shared" si="5"/>
        <v>4.0728255772928185E-2</v>
      </c>
    </row>
    <row r="126" spans="1:9" ht="12" customHeight="1" x14ac:dyDescent="0.2">
      <c r="A126" s="34">
        <v>124</v>
      </c>
      <c r="B126" s="285" t="s">
        <v>454</v>
      </c>
      <c r="C126" s="330">
        <v>2516.6999999999998</v>
      </c>
      <c r="D126" s="199">
        <v>1.4</v>
      </c>
      <c r="E126" s="337">
        <f>[9]Общее!F86</f>
        <v>734.34</v>
      </c>
      <c r="F126" s="274">
        <f t="shared" si="3"/>
        <v>61.195</v>
      </c>
      <c r="G126" s="83">
        <f t="shared" si="4"/>
        <v>85.673000000000002</v>
      </c>
      <c r="H126" s="83">
        <v>19.920000000000002</v>
      </c>
      <c r="I126" s="83">
        <f t="shared" si="5"/>
        <v>4.0822927484404185E-2</v>
      </c>
    </row>
    <row r="127" spans="1:9" ht="12" customHeight="1" x14ac:dyDescent="0.2">
      <c r="A127" s="34">
        <v>125</v>
      </c>
      <c r="B127" s="285" t="s">
        <v>455</v>
      </c>
      <c r="C127" s="330">
        <v>1774.47</v>
      </c>
      <c r="D127" s="199">
        <v>1.4</v>
      </c>
      <c r="E127" s="337">
        <f>[9]Общее!F87</f>
        <v>579.79</v>
      </c>
      <c r="F127" s="274">
        <f t="shared" si="3"/>
        <v>48.31583333333333</v>
      </c>
      <c r="G127" s="83">
        <f t="shared" si="4"/>
        <v>67.642166666666654</v>
      </c>
      <c r="H127" s="83">
        <v>19.920000000000002</v>
      </c>
      <c r="I127" s="83">
        <f t="shared" si="5"/>
        <v>4.5713078421538066E-2</v>
      </c>
    </row>
    <row r="128" spans="1:9" ht="12" customHeight="1" x14ac:dyDescent="0.2">
      <c r="A128" s="34">
        <v>126</v>
      </c>
      <c r="B128" s="285" t="s">
        <v>456</v>
      </c>
      <c r="C128" s="330">
        <v>1727.7</v>
      </c>
      <c r="D128" s="199">
        <v>1.4</v>
      </c>
      <c r="E128" s="273">
        <v>772</v>
      </c>
      <c r="F128" s="274">
        <f t="shared" si="3"/>
        <v>64.333333333333329</v>
      </c>
      <c r="G128" s="83">
        <f t="shared" si="4"/>
        <v>90.066666666666649</v>
      </c>
      <c r="H128" s="83">
        <v>19.920000000000002</v>
      </c>
      <c r="I128" s="83">
        <f t="shared" si="5"/>
        <v>6.2515452142540159E-2</v>
      </c>
    </row>
    <row r="129" spans="1:9" ht="12" customHeight="1" x14ac:dyDescent="0.2">
      <c r="A129" s="34">
        <v>127</v>
      </c>
      <c r="B129" s="285" t="s">
        <v>457</v>
      </c>
      <c r="C129" s="330">
        <v>3216.3</v>
      </c>
      <c r="D129" s="199">
        <v>1.4</v>
      </c>
      <c r="E129" s="273">
        <v>1544</v>
      </c>
      <c r="F129" s="274">
        <f t="shared" si="3"/>
        <v>128.66666666666666</v>
      </c>
      <c r="G129" s="83">
        <f t="shared" si="4"/>
        <v>180.1333333333333</v>
      </c>
      <c r="H129" s="83">
        <v>19.920000000000002</v>
      </c>
      <c r="I129" s="83">
        <f t="shared" si="5"/>
        <v>6.716285586958097E-2</v>
      </c>
    </row>
    <row r="130" spans="1:9" ht="12" customHeight="1" x14ac:dyDescent="0.2">
      <c r="A130" s="34">
        <v>128</v>
      </c>
      <c r="B130" s="285" t="s">
        <v>458</v>
      </c>
      <c r="C130" s="330">
        <v>3895.1</v>
      </c>
      <c r="D130" s="199">
        <v>1.4</v>
      </c>
      <c r="E130" s="273">
        <v>2545</v>
      </c>
      <c r="F130" s="274">
        <f t="shared" si="3"/>
        <v>212.08333333333334</v>
      </c>
      <c r="G130" s="83">
        <f t="shared" si="4"/>
        <v>296.91666666666669</v>
      </c>
      <c r="H130" s="83">
        <v>19.920000000000002</v>
      </c>
      <c r="I130" s="83">
        <f t="shared" si="5"/>
        <v>9.1412920506961745E-2</v>
      </c>
    </row>
    <row r="131" spans="1:9" ht="12" customHeight="1" x14ac:dyDescent="0.2">
      <c r="A131" s="34">
        <v>129</v>
      </c>
      <c r="B131" s="285" t="s">
        <v>459</v>
      </c>
      <c r="C131" s="330">
        <v>4002.8</v>
      </c>
      <c r="D131" s="199">
        <v>1.4</v>
      </c>
      <c r="E131" s="273">
        <v>3144</v>
      </c>
      <c r="F131" s="274">
        <f t="shared" si="3"/>
        <v>262</v>
      </c>
      <c r="G131" s="83">
        <f t="shared" si="4"/>
        <v>366.79999999999995</v>
      </c>
      <c r="H131" s="83">
        <v>19.920000000000002</v>
      </c>
      <c r="I131" s="83">
        <f t="shared" si="5"/>
        <v>0.10988971719796141</v>
      </c>
    </row>
    <row r="132" spans="1:9" ht="12" customHeight="1" x14ac:dyDescent="0.2">
      <c r="A132" s="34">
        <v>130</v>
      </c>
      <c r="B132" s="285" t="s">
        <v>460</v>
      </c>
      <c r="C132" s="330">
        <v>3852.63</v>
      </c>
      <c r="D132" s="199">
        <v>1.4</v>
      </c>
      <c r="E132" s="273">
        <v>5168</v>
      </c>
      <c r="F132" s="274">
        <f t="shared" si="3"/>
        <v>430.66666666666669</v>
      </c>
      <c r="G132" s="83">
        <f t="shared" si="4"/>
        <v>602.93333333333328</v>
      </c>
      <c r="H132" s="83">
        <v>19.920000000000002</v>
      </c>
      <c r="I132" s="83">
        <f t="shared" ref="I132:I161" si="6">(G132+(G132*H132)/100)/C132</f>
        <v>0.18767378474790813</v>
      </c>
    </row>
    <row r="133" spans="1:9" ht="12" customHeight="1" x14ac:dyDescent="0.2">
      <c r="A133" s="34">
        <v>131</v>
      </c>
      <c r="B133" s="285" t="s">
        <v>461</v>
      </c>
      <c r="C133" s="330">
        <v>3560.4</v>
      </c>
      <c r="D133" s="199">
        <v>1.4</v>
      </c>
      <c r="E133" s="273">
        <v>2320</v>
      </c>
      <c r="F133" s="274">
        <f t="shared" si="3"/>
        <v>193.33333333333334</v>
      </c>
      <c r="G133" s="83">
        <f t="shared" si="4"/>
        <v>270.66666666666669</v>
      </c>
      <c r="H133" s="83">
        <v>19.920000000000002</v>
      </c>
      <c r="I133" s="83">
        <f t="shared" si="6"/>
        <v>9.1164887840317579E-2</v>
      </c>
    </row>
    <row r="134" spans="1:9" ht="12" customHeight="1" x14ac:dyDescent="0.2">
      <c r="A134" s="34">
        <v>132</v>
      </c>
      <c r="B134" s="285" t="s">
        <v>462</v>
      </c>
      <c r="C134" s="330">
        <v>944.7</v>
      </c>
      <c r="D134" s="199">
        <v>1.4</v>
      </c>
      <c r="E134" s="337">
        <f>[9]Общее!F88</f>
        <v>425.24</v>
      </c>
      <c r="F134" s="274">
        <f t="shared" si="3"/>
        <v>35.436666666666667</v>
      </c>
      <c r="G134" s="83">
        <f t="shared" si="4"/>
        <v>49.611333333333334</v>
      </c>
      <c r="H134" s="83">
        <v>19.920000000000002</v>
      </c>
      <c r="I134" s="83">
        <f t="shared" si="6"/>
        <v>6.2976512049680675E-2</v>
      </c>
    </row>
    <row r="135" spans="1:9" ht="12" customHeight="1" x14ac:dyDescent="0.2">
      <c r="A135" s="34">
        <v>133</v>
      </c>
      <c r="B135" s="285" t="s">
        <v>463</v>
      </c>
      <c r="C135" s="330">
        <v>2428.5</v>
      </c>
      <c r="D135" s="199">
        <v>1.4</v>
      </c>
      <c r="E135" s="337">
        <f>[9]Общее!F89</f>
        <v>1159.58</v>
      </c>
      <c r="F135" s="274">
        <f t="shared" si="3"/>
        <v>96.631666666666661</v>
      </c>
      <c r="G135" s="83">
        <f t="shared" si="4"/>
        <v>135.28433333333331</v>
      </c>
      <c r="H135" s="83">
        <v>19.920000000000002</v>
      </c>
      <c r="I135" s="83">
        <f t="shared" si="6"/>
        <v>6.6803777036579498E-2</v>
      </c>
    </row>
    <row r="136" spans="1:9" ht="12" customHeight="1" x14ac:dyDescent="0.2">
      <c r="A136" s="34">
        <v>134</v>
      </c>
      <c r="B136" s="285" t="s">
        <v>464</v>
      </c>
      <c r="C136" s="330">
        <v>4861.91</v>
      </c>
      <c r="D136" s="199">
        <v>1.4</v>
      </c>
      <c r="E136" s="337">
        <f>[9]Общее!F90</f>
        <v>1739.37</v>
      </c>
      <c r="F136" s="274">
        <f t="shared" si="3"/>
        <v>144.94749999999999</v>
      </c>
      <c r="G136" s="83">
        <f t="shared" si="4"/>
        <v>202.92649999999998</v>
      </c>
      <c r="H136" s="83">
        <v>19.920000000000002</v>
      </c>
      <c r="I136" s="83">
        <f t="shared" si="6"/>
        <v>5.0052234368797445E-2</v>
      </c>
    </row>
    <row r="137" spans="1:9" ht="12" customHeight="1" x14ac:dyDescent="0.2">
      <c r="A137" s="34">
        <v>135</v>
      </c>
      <c r="B137" s="285" t="s">
        <v>465</v>
      </c>
      <c r="C137" s="330">
        <v>3078.77</v>
      </c>
      <c r="D137" s="199">
        <v>1.4</v>
      </c>
      <c r="E137" s="337">
        <f>[9]Общее!F91</f>
        <v>1584.82</v>
      </c>
      <c r="F137" s="274">
        <f t="shared" si="3"/>
        <v>132.06833333333333</v>
      </c>
      <c r="G137" s="83">
        <f t="shared" si="4"/>
        <v>184.89566666666664</v>
      </c>
      <c r="H137" s="83">
        <v>19.920000000000002</v>
      </c>
      <c r="I137" s="83">
        <f t="shared" si="6"/>
        <v>7.2018008317174267E-2</v>
      </c>
    </row>
    <row r="138" spans="1:9" ht="12" customHeight="1" x14ac:dyDescent="0.2">
      <c r="A138" s="34">
        <v>136</v>
      </c>
      <c r="B138" s="285" t="s">
        <v>466</v>
      </c>
      <c r="C138" s="330">
        <v>3188.68</v>
      </c>
      <c r="D138" s="199">
        <v>1.4</v>
      </c>
      <c r="E138" s="337">
        <f>[9]Общее!F92</f>
        <v>1159.58</v>
      </c>
      <c r="F138" s="274">
        <f t="shared" si="3"/>
        <v>96.631666666666661</v>
      </c>
      <c r="G138" s="83">
        <f t="shared" si="4"/>
        <v>135.28433333333331</v>
      </c>
      <c r="H138" s="83">
        <v>19.920000000000002</v>
      </c>
      <c r="I138" s="83">
        <f t="shared" si="6"/>
        <v>5.0877784077842027E-2</v>
      </c>
    </row>
    <row r="139" spans="1:9" ht="12" customHeight="1" x14ac:dyDescent="0.2">
      <c r="A139" s="34">
        <v>137</v>
      </c>
      <c r="B139" s="285" t="s">
        <v>467</v>
      </c>
      <c r="C139" s="330">
        <v>2782.65</v>
      </c>
      <c r="D139" s="199">
        <v>1.4</v>
      </c>
      <c r="E139" s="337">
        <f>[9]Общее!F93</f>
        <v>1159.58</v>
      </c>
      <c r="F139" s="274">
        <f t="shared" si="3"/>
        <v>96.631666666666661</v>
      </c>
      <c r="G139" s="83">
        <f t="shared" si="4"/>
        <v>135.28433333333331</v>
      </c>
      <c r="H139" s="83">
        <v>19.920000000000002</v>
      </c>
      <c r="I139" s="83">
        <f t="shared" si="6"/>
        <v>5.8301609089656731E-2</v>
      </c>
    </row>
    <row r="140" spans="1:9" ht="12" customHeight="1" x14ac:dyDescent="0.2">
      <c r="A140" s="34">
        <v>138</v>
      </c>
      <c r="B140" s="285" t="s">
        <v>468</v>
      </c>
      <c r="C140" s="330">
        <v>2258.6</v>
      </c>
      <c r="D140" s="199">
        <v>1.4</v>
      </c>
      <c r="E140" s="337">
        <f>[9]Общее!F94</f>
        <v>734.34</v>
      </c>
      <c r="F140" s="274">
        <f t="shared" si="3"/>
        <v>61.195</v>
      </c>
      <c r="G140" s="83">
        <f t="shared" si="4"/>
        <v>85.673000000000002</v>
      </c>
      <c r="H140" s="83">
        <v>19.920000000000002</v>
      </c>
      <c r="I140" s="83">
        <f t="shared" si="6"/>
        <v>4.5487940139909679E-2</v>
      </c>
    </row>
    <row r="141" spans="1:9" ht="12" customHeight="1" x14ac:dyDescent="0.2">
      <c r="A141" s="34">
        <v>139</v>
      </c>
      <c r="B141" s="285" t="s">
        <v>469</v>
      </c>
      <c r="C141" s="330">
        <v>1910</v>
      </c>
      <c r="D141" s="199">
        <v>1.4</v>
      </c>
      <c r="E141" s="337">
        <f>[9]Общее!F95</f>
        <v>734.34</v>
      </c>
      <c r="F141" s="274">
        <f t="shared" si="3"/>
        <v>61.195</v>
      </c>
      <c r="G141" s="83">
        <f t="shared" si="4"/>
        <v>85.673000000000002</v>
      </c>
      <c r="H141" s="83">
        <v>19.920000000000002</v>
      </c>
      <c r="I141" s="83">
        <f t="shared" si="6"/>
        <v>5.3790084607329841E-2</v>
      </c>
    </row>
    <row r="142" spans="1:9" ht="12" customHeight="1" x14ac:dyDescent="0.2">
      <c r="A142" s="34">
        <v>140</v>
      </c>
      <c r="B142" s="285" t="s">
        <v>470</v>
      </c>
      <c r="C142" s="330">
        <v>2522.5</v>
      </c>
      <c r="D142" s="199">
        <v>1.4</v>
      </c>
      <c r="E142" s="337">
        <f>[9]Общее!F96</f>
        <v>1159.58</v>
      </c>
      <c r="F142" s="274">
        <f t="shared" si="3"/>
        <v>96.631666666666661</v>
      </c>
      <c r="G142" s="83">
        <f t="shared" si="4"/>
        <v>135.28433333333331</v>
      </c>
      <c r="H142" s="83">
        <v>19.920000000000002</v>
      </c>
      <c r="I142" s="83">
        <f t="shared" si="6"/>
        <v>6.4314359775355129E-2</v>
      </c>
    </row>
    <row r="143" spans="1:9" ht="12" customHeight="1" x14ac:dyDescent="0.2">
      <c r="A143" s="34">
        <v>141</v>
      </c>
      <c r="B143" s="285" t="s">
        <v>471</v>
      </c>
      <c r="C143" s="330">
        <v>3459.82</v>
      </c>
      <c r="D143" s="199">
        <v>1.4</v>
      </c>
      <c r="E143" s="337">
        <f>[9]Общее!F97</f>
        <v>1159.58</v>
      </c>
      <c r="F143" s="274">
        <f t="shared" si="3"/>
        <v>96.631666666666661</v>
      </c>
      <c r="G143" s="83">
        <f t="shared" si="4"/>
        <v>135.28433333333331</v>
      </c>
      <c r="H143" s="83">
        <v>19.920000000000002</v>
      </c>
      <c r="I143" s="83">
        <f t="shared" si="6"/>
        <v>4.6890581745100413E-2</v>
      </c>
    </row>
    <row r="144" spans="1:9" ht="12" customHeight="1" x14ac:dyDescent="0.2">
      <c r="A144" s="34">
        <v>142</v>
      </c>
      <c r="B144" s="285" t="s">
        <v>472</v>
      </c>
      <c r="C144" s="330">
        <v>1752.03</v>
      </c>
      <c r="D144" s="199">
        <v>1.4</v>
      </c>
      <c r="E144" s="337">
        <f>[9]Общее!F98</f>
        <v>579.79</v>
      </c>
      <c r="F144" s="274">
        <f t="shared" si="3"/>
        <v>48.31583333333333</v>
      </c>
      <c r="G144" s="83">
        <f t="shared" si="4"/>
        <v>67.642166666666654</v>
      </c>
      <c r="H144" s="83">
        <v>19.920000000000002</v>
      </c>
      <c r="I144" s="83">
        <f t="shared" si="6"/>
        <v>4.6298571523699171E-2</v>
      </c>
    </row>
    <row r="145" spans="1:9" ht="12" customHeight="1" x14ac:dyDescent="0.2">
      <c r="A145" s="34">
        <v>143</v>
      </c>
      <c r="B145" s="285" t="s">
        <v>473</v>
      </c>
      <c r="C145" s="330">
        <v>4953.7</v>
      </c>
      <c r="D145" s="199">
        <v>1.4</v>
      </c>
      <c r="E145" s="337">
        <f>[9]Общее!F99</f>
        <v>2319.16</v>
      </c>
      <c r="F145" s="274">
        <f t="shared" si="3"/>
        <v>193.26333333333332</v>
      </c>
      <c r="G145" s="83">
        <f t="shared" si="4"/>
        <v>270.56866666666662</v>
      </c>
      <c r="H145" s="83">
        <v>19.920000000000002</v>
      </c>
      <c r="I145" s="83">
        <f t="shared" si="6"/>
        <v>6.5499716387077661E-2</v>
      </c>
    </row>
    <row r="146" spans="1:9" ht="12" customHeight="1" x14ac:dyDescent="0.2">
      <c r="A146" s="34">
        <v>144</v>
      </c>
      <c r="B146" s="285" t="s">
        <v>474</v>
      </c>
      <c r="C146" s="330">
        <v>1706.17</v>
      </c>
      <c r="D146" s="199">
        <v>1.4</v>
      </c>
      <c r="E146" s="337">
        <f>[9]Общее!F100</f>
        <v>579.79</v>
      </c>
      <c r="F146" s="274">
        <f t="shared" si="3"/>
        <v>48.31583333333333</v>
      </c>
      <c r="G146" s="83">
        <f t="shared" si="4"/>
        <v>67.642166666666654</v>
      </c>
      <c r="H146" s="83">
        <v>19.920000000000002</v>
      </c>
      <c r="I146" s="83">
        <f t="shared" si="6"/>
        <v>4.7543026935573038E-2</v>
      </c>
    </row>
    <row r="147" spans="1:9" ht="12" customHeight="1" x14ac:dyDescent="0.2">
      <c r="A147" s="34">
        <v>145</v>
      </c>
      <c r="B147" s="285" t="s">
        <v>475</v>
      </c>
      <c r="C147" s="330">
        <v>1135.3399999999999</v>
      </c>
      <c r="D147" s="199">
        <v>1.4</v>
      </c>
      <c r="E147" s="337">
        <f>[9]Общее!F101</f>
        <v>579.79</v>
      </c>
      <c r="F147" s="274">
        <f t="shared" si="3"/>
        <v>48.31583333333333</v>
      </c>
      <c r="G147" s="83">
        <f t="shared" si="4"/>
        <v>67.642166666666654</v>
      </c>
      <c r="H147" s="83">
        <v>19.920000000000002</v>
      </c>
      <c r="I147" s="83">
        <f t="shared" si="6"/>
        <v>7.1446867252687882E-2</v>
      </c>
    </row>
    <row r="148" spans="1:9" ht="12" customHeight="1" x14ac:dyDescent="0.2">
      <c r="A148" s="34">
        <v>146</v>
      </c>
      <c r="B148" s="285" t="s">
        <v>476</v>
      </c>
      <c r="C148" s="330">
        <v>1716.28</v>
      </c>
      <c r="D148" s="199">
        <v>1.4</v>
      </c>
      <c r="E148" s="337">
        <f>[9]Общее!F102</f>
        <v>579.79</v>
      </c>
      <c r="F148" s="274">
        <f t="shared" si="3"/>
        <v>48.31583333333333</v>
      </c>
      <c r="G148" s="83">
        <f t="shared" si="4"/>
        <v>67.642166666666654</v>
      </c>
      <c r="H148" s="83">
        <v>19.920000000000002</v>
      </c>
      <c r="I148" s="83">
        <f t="shared" si="6"/>
        <v>4.7262967736422176E-2</v>
      </c>
    </row>
    <row r="149" spans="1:9" ht="12" customHeight="1" x14ac:dyDescent="0.2">
      <c r="A149" s="34">
        <v>147</v>
      </c>
      <c r="B149" s="285" t="s">
        <v>477</v>
      </c>
      <c r="C149" s="330">
        <v>2696.17</v>
      </c>
      <c r="D149" s="199">
        <v>1.4</v>
      </c>
      <c r="E149" s="337">
        <f>[9]Общее!F103</f>
        <v>1159.58</v>
      </c>
      <c r="F149" s="274">
        <f t="shared" si="3"/>
        <v>96.631666666666661</v>
      </c>
      <c r="G149" s="83">
        <f t="shared" si="4"/>
        <v>135.28433333333331</v>
      </c>
      <c r="H149" s="83">
        <v>19.920000000000002</v>
      </c>
      <c r="I149" s="83">
        <f t="shared" si="6"/>
        <v>6.0171640710093691E-2</v>
      </c>
    </row>
    <row r="150" spans="1:9" ht="12" customHeight="1" x14ac:dyDescent="0.2">
      <c r="A150" s="34">
        <v>148</v>
      </c>
      <c r="B150" s="285" t="s">
        <v>478</v>
      </c>
      <c r="C150" s="330">
        <v>1747.74</v>
      </c>
      <c r="D150" s="199">
        <v>1.4</v>
      </c>
      <c r="E150" s="337">
        <f>[9]Общее!F104</f>
        <v>579.79</v>
      </c>
      <c r="F150" s="274">
        <f t="shared" si="3"/>
        <v>48.31583333333333</v>
      </c>
      <c r="G150" s="83">
        <f t="shared" si="4"/>
        <v>67.642166666666654</v>
      </c>
      <c r="H150" s="83">
        <v>19.920000000000002</v>
      </c>
      <c r="I150" s="83">
        <f t="shared" si="6"/>
        <v>4.641221592837988E-2</v>
      </c>
    </row>
    <row r="151" spans="1:9" ht="12" customHeight="1" x14ac:dyDescent="0.2">
      <c r="A151" s="34">
        <v>149</v>
      </c>
      <c r="B151" s="285" t="s">
        <v>479</v>
      </c>
      <c r="C151" s="330">
        <v>1129.0999999999999</v>
      </c>
      <c r="D151" s="199">
        <v>1.4</v>
      </c>
      <c r="E151" s="337">
        <f>[9]Общее!F105</f>
        <v>579.79</v>
      </c>
      <c r="F151" s="274">
        <f t="shared" si="3"/>
        <v>48.31583333333333</v>
      </c>
      <c r="G151" s="83">
        <f t="shared" si="4"/>
        <v>67.642166666666654</v>
      </c>
      <c r="H151" s="83">
        <v>19.920000000000002</v>
      </c>
      <c r="I151" s="83">
        <f t="shared" si="6"/>
        <v>7.1841720190121916E-2</v>
      </c>
    </row>
    <row r="152" spans="1:9" ht="12" customHeight="1" x14ac:dyDescent="0.2">
      <c r="A152" s="34">
        <v>150</v>
      </c>
      <c r="B152" s="285" t="s">
        <v>480</v>
      </c>
      <c r="C152" s="330">
        <v>1724</v>
      </c>
      <c r="D152" s="199">
        <v>1.4</v>
      </c>
      <c r="E152" s="273">
        <v>2408</v>
      </c>
      <c r="F152" s="274">
        <f t="shared" si="3"/>
        <v>200.66666666666666</v>
      </c>
      <c r="G152" s="83">
        <f t="shared" si="4"/>
        <v>280.93333333333328</v>
      </c>
      <c r="H152" s="83">
        <v>19.920000000000002</v>
      </c>
      <c r="I152" s="83">
        <f t="shared" si="6"/>
        <v>0.19541488012374317</v>
      </c>
    </row>
    <row r="153" spans="1:9" ht="12" customHeight="1" x14ac:dyDescent="0.2">
      <c r="A153" s="34">
        <v>151</v>
      </c>
      <c r="B153" s="285" t="s">
        <v>481</v>
      </c>
      <c r="C153" s="330">
        <v>1775.1</v>
      </c>
      <c r="D153" s="199">
        <v>1.4</v>
      </c>
      <c r="E153" s="273">
        <v>735</v>
      </c>
      <c r="F153" s="274">
        <f t="shared" si="3"/>
        <v>61.25</v>
      </c>
      <c r="G153" s="83">
        <f t="shared" si="4"/>
        <v>85.75</v>
      </c>
      <c r="H153" s="83">
        <v>19.920000000000002</v>
      </c>
      <c r="I153" s="83">
        <f t="shared" si="6"/>
        <v>5.7929919441158252E-2</v>
      </c>
    </row>
    <row r="154" spans="1:9" ht="12" customHeight="1" x14ac:dyDescent="0.2">
      <c r="A154" s="34">
        <v>152</v>
      </c>
      <c r="B154" s="285" t="s">
        <v>482</v>
      </c>
      <c r="C154" s="330">
        <v>3140.4</v>
      </c>
      <c r="D154" s="199">
        <v>1.4</v>
      </c>
      <c r="E154" s="337">
        <f>[9]Общее!F106</f>
        <v>1159.58</v>
      </c>
      <c r="F154" s="274">
        <f t="shared" si="3"/>
        <v>96.631666666666661</v>
      </c>
      <c r="G154" s="83">
        <f t="shared" si="4"/>
        <v>135.28433333333331</v>
      </c>
      <c r="H154" s="83">
        <v>19.920000000000002</v>
      </c>
      <c r="I154" s="83">
        <f t="shared" si="6"/>
        <v>5.1659970874198609E-2</v>
      </c>
    </row>
    <row r="155" spans="1:9" ht="12" customHeight="1" x14ac:dyDescent="0.2">
      <c r="A155" s="34">
        <v>153</v>
      </c>
      <c r="B155" s="285" t="s">
        <v>483</v>
      </c>
      <c r="C155" s="330">
        <v>6074.77</v>
      </c>
      <c r="D155" s="199">
        <v>1.4</v>
      </c>
      <c r="E155" s="337">
        <f>[9]Общее!F107</f>
        <v>1105.26</v>
      </c>
      <c r="F155" s="274">
        <f t="shared" si="3"/>
        <v>92.105000000000004</v>
      </c>
      <c r="G155" s="83">
        <f t="shared" si="4"/>
        <v>128.947</v>
      </c>
      <c r="H155" s="83">
        <v>19.920000000000002</v>
      </c>
      <c r="I155" s="83">
        <f t="shared" si="6"/>
        <v>2.5454995399002759E-2</v>
      </c>
    </row>
    <row r="156" spans="1:9" ht="12" customHeight="1" x14ac:dyDescent="0.2">
      <c r="A156" s="34">
        <v>154</v>
      </c>
      <c r="B156" s="285" t="s">
        <v>484</v>
      </c>
      <c r="C156" s="330">
        <v>1960.16</v>
      </c>
      <c r="D156" s="199">
        <v>1.4</v>
      </c>
      <c r="E156" s="337">
        <f>[9]Общее!F108</f>
        <v>548.88000000000011</v>
      </c>
      <c r="F156" s="274">
        <f t="shared" si="3"/>
        <v>45.740000000000009</v>
      </c>
      <c r="G156" s="83">
        <f t="shared" si="4"/>
        <v>64.036000000000016</v>
      </c>
      <c r="H156" s="83">
        <v>19.920000000000002</v>
      </c>
      <c r="I156" s="83">
        <f t="shared" si="6"/>
        <v>3.9176379071096244E-2</v>
      </c>
    </row>
    <row r="157" spans="1:9" ht="12" customHeight="1" x14ac:dyDescent="0.2">
      <c r="A157" s="34">
        <v>155</v>
      </c>
      <c r="B157" s="285" t="s">
        <v>485</v>
      </c>
      <c r="C157" s="330">
        <v>5972.33</v>
      </c>
      <c r="D157" s="199">
        <v>1.4</v>
      </c>
      <c r="E157" s="337">
        <f>[9]Общее!F109</f>
        <v>1375.9499999999998</v>
      </c>
      <c r="F157" s="274">
        <f t="shared" si="3"/>
        <v>114.66249999999998</v>
      </c>
      <c r="G157" s="83">
        <f t="shared" si="4"/>
        <v>160.52749999999997</v>
      </c>
      <c r="H157" s="83">
        <v>19.920000000000002</v>
      </c>
      <c r="I157" s="83">
        <f t="shared" si="6"/>
        <v>3.2232742999800744E-2</v>
      </c>
    </row>
    <row r="158" spans="1:9" ht="12" customHeight="1" x14ac:dyDescent="0.2">
      <c r="A158" s="34">
        <v>156</v>
      </c>
      <c r="B158" s="285" t="s">
        <v>486</v>
      </c>
      <c r="C158" s="330">
        <v>2589.9</v>
      </c>
      <c r="D158" s="199">
        <v>1.4</v>
      </c>
      <c r="E158" s="337">
        <f>[9]Общее!F110</f>
        <v>548.88000000000011</v>
      </c>
      <c r="F158" s="274">
        <f t="shared" si="3"/>
        <v>45.740000000000009</v>
      </c>
      <c r="G158" s="83">
        <f t="shared" si="4"/>
        <v>64.036000000000016</v>
      </c>
      <c r="H158" s="83">
        <v>19.920000000000002</v>
      </c>
      <c r="I158" s="83">
        <f t="shared" si="6"/>
        <v>2.965055453878529E-2</v>
      </c>
    </row>
    <row r="159" spans="1:9" ht="12" customHeight="1" x14ac:dyDescent="0.2">
      <c r="A159" s="34">
        <v>157</v>
      </c>
      <c r="B159" s="285" t="s">
        <v>487</v>
      </c>
      <c r="C159" s="330">
        <v>3904.03</v>
      </c>
      <c r="D159" s="199">
        <v>1.4</v>
      </c>
      <c r="E159" s="337">
        <f>[9]Общее!F111</f>
        <v>827.07000000000016</v>
      </c>
      <c r="F159" s="274">
        <f t="shared" si="3"/>
        <v>68.922500000000014</v>
      </c>
      <c r="G159" s="83">
        <f t="shared" si="4"/>
        <v>96.491500000000016</v>
      </c>
      <c r="H159" s="83">
        <v>19.920000000000002</v>
      </c>
      <c r="I159" s="83">
        <f t="shared" si="6"/>
        <v>2.9639271931824297E-2</v>
      </c>
    </row>
    <row r="160" spans="1:9" ht="12" customHeight="1" x14ac:dyDescent="0.2">
      <c r="A160" s="34">
        <v>158</v>
      </c>
      <c r="B160" s="285" t="s">
        <v>488</v>
      </c>
      <c r="C160" s="330">
        <v>3894.85</v>
      </c>
      <c r="D160" s="199">
        <v>1.4</v>
      </c>
      <c r="E160" s="337">
        <f>[9]Общее!F112</f>
        <v>827.07000000000016</v>
      </c>
      <c r="F160" s="274">
        <f t="shared" si="3"/>
        <v>68.922500000000014</v>
      </c>
      <c r="G160" s="83">
        <f t="shared" si="4"/>
        <v>96.491500000000016</v>
      </c>
      <c r="H160" s="83">
        <v>19.920000000000002</v>
      </c>
      <c r="I160" s="83">
        <f t="shared" si="6"/>
        <v>2.9709130467155353E-2</v>
      </c>
    </row>
    <row r="161" spans="1:24" s="70" customFormat="1" ht="10.5" x14ac:dyDescent="0.2">
      <c r="A161" s="165">
        <v>159</v>
      </c>
      <c r="B161" s="193" t="s">
        <v>22</v>
      </c>
      <c r="C161" s="211">
        <f>SUM(C3:C160)</f>
        <v>264830.12</v>
      </c>
      <c r="D161" s="200">
        <v>1.4</v>
      </c>
      <c r="E161" s="166">
        <f>SUM(E3:E72)</f>
        <v>46511.74000000002</v>
      </c>
      <c r="F161" s="275">
        <f t="shared" si="3"/>
        <v>3875.9783333333348</v>
      </c>
      <c r="G161" s="166">
        <f t="shared" si="4"/>
        <v>5426.3696666666683</v>
      </c>
      <c r="H161" s="166">
        <v>19.920000000000002</v>
      </c>
      <c r="I161" s="166">
        <f t="shared" si="6"/>
        <v>2.4571610299714657E-2</v>
      </c>
    </row>
    <row r="163" spans="1:24" x14ac:dyDescent="0.2">
      <c r="A163" s="449"/>
      <c r="C163" s="449"/>
    </row>
    <row r="164" spans="1:24" x14ac:dyDescent="0.2">
      <c r="A164" s="449"/>
      <c r="C164" s="449"/>
    </row>
    <row r="165" spans="1:24" s="370" customFormat="1" ht="15.75" customHeight="1" x14ac:dyDescent="0.2">
      <c r="A165" s="448"/>
      <c r="B165" s="364" t="s">
        <v>234</v>
      </c>
      <c r="C165" s="446"/>
      <c r="D165" s="446"/>
      <c r="E165" s="520" t="s">
        <v>649</v>
      </c>
      <c r="F165" s="520"/>
      <c r="G165" s="366"/>
      <c r="H165" s="366"/>
      <c r="I165" s="503"/>
      <c r="J165" s="503"/>
      <c r="K165" s="503"/>
      <c r="L165" s="503"/>
      <c r="M165" s="503"/>
      <c r="N165" s="446"/>
      <c r="O165" s="368"/>
      <c r="P165" s="368"/>
      <c r="Q165" s="369"/>
      <c r="R165" s="369"/>
      <c r="S165" s="369"/>
      <c r="T165" s="369"/>
      <c r="U165" s="369"/>
      <c r="V165" s="368"/>
      <c r="W165" s="368"/>
      <c r="X165" s="369"/>
    </row>
  </sheetData>
  <mergeCells count="3">
    <mergeCell ref="A1:I1"/>
    <mergeCell ref="E165:F165"/>
    <mergeCell ref="I165:M165"/>
  </mergeCells>
  <phoneticPr fontId="2" type="noConversion"/>
  <pageMargins left="0.78740157480314965" right="0.23622047244094491" top="0.35433070866141736" bottom="0.35433070866141736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8" workbookViewId="0">
      <selection activeCell="E17" sqref="E17"/>
    </sheetView>
  </sheetViews>
  <sheetFormatPr defaultRowHeight="12.75" x14ac:dyDescent="0.2"/>
  <cols>
    <col min="1" max="1" width="5.7109375" style="4" customWidth="1"/>
    <col min="2" max="2" width="28.42578125" style="4" customWidth="1"/>
    <col min="3" max="3" width="8.28515625" style="12" customWidth="1"/>
    <col min="4" max="4" width="10" style="4" customWidth="1"/>
    <col min="5" max="5" width="12" style="4" customWidth="1"/>
    <col min="6" max="6" width="6.140625" style="207" customWidth="1"/>
    <col min="7" max="7" width="8.42578125" style="4" customWidth="1"/>
    <col min="8" max="8" width="13.7109375" style="221" customWidth="1"/>
    <col min="9" max="9" width="9.140625" style="4"/>
  </cols>
  <sheetData>
    <row r="2" spans="1:9" ht="15.75" x14ac:dyDescent="0.25">
      <c r="A2" s="3"/>
      <c r="B2" s="523" t="s">
        <v>11</v>
      </c>
      <c r="C2" s="523"/>
      <c r="D2" s="523"/>
      <c r="E2" s="523"/>
      <c r="F2" s="523"/>
      <c r="G2" s="523"/>
      <c r="H2" s="523"/>
    </row>
    <row r="3" spans="1:9" ht="15.75" x14ac:dyDescent="0.25">
      <c r="A3" s="523" t="s">
        <v>26</v>
      </c>
      <c r="B3" s="523"/>
      <c r="C3" s="523"/>
      <c r="D3" s="523"/>
      <c r="E3" s="523"/>
      <c r="F3" s="523"/>
      <c r="G3" s="523"/>
      <c r="H3" s="523"/>
    </row>
    <row r="4" spans="1:9" ht="15.75" x14ac:dyDescent="0.25">
      <c r="A4" s="523" t="s">
        <v>27</v>
      </c>
      <c r="B4" s="523"/>
      <c r="C4" s="523"/>
      <c r="D4" s="523"/>
      <c r="E4" s="523"/>
      <c r="F4" s="523"/>
      <c r="G4" s="523"/>
      <c r="H4" s="523"/>
    </row>
    <row r="5" spans="1:9" ht="15.75" x14ac:dyDescent="0.25">
      <c r="A5" s="523" t="s">
        <v>28</v>
      </c>
      <c r="B5" s="523"/>
      <c r="C5" s="523"/>
      <c r="D5" s="523"/>
      <c r="E5" s="523"/>
      <c r="F5" s="523"/>
      <c r="G5" s="523"/>
      <c r="H5" s="523"/>
    </row>
    <row r="6" spans="1:9" ht="15.75" x14ac:dyDescent="0.25">
      <c r="A6" s="5"/>
      <c r="B6" s="6"/>
      <c r="C6" s="7"/>
      <c r="D6" s="6"/>
      <c r="E6" s="5"/>
      <c r="F6" s="205"/>
      <c r="G6" s="5"/>
      <c r="H6" s="219"/>
    </row>
    <row r="7" spans="1:9" ht="15.75" x14ac:dyDescent="0.25">
      <c r="A7" s="5"/>
      <c r="B7" s="6"/>
      <c r="C7" s="7"/>
      <c r="D7" s="6"/>
      <c r="E7" s="5"/>
      <c r="F7" s="205"/>
      <c r="G7" s="5"/>
      <c r="H7" s="219"/>
    </row>
    <row r="8" spans="1:9" ht="14.25" x14ac:dyDescent="0.2">
      <c r="A8" s="522" t="s">
        <v>12</v>
      </c>
      <c r="B8" s="522"/>
      <c r="C8" s="522"/>
      <c r="D8" s="522"/>
      <c r="E8" s="522"/>
      <c r="F8" s="522"/>
      <c r="G8" s="522"/>
      <c r="H8" s="522"/>
    </row>
    <row r="9" spans="1:9" ht="14.25" x14ac:dyDescent="0.2">
      <c r="A9" s="522" t="s">
        <v>275</v>
      </c>
      <c r="B9" s="522"/>
      <c r="C9" s="522"/>
      <c r="D9" s="522"/>
      <c r="E9" s="522"/>
      <c r="F9" s="522"/>
      <c r="G9" s="522"/>
      <c r="H9" s="522"/>
    </row>
    <row r="10" spans="1:9" ht="14.25" x14ac:dyDescent="0.2">
      <c r="A10" s="522" t="s">
        <v>13</v>
      </c>
      <c r="B10" s="522"/>
      <c r="C10" s="522"/>
      <c r="D10" s="522"/>
      <c r="E10" s="522"/>
      <c r="F10" s="522"/>
      <c r="G10" s="522"/>
      <c r="H10" s="522"/>
      <c r="I10" s="8"/>
    </row>
    <row r="11" spans="1:9" x14ac:dyDescent="0.2">
      <c r="B11" s="9"/>
      <c r="C11" s="10"/>
      <c r="D11" s="11"/>
      <c r="E11" s="11"/>
      <c r="F11" s="206"/>
      <c r="G11" s="11"/>
      <c r="H11" s="220"/>
    </row>
    <row r="13" spans="1:9" ht="15.75" customHeight="1" x14ac:dyDescent="0.2">
      <c r="A13" s="527" t="s">
        <v>1</v>
      </c>
      <c r="B13" s="526" t="s">
        <v>29</v>
      </c>
      <c r="C13" s="527" t="s">
        <v>15</v>
      </c>
      <c r="D13" s="527" t="s">
        <v>30</v>
      </c>
      <c r="E13" s="527" t="s">
        <v>31</v>
      </c>
      <c r="F13" s="526" t="s">
        <v>32</v>
      </c>
      <c r="G13" s="526"/>
      <c r="H13" s="218" t="s">
        <v>33</v>
      </c>
    </row>
    <row r="14" spans="1:9" ht="15.75" x14ac:dyDescent="0.2">
      <c r="A14" s="527"/>
      <c r="B14" s="526"/>
      <c r="C14" s="527"/>
      <c r="D14" s="527"/>
      <c r="E14" s="527"/>
      <c r="F14" s="526"/>
      <c r="G14" s="526"/>
      <c r="H14" s="217" t="s">
        <v>34</v>
      </c>
    </row>
    <row r="15" spans="1:9" ht="15.75" x14ac:dyDescent="0.2">
      <c r="A15" s="527"/>
      <c r="B15" s="526"/>
      <c r="C15" s="527"/>
      <c r="D15" s="527"/>
      <c r="E15" s="527"/>
      <c r="F15" s="525" t="s">
        <v>17</v>
      </c>
      <c r="G15" s="526" t="s">
        <v>18</v>
      </c>
      <c r="H15" s="217" t="s">
        <v>35</v>
      </c>
    </row>
    <row r="16" spans="1:9" ht="15.75" x14ac:dyDescent="0.2">
      <c r="A16" s="527"/>
      <c r="B16" s="526"/>
      <c r="C16" s="527"/>
      <c r="D16" s="527"/>
      <c r="E16" s="527"/>
      <c r="F16" s="525"/>
      <c r="G16" s="526"/>
      <c r="H16" s="217" t="s">
        <v>36</v>
      </c>
    </row>
    <row r="17" spans="1:9" ht="15.75" x14ac:dyDescent="0.25">
      <c r="A17" s="16">
        <v>1</v>
      </c>
      <c r="B17" s="13" t="s">
        <v>37</v>
      </c>
      <c r="C17" s="14" t="s">
        <v>38</v>
      </c>
      <c r="D17" s="15">
        <v>1</v>
      </c>
      <c r="E17" s="162">
        <v>11489.14</v>
      </c>
      <c r="F17" s="225">
        <v>50</v>
      </c>
      <c r="G17" s="226">
        <f t="shared" ref="G17:G27" si="0">E17*0.5</f>
        <v>5744.57</v>
      </c>
      <c r="H17" s="341">
        <v>11863.3</v>
      </c>
    </row>
    <row r="18" spans="1:9" ht="15.75" x14ac:dyDescent="0.25">
      <c r="A18" s="16">
        <v>2</v>
      </c>
      <c r="B18" s="184" t="s">
        <v>515</v>
      </c>
      <c r="C18" s="14"/>
      <c r="D18" s="15">
        <v>1</v>
      </c>
      <c r="E18" s="162">
        <v>8936</v>
      </c>
      <c r="F18" s="225">
        <v>50</v>
      </c>
      <c r="G18" s="226">
        <f t="shared" si="0"/>
        <v>4468</v>
      </c>
      <c r="H18" s="226">
        <f>E18+G18</f>
        <v>13404</v>
      </c>
      <c r="I18" s="224"/>
    </row>
    <row r="19" spans="1:9" ht="15.75" x14ac:dyDescent="0.25">
      <c r="A19" s="16"/>
      <c r="B19" s="298" t="s">
        <v>517</v>
      </c>
      <c r="C19" s="14"/>
      <c r="D19" s="15">
        <v>1</v>
      </c>
      <c r="E19" s="162">
        <v>8936</v>
      </c>
      <c r="F19" s="225">
        <v>50</v>
      </c>
      <c r="G19" s="226">
        <f t="shared" si="0"/>
        <v>4468</v>
      </c>
      <c r="H19" s="226">
        <f t="shared" ref="H19:H27" si="1">E19+G19</f>
        <v>13404</v>
      </c>
      <c r="I19" s="224"/>
    </row>
    <row r="20" spans="1:9" ht="15.75" x14ac:dyDescent="0.25">
      <c r="A20" s="16"/>
      <c r="B20" s="17" t="s">
        <v>39</v>
      </c>
      <c r="C20" s="14"/>
      <c r="D20" s="15">
        <v>1</v>
      </c>
      <c r="E20" s="162">
        <v>8936</v>
      </c>
      <c r="F20" s="225">
        <v>50</v>
      </c>
      <c r="G20" s="226">
        <f t="shared" si="0"/>
        <v>4468</v>
      </c>
      <c r="H20" s="226">
        <f t="shared" si="1"/>
        <v>13404</v>
      </c>
      <c r="I20" s="224"/>
    </row>
    <row r="21" spans="1:9" ht="15.75" x14ac:dyDescent="0.25">
      <c r="A21" s="16"/>
      <c r="B21" s="17" t="s">
        <v>24</v>
      </c>
      <c r="C21" s="14"/>
      <c r="D21" s="15">
        <v>1</v>
      </c>
      <c r="E21" s="293">
        <v>8191</v>
      </c>
      <c r="F21" s="225">
        <v>50</v>
      </c>
      <c r="G21" s="226">
        <f t="shared" si="0"/>
        <v>4095.5</v>
      </c>
      <c r="H21" s="226">
        <f t="shared" si="1"/>
        <v>12286.5</v>
      </c>
      <c r="I21" s="224"/>
    </row>
    <row r="22" spans="1:9" ht="15.75" x14ac:dyDescent="0.25">
      <c r="A22" s="16"/>
      <c r="B22" s="17" t="s">
        <v>522</v>
      </c>
      <c r="C22" s="14"/>
      <c r="D22" s="15">
        <v>2</v>
      </c>
      <c r="E22" s="293">
        <v>6702</v>
      </c>
      <c r="F22" s="225">
        <v>50</v>
      </c>
      <c r="G22" s="226">
        <f t="shared" si="0"/>
        <v>3351</v>
      </c>
      <c r="H22" s="226">
        <f>(E22+G22)*D22</f>
        <v>20106</v>
      </c>
      <c r="I22" s="224"/>
    </row>
    <row r="23" spans="1:9" ht="15.75" x14ac:dyDescent="0.25">
      <c r="A23" s="16"/>
      <c r="B23" s="17" t="s">
        <v>524</v>
      </c>
      <c r="C23" s="14"/>
      <c r="D23" s="15">
        <v>1</v>
      </c>
      <c r="E23" s="293">
        <v>7446</v>
      </c>
      <c r="F23" s="225">
        <v>50</v>
      </c>
      <c r="G23" s="226">
        <f t="shared" si="0"/>
        <v>3723</v>
      </c>
      <c r="H23" s="226">
        <f t="shared" si="1"/>
        <v>11169</v>
      </c>
      <c r="I23" s="224"/>
    </row>
    <row r="24" spans="1:9" ht="15.75" x14ac:dyDescent="0.25">
      <c r="A24" s="16"/>
      <c r="B24" s="17" t="s">
        <v>522</v>
      </c>
      <c r="C24" s="14"/>
      <c r="D24" s="296">
        <v>1</v>
      </c>
      <c r="E24" s="293">
        <v>6702</v>
      </c>
      <c r="F24" s="225">
        <v>50</v>
      </c>
      <c r="G24" s="226">
        <f t="shared" si="0"/>
        <v>3351</v>
      </c>
      <c r="H24" s="226">
        <f t="shared" si="1"/>
        <v>10053</v>
      </c>
      <c r="I24" s="224"/>
    </row>
    <row r="25" spans="1:9" ht="15.75" x14ac:dyDescent="0.25">
      <c r="A25" s="16"/>
      <c r="B25" s="17" t="s">
        <v>522</v>
      </c>
      <c r="C25" s="14"/>
      <c r="D25" s="296">
        <v>0.25</v>
      </c>
      <c r="E25" s="293">
        <v>6702</v>
      </c>
      <c r="F25" s="225"/>
      <c r="G25" s="226"/>
      <c r="H25" s="226">
        <f>D25*E25</f>
        <v>1675.5</v>
      </c>
      <c r="I25" s="224"/>
    </row>
    <row r="26" spans="1:9" ht="15.75" x14ac:dyDescent="0.25">
      <c r="A26" s="16"/>
      <c r="B26" s="17" t="s">
        <v>527</v>
      </c>
      <c r="C26" s="14"/>
      <c r="D26" s="296">
        <v>1</v>
      </c>
      <c r="E26" s="293">
        <v>6702</v>
      </c>
      <c r="F26" s="225">
        <v>50</v>
      </c>
      <c r="G26" s="226">
        <f t="shared" si="0"/>
        <v>3351</v>
      </c>
      <c r="H26" s="226">
        <f t="shared" si="1"/>
        <v>10053</v>
      </c>
      <c r="I26" s="224"/>
    </row>
    <row r="27" spans="1:9" ht="15.75" x14ac:dyDescent="0.25">
      <c r="A27" s="16">
        <v>3</v>
      </c>
      <c r="B27" s="13" t="s">
        <v>277</v>
      </c>
      <c r="C27" s="14"/>
      <c r="D27" s="15">
        <v>1</v>
      </c>
      <c r="E27" s="293">
        <v>6702</v>
      </c>
      <c r="F27" s="225">
        <v>50</v>
      </c>
      <c r="G27" s="226">
        <f t="shared" si="0"/>
        <v>3351</v>
      </c>
      <c r="H27" s="226">
        <f t="shared" si="1"/>
        <v>10053</v>
      </c>
    </row>
    <row r="28" spans="1:9" ht="15.75" x14ac:dyDescent="0.25">
      <c r="A28" s="524" t="s">
        <v>41</v>
      </c>
      <c r="B28" s="524"/>
      <c r="C28" s="227"/>
      <c r="D28" s="128">
        <f>SUM(D17:D27)</f>
        <v>11.25</v>
      </c>
      <c r="E28" s="228"/>
      <c r="F28" s="229"/>
      <c r="G28" s="228"/>
      <c r="H28" s="118">
        <f>SUM(H17:H27)</f>
        <v>127471.3</v>
      </c>
      <c r="I28" s="4">
        <f>H28*12</f>
        <v>1529655.6</v>
      </c>
    </row>
    <row r="29" spans="1:9" x14ac:dyDescent="0.2">
      <c r="A29" s="18"/>
      <c r="B29" s="19"/>
      <c r="C29" s="20"/>
      <c r="D29" s="21"/>
      <c r="E29" s="22"/>
      <c r="F29" s="208"/>
      <c r="G29" s="22"/>
      <c r="H29" s="222">
        <v>0.22</v>
      </c>
      <c r="I29" s="4">
        <f>I28*22/100</f>
        <v>336524.23200000002</v>
      </c>
    </row>
    <row r="30" spans="1:9" ht="13.5" x14ac:dyDescent="0.25">
      <c r="A30" s="23"/>
      <c r="B30" s="24"/>
      <c r="C30" s="25"/>
      <c r="D30" s="23"/>
      <c r="E30" s="23"/>
      <c r="F30" s="209"/>
      <c r="G30" s="23"/>
      <c r="H30" s="223"/>
    </row>
    <row r="31" spans="1:9" ht="15.75" x14ac:dyDescent="0.25">
      <c r="B31" s="3" t="s">
        <v>24</v>
      </c>
      <c r="C31" s="26"/>
      <c r="D31" s="27"/>
      <c r="E31" s="5"/>
      <c r="F31" s="205"/>
      <c r="G31" s="5" t="s">
        <v>25</v>
      </c>
      <c r="H31" s="219"/>
    </row>
  </sheetData>
  <mergeCells count="16">
    <mergeCell ref="A28:B28"/>
    <mergeCell ref="A10:H10"/>
    <mergeCell ref="F15:F16"/>
    <mergeCell ref="F13:G14"/>
    <mergeCell ref="G15:G16"/>
    <mergeCell ref="E13:E16"/>
    <mergeCell ref="A13:A16"/>
    <mergeCell ref="B13:B16"/>
    <mergeCell ref="C13:C16"/>
    <mergeCell ref="D13:D16"/>
    <mergeCell ref="A9:H9"/>
    <mergeCell ref="B2:H2"/>
    <mergeCell ref="A3:H3"/>
    <mergeCell ref="A4:H4"/>
    <mergeCell ref="A5:H5"/>
    <mergeCell ref="A8:H8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16" workbookViewId="0">
      <selection activeCell="O49" sqref="O49"/>
    </sheetView>
  </sheetViews>
  <sheetFormatPr defaultRowHeight="15.75" x14ac:dyDescent="0.2"/>
  <cols>
    <col min="1" max="1" width="4.42578125" style="324" customWidth="1"/>
    <col min="2" max="2" width="28.85546875" style="325" customWidth="1"/>
    <col min="3" max="3" width="13" style="326" customWidth="1"/>
    <col min="4" max="4" width="2.28515625" style="326" customWidth="1"/>
    <col min="5" max="5" width="7.28515625" style="326" customWidth="1"/>
    <col min="6" max="6" width="8.7109375" style="324" customWidth="1"/>
    <col min="7" max="7" width="13.140625" style="326" customWidth="1"/>
    <col min="8" max="8" width="12.140625" style="326" customWidth="1"/>
    <col min="9" max="9" width="12.42578125" style="326" customWidth="1"/>
    <col min="10" max="10" width="13" style="326" customWidth="1"/>
    <col min="11" max="11" width="12.42578125" style="326" customWidth="1"/>
    <col min="12" max="12" width="14.7109375" style="326" customWidth="1"/>
    <col min="13" max="13" width="10.85546875" style="326" customWidth="1"/>
    <col min="14" max="14" width="15.42578125" style="327" customWidth="1"/>
    <col min="15" max="15" width="13.42578125" style="4" bestFit="1" customWidth="1"/>
  </cols>
  <sheetData>
    <row r="1" spans="1:15" x14ac:dyDescent="0.2">
      <c r="A1" s="537" t="s">
        <v>489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18"/>
    </row>
    <row r="2" spans="1:15" x14ac:dyDescent="0.2">
      <c r="A2" s="534" t="s">
        <v>490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18"/>
    </row>
    <row r="3" spans="1:15" x14ac:dyDescent="0.2">
      <c r="A3" s="534" t="s">
        <v>491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18"/>
    </row>
    <row r="4" spans="1:15" x14ac:dyDescent="0.2">
      <c r="A4" s="541" t="s">
        <v>492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286">
        <f>F78</f>
        <v>134.5</v>
      </c>
      <c r="N4" s="287" t="s">
        <v>493</v>
      </c>
      <c r="O4" s="18"/>
    </row>
    <row r="5" spans="1:15" x14ac:dyDescent="0.2">
      <c r="A5" s="541" t="s">
        <v>494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3">
        <f>N78</f>
        <v>1207983.2972899941</v>
      </c>
      <c r="N5" s="544"/>
      <c r="O5" s="18"/>
    </row>
    <row r="6" spans="1:15" x14ac:dyDescent="0.2">
      <c r="A6" s="533" t="s">
        <v>495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18"/>
    </row>
    <row r="7" spans="1:15" x14ac:dyDescent="0.2">
      <c r="A7" s="534" t="s">
        <v>496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18"/>
    </row>
    <row r="8" spans="1:15" x14ac:dyDescent="0.2">
      <c r="A8" s="535" t="s">
        <v>497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18"/>
    </row>
    <row r="9" spans="1:15" x14ac:dyDescent="0.2">
      <c r="A9" s="535" t="s">
        <v>498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18"/>
    </row>
    <row r="10" spans="1:15" x14ac:dyDescent="0.2">
      <c r="A10" s="536" t="s">
        <v>499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</row>
    <row r="11" spans="1:15" x14ac:dyDescent="0.2">
      <c r="A11" s="536"/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</row>
    <row r="12" spans="1:15" ht="38.25" x14ac:dyDescent="0.2">
      <c r="A12" s="288" t="s">
        <v>14</v>
      </c>
      <c r="B12" s="288" t="s">
        <v>29</v>
      </c>
      <c r="C12" s="288" t="s">
        <v>500</v>
      </c>
      <c r="D12" s="289"/>
      <c r="E12" s="289" t="s">
        <v>501</v>
      </c>
      <c r="F12" s="288" t="s">
        <v>502</v>
      </c>
      <c r="G12" s="290" t="s">
        <v>503</v>
      </c>
      <c r="H12" s="290" t="s">
        <v>504</v>
      </c>
      <c r="I12" s="290" t="s">
        <v>505</v>
      </c>
      <c r="J12" s="290" t="s">
        <v>506</v>
      </c>
      <c r="K12" s="290" t="s">
        <v>507</v>
      </c>
      <c r="L12" s="290" t="s">
        <v>508</v>
      </c>
      <c r="M12" s="290" t="s">
        <v>509</v>
      </c>
      <c r="N12" s="290" t="s">
        <v>510</v>
      </c>
      <c r="O12" s="291"/>
    </row>
    <row r="13" spans="1:15" x14ac:dyDescent="0.2">
      <c r="A13" s="538" t="s">
        <v>511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40"/>
    </row>
    <row r="14" spans="1:15" x14ac:dyDescent="0.2">
      <c r="A14" s="292">
        <v>1</v>
      </c>
      <c r="B14" s="17" t="s">
        <v>512</v>
      </c>
      <c r="C14" s="16" t="s">
        <v>513</v>
      </c>
      <c r="D14" s="16"/>
      <c r="E14" s="16"/>
      <c r="F14" s="292">
        <v>1</v>
      </c>
      <c r="G14" s="16" t="s">
        <v>514</v>
      </c>
      <c r="H14" s="16"/>
      <c r="I14" s="16"/>
      <c r="J14" s="16"/>
      <c r="K14" s="16"/>
      <c r="L14" s="16"/>
      <c r="M14" s="293"/>
      <c r="N14" s="294">
        <v>0</v>
      </c>
    </row>
    <row r="15" spans="1:15" x14ac:dyDescent="0.2">
      <c r="A15" s="292">
        <v>2</v>
      </c>
      <c r="B15" s="184" t="s">
        <v>515</v>
      </c>
      <c r="C15" s="295" t="s">
        <v>516</v>
      </c>
      <c r="D15" s="16"/>
      <c r="E15" s="16"/>
      <c r="F15" s="296">
        <v>1</v>
      </c>
      <c r="G15" s="293">
        <v>8936</v>
      </c>
      <c r="H15" s="16"/>
      <c r="I15" s="16"/>
      <c r="J15" s="16"/>
      <c r="K15" s="16"/>
      <c r="L15" s="297">
        <f>G15*50%</f>
        <v>4468</v>
      </c>
      <c r="M15" s="293"/>
      <c r="N15" s="294">
        <f>(G15*F15)+M15+L15</f>
        <v>13404</v>
      </c>
    </row>
    <row r="16" spans="1:15" x14ac:dyDescent="0.2">
      <c r="A16" s="292">
        <v>3</v>
      </c>
      <c r="B16" s="298" t="s">
        <v>517</v>
      </c>
      <c r="C16" s="295" t="s">
        <v>518</v>
      </c>
      <c r="D16" s="16"/>
      <c r="E16" s="16"/>
      <c r="F16" s="296">
        <v>1</v>
      </c>
      <c r="G16" s="293">
        <v>8936</v>
      </c>
      <c r="H16" s="293"/>
      <c r="I16" s="293"/>
      <c r="J16" s="293"/>
      <c r="K16" s="293"/>
      <c r="L16" s="293">
        <f>G16*50%</f>
        <v>4468</v>
      </c>
      <c r="M16" s="293"/>
      <c r="N16" s="294">
        <f>(G16*F16)+M16+L16</f>
        <v>13404</v>
      </c>
    </row>
    <row r="17" spans="1:15" x14ac:dyDescent="0.2">
      <c r="A17" s="292">
        <v>4</v>
      </c>
      <c r="B17" s="17" t="s">
        <v>39</v>
      </c>
      <c r="C17" s="16" t="s">
        <v>519</v>
      </c>
      <c r="D17" s="16"/>
      <c r="E17" s="16"/>
      <c r="F17" s="296">
        <v>1</v>
      </c>
      <c r="G17" s="293">
        <v>8936</v>
      </c>
      <c r="H17" s="293"/>
      <c r="I17" s="293"/>
      <c r="J17" s="293"/>
      <c r="K17" s="293"/>
      <c r="L17" s="293">
        <f>G17*50%</f>
        <v>4468</v>
      </c>
      <c r="M17" s="293"/>
      <c r="N17" s="294">
        <f>(G17*F17)+M17+L17</f>
        <v>13404</v>
      </c>
    </row>
    <row r="18" spans="1:15" x14ac:dyDescent="0.2">
      <c r="A18" s="527" t="s">
        <v>520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299"/>
    </row>
    <row r="19" spans="1:15" x14ac:dyDescent="0.2">
      <c r="A19" s="16">
        <v>1</v>
      </c>
      <c r="B19" s="17" t="s">
        <v>24</v>
      </c>
      <c r="C19" s="16" t="s">
        <v>521</v>
      </c>
      <c r="D19" s="16"/>
      <c r="E19" s="16"/>
      <c r="F19" s="16">
        <v>1</v>
      </c>
      <c r="G19" s="293">
        <v>8191</v>
      </c>
      <c r="H19" s="293"/>
      <c r="I19" s="293"/>
      <c r="J19" s="293"/>
      <c r="K19" s="293"/>
      <c r="L19" s="293">
        <f>G19*50%</f>
        <v>4095.5</v>
      </c>
      <c r="M19" s="293"/>
      <c r="N19" s="294">
        <f>(G19*F19)+M19+L19</f>
        <v>12286.5</v>
      </c>
    </row>
    <row r="20" spans="1:15" x14ac:dyDescent="0.2">
      <c r="A20" s="292">
        <v>2</v>
      </c>
      <c r="B20" s="17" t="s">
        <v>522</v>
      </c>
      <c r="C20" s="16" t="s">
        <v>523</v>
      </c>
      <c r="D20" s="16"/>
      <c r="E20" s="16"/>
      <c r="F20" s="296">
        <v>2</v>
      </c>
      <c r="G20" s="293">
        <v>6702</v>
      </c>
      <c r="H20" s="293"/>
      <c r="I20" s="293"/>
      <c r="J20" s="293"/>
      <c r="K20" s="293"/>
      <c r="L20" s="293">
        <f>G20*50%*F20</f>
        <v>6702</v>
      </c>
      <c r="M20" s="293"/>
      <c r="N20" s="294">
        <f>(G20*F20)+M20+L20</f>
        <v>20106</v>
      </c>
    </row>
    <row r="21" spans="1:15" x14ac:dyDescent="0.2">
      <c r="A21" s="292">
        <v>3</v>
      </c>
      <c r="B21" s="17" t="s">
        <v>524</v>
      </c>
      <c r="C21" s="16" t="s">
        <v>525</v>
      </c>
      <c r="D21" s="16"/>
      <c r="E21" s="16"/>
      <c r="F21" s="296">
        <v>1</v>
      </c>
      <c r="G21" s="293">
        <v>7446</v>
      </c>
      <c r="H21" s="293"/>
      <c r="I21" s="293"/>
      <c r="J21" s="293"/>
      <c r="K21" s="293"/>
      <c r="L21" s="293">
        <f>G21*50%</f>
        <v>3723</v>
      </c>
      <c r="M21" s="293"/>
      <c r="N21" s="294">
        <f>(G21*F21)+M21+L21</f>
        <v>11169</v>
      </c>
    </row>
    <row r="22" spans="1:15" x14ac:dyDescent="0.2">
      <c r="A22" s="527" t="s">
        <v>526</v>
      </c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</row>
    <row r="23" spans="1:15" x14ac:dyDescent="0.2">
      <c r="A23" s="292">
        <v>1</v>
      </c>
      <c r="B23" s="17" t="s">
        <v>522</v>
      </c>
      <c r="C23" s="16" t="s">
        <v>523</v>
      </c>
      <c r="D23" s="16"/>
      <c r="E23" s="16"/>
      <c r="F23" s="296">
        <v>1</v>
      </c>
      <c r="G23" s="293">
        <v>6702</v>
      </c>
      <c r="H23" s="293"/>
      <c r="I23" s="293"/>
      <c r="J23" s="293"/>
      <c r="K23" s="293"/>
      <c r="L23" s="293">
        <f>G23*50%</f>
        <v>3351</v>
      </c>
      <c r="M23" s="293"/>
      <c r="N23" s="294">
        <f>(G23*F23)+M23+L23</f>
        <v>10053</v>
      </c>
    </row>
    <row r="24" spans="1:15" x14ac:dyDescent="0.2">
      <c r="A24" s="292">
        <v>2</v>
      </c>
      <c r="B24" s="17" t="s">
        <v>522</v>
      </c>
      <c r="C24" s="16" t="s">
        <v>523</v>
      </c>
      <c r="D24" s="16"/>
      <c r="E24" s="16"/>
      <c r="F24" s="296">
        <v>0.25</v>
      </c>
      <c r="G24" s="293">
        <v>6702</v>
      </c>
      <c r="H24" s="293"/>
      <c r="I24" s="293"/>
      <c r="J24" s="293"/>
      <c r="K24" s="293"/>
      <c r="L24" s="293"/>
      <c r="M24" s="293"/>
      <c r="N24" s="294">
        <f>(G24*F24)+M24+L24</f>
        <v>1675.5</v>
      </c>
    </row>
    <row r="25" spans="1:15" x14ac:dyDescent="0.2">
      <c r="A25" s="292">
        <v>3</v>
      </c>
      <c r="B25" s="17" t="s">
        <v>527</v>
      </c>
      <c r="C25" s="16" t="s">
        <v>528</v>
      </c>
      <c r="D25" s="16"/>
      <c r="E25" s="16"/>
      <c r="F25" s="296">
        <v>1</v>
      </c>
      <c r="G25" s="293">
        <v>6702</v>
      </c>
      <c r="H25" s="293"/>
      <c r="I25" s="293"/>
      <c r="J25" s="293"/>
      <c r="K25" s="293"/>
      <c r="L25" s="293">
        <f>G25*50%</f>
        <v>3351</v>
      </c>
      <c r="M25" s="293"/>
      <c r="N25" s="294">
        <f>(G25*F25)+M25+L25</f>
        <v>10053</v>
      </c>
    </row>
    <row r="26" spans="1:15" x14ac:dyDescent="0.2">
      <c r="A26" s="527" t="s">
        <v>529</v>
      </c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</row>
    <row r="27" spans="1:15" x14ac:dyDescent="0.2">
      <c r="A27" s="292">
        <v>1</v>
      </c>
      <c r="B27" s="17" t="s">
        <v>530</v>
      </c>
      <c r="C27" s="16" t="s">
        <v>531</v>
      </c>
      <c r="D27" s="16"/>
      <c r="E27" s="16"/>
      <c r="F27" s="296">
        <v>1</v>
      </c>
      <c r="G27" s="293">
        <v>6702</v>
      </c>
      <c r="H27" s="300"/>
      <c r="I27" s="300"/>
      <c r="J27" s="16"/>
      <c r="K27" s="293"/>
      <c r="L27" s="293">
        <f>G27*50%</f>
        <v>3351</v>
      </c>
      <c r="M27" s="293"/>
      <c r="N27" s="294">
        <f>(G27*F27)+M27+L27+K27</f>
        <v>10053</v>
      </c>
    </row>
    <row r="28" spans="1:15" x14ac:dyDescent="0.2">
      <c r="A28" s="527" t="s">
        <v>532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</row>
    <row r="29" spans="1:15" x14ac:dyDescent="0.2">
      <c r="A29" s="292">
        <v>1</v>
      </c>
      <c r="B29" s="17" t="s">
        <v>533</v>
      </c>
      <c r="C29" s="292" t="s">
        <v>534</v>
      </c>
      <c r="D29" s="16"/>
      <c r="E29" s="16"/>
      <c r="F29" s="296">
        <v>3</v>
      </c>
      <c r="G29" s="293">
        <v>7446</v>
      </c>
      <c r="H29" s="300"/>
      <c r="I29" s="300"/>
      <c r="J29" s="16"/>
      <c r="K29" s="16"/>
      <c r="L29" s="293">
        <f>G29*50%*F29</f>
        <v>11169</v>
      </c>
      <c r="M29" s="293"/>
      <c r="N29" s="294">
        <f>(G29*F29)+M29+L29</f>
        <v>33507</v>
      </c>
    </row>
    <row r="30" spans="1:15" x14ac:dyDescent="0.2">
      <c r="A30" s="292">
        <v>2</v>
      </c>
      <c r="B30" s="17" t="s">
        <v>535</v>
      </c>
      <c r="C30" s="292" t="s">
        <v>536</v>
      </c>
      <c r="D30" s="16"/>
      <c r="E30" s="16"/>
      <c r="F30" s="296">
        <v>1</v>
      </c>
      <c r="G30" s="293">
        <v>6702</v>
      </c>
      <c r="H30" s="300"/>
      <c r="I30" s="300"/>
      <c r="J30" s="16"/>
      <c r="K30" s="16"/>
      <c r="L30" s="293">
        <f>G30*50%</f>
        <v>3351</v>
      </c>
      <c r="M30" s="293"/>
      <c r="N30" s="294">
        <f>(G30*F30)+M30+L30</f>
        <v>10053</v>
      </c>
    </row>
    <row r="31" spans="1:15" x14ac:dyDescent="0.2">
      <c r="A31" s="292">
        <v>3</v>
      </c>
      <c r="B31" s="17" t="s">
        <v>40</v>
      </c>
      <c r="C31" s="16" t="s">
        <v>537</v>
      </c>
      <c r="D31" s="16"/>
      <c r="E31" s="16"/>
      <c r="F31" s="296">
        <v>4</v>
      </c>
      <c r="G31" s="293">
        <v>6702</v>
      </c>
      <c r="H31" s="300"/>
      <c r="I31" s="300"/>
      <c r="J31" s="16"/>
      <c r="K31" s="16"/>
      <c r="L31" s="293">
        <f>G31*50%*F31</f>
        <v>13404</v>
      </c>
      <c r="M31" s="293"/>
      <c r="N31" s="294">
        <f>(G31*F31)+M31+L31</f>
        <v>40212</v>
      </c>
    </row>
    <row r="32" spans="1:15" x14ac:dyDescent="0.2">
      <c r="A32" s="292">
        <v>4</v>
      </c>
      <c r="B32" s="17" t="s">
        <v>538</v>
      </c>
      <c r="C32" s="16" t="s">
        <v>539</v>
      </c>
      <c r="D32" s="16"/>
      <c r="E32" s="16"/>
      <c r="F32" s="296">
        <v>1</v>
      </c>
      <c r="G32" s="293">
        <v>6702</v>
      </c>
      <c r="H32" s="300"/>
      <c r="I32" s="300"/>
      <c r="J32" s="16"/>
      <c r="K32" s="16"/>
      <c r="L32" s="293">
        <f>G32*50%</f>
        <v>3351</v>
      </c>
      <c r="M32" s="293"/>
      <c r="N32" s="294">
        <f>(G32*F32)+M32+L32</f>
        <v>10053</v>
      </c>
    </row>
    <row r="33" spans="1:15" x14ac:dyDescent="0.2">
      <c r="A33" s="292">
        <v>5</v>
      </c>
      <c r="B33" s="17" t="s">
        <v>540</v>
      </c>
      <c r="C33" s="16" t="s">
        <v>541</v>
      </c>
      <c r="D33" s="16"/>
      <c r="E33" s="16"/>
      <c r="F33" s="296">
        <v>1</v>
      </c>
      <c r="G33" s="293">
        <v>4468</v>
      </c>
      <c r="H33" s="300"/>
      <c r="I33" s="300"/>
      <c r="J33" s="16"/>
      <c r="K33" s="16"/>
      <c r="L33" s="293">
        <f>G33*50%</f>
        <v>2234</v>
      </c>
      <c r="M33" s="293"/>
      <c r="N33" s="294">
        <f>(G33*F33)+M33+L33</f>
        <v>6702</v>
      </c>
    </row>
    <row r="34" spans="1:15" x14ac:dyDescent="0.2">
      <c r="A34" s="527" t="s">
        <v>542</v>
      </c>
      <c r="B34" s="527"/>
      <c r="C34" s="527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</row>
    <row r="35" spans="1:15" ht="31.5" x14ac:dyDescent="0.2">
      <c r="A35" s="292">
        <v>1</v>
      </c>
      <c r="B35" s="184" t="s">
        <v>543</v>
      </c>
      <c r="C35" s="292" t="s">
        <v>544</v>
      </c>
      <c r="D35" s="16"/>
      <c r="E35" s="16"/>
      <c r="F35" s="296">
        <v>1</v>
      </c>
      <c r="G35" s="293">
        <v>5175</v>
      </c>
      <c r="H35" s="300"/>
      <c r="I35" s="300"/>
      <c r="J35" s="16"/>
      <c r="K35" s="16"/>
      <c r="L35" s="293">
        <f>G35*50%</f>
        <v>2587.5</v>
      </c>
      <c r="M35" s="301">
        <f>G35*25%</f>
        <v>1293.75</v>
      </c>
      <c r="N35" s="294">
        <f>(G35*F35)+M35+L35</f>
        <v>9056.25</v>
      </c>
    </row>
    <row r="36" spans="1:15" x14ac:dyDescent="0.2">
      <c r="A36" s="527" t="s">
        <v>545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</row>
    <row r="37" spans="1:15" ht="31.5" x14ac:dyDescent="0.2">
      <c r="A37" s="292">
        <v>1</v>
      </c>
      <c r="B37" s="184" t="s">
        <v>546</v>
      </c>
      <c r="C37" s="292" t="s">
        <v>547</v>
      </c>
      <c r="D37" s="302">
        <v>0.35</v>
      </c>
      <c r="E37" s="16"/>
      <c r="F37" s="296">
        <v>8</v>
      </c>
      <c r="G37" s="293">
        <v>4468</v>
      </c>
      <c r="H37" s="300"/>
      <c r="I37" s="293">
        <f>((G37/166.9)*D37*58)*F37</f>
        <v>4347.5326542840021</v>
      </c>
      <c r="J37" s="16"/>
      <c r="K37" s="16"/>
      <c r="L37" s="293">
        <f>G37*50%*F37</f>
        <v>17872</v>
      </c>
      <c r="M37" s="301"/>
      <c r="N37" s="294">
        <f>(G37*F37)+M37+L37+I37</f>
        <v>57963.532654284005</v>
      </c>
    </row>
    <row r="38" spans="1:15" x14ac:dyDescent="0.2">
      <c r="A38" s="527" t="s">
        <v>548</v>
      </c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</row>
    <row r="39" spans="1:15" x14ac:dyDescent="0.2">
      <c r="A39" s="292">
        <v>1</v>
      </c>
      <c r="B39" s="184" t="s">
        <v>515</v>
      </c>
      <c r="C39" s="295" t="s">
        <v>516</v>
      </c>
      <c r="D39" s="16"/>
      <c r="E39" s="16"/>
      <c r="F39" s="296">
        <v>1</v>
      </c>
      <c r="G39" s="293">
        <v>8936</v>
      </c>
      <c r="H39" s="16"/>
      <c r="I39" s="16"/>
      <c r="J39" s="16"/>
      <c r="K39" s="16"/>
      <c r="L39" s="297">
        <f>G39*50%</f>
        <v>4468</v>
      </c>
      <c r="M39" s="293"/>
      <c r="N39" s="294">
        <f>(G39*F39)+M39+L39</f>
        <v>13404</v>
      </c>
    </row>
    <row r="40" spans="1:15" x14ac:dyDescent="0.2">
      <c r="A40" s="292">
        <v>2</v>
      </c>
      <c r="B40" s="184" t="s">
        <v>549</v>
      </c>
      <c r="C40" s="292" t="s">
        <v>550</v>
      </c>
      <c r="D40" s="16"/>
      <c r="E40" s="16"/>
      <c r="F40" s="296">
        <v>1</v>
      </c>
      <c r="G40" s="293">
        <v>8563</v>
      </c>
      <c r="H40" s="300"/>
      <c r="I40" s="300"/>
      <c r="J40" s="16"/>
      <c r="K40" s="16"/>
      <c r="L40" s="297">
        <f>G40*50%</f>
        <v>4281.5</v>
      </c>
      <c r="M40" s="301"/>
      <c r="N40" s="294">
        <f>(G40*F40)+M40+L40</f>
        <v>12844.5</v>
      </c>
    </row>
    <row r="41" spans="1:15" x14ac:dyDescent="0.2">
      <c r="A41" s="292">
        <v>3</v>
      </c>
      <c r="B41" s="184" t="s">
        <v>522</v>
      </c>
      <c r="C41" s="16" t="s">
        <v>523</v>
      </c>
      <c r="D41" s="292"/>
      <c r="E41" s="292"/>
      <c r="F41" s="296">
        <v>3</v>
      </c>
      <c r="G41" s="293">
        <v>6702</v>
      </c>
      <c r="H41" s="296"/>
      <c r="I41" s="296"/>
      <c r="J41" s="292"/>
      <c r="K41" s="292"/>
      <c r="L41" s="303">
        <f>G41*50%*F41</f>
        <v>10053</v>
      </c>
      <c r="M41" s="304"/>
      <c r="N41" s="305">
        <f>(G41*F41)+M41+L41</f>
        <v>30159</v>
      </c>
      <c r="O41" s="306"/>
    </row>
    <row r="42" spans="1:15" x14ac:dyDescent="0.2">
      <c r="A42" s="292">
        <v>5</v>
      </c>
      <c r="B42" s="184" t="s">
        <v>551</v>
      </c>
      <c r="C42" s="292" t="s">
        <v>552</v>
      </c>
      <c r="D42" s="292"/>
      <c r="E42" s="292"/>
      <c r="F42" s="296">
        <v>4</v>
      </c>
      <c r="G42" s="304">
        <v>6702</v>
      </c>
      <c r="H42" s="296"/>
      <c r="I42" s="296"/>
      <c r="J42" s="292"/>
      <c r="K42" s="292"/>
      <c r="L42" s="303">
        <f>G42*F42*50%</f>
        <v>13404</v>
      </c>
      <c r="M42" s="152"/>
      <c r="N42" s="305">
        <f>(G42*F42)+M42+L42</f>
        <v>40212</v>
      </c>
      <c r="O42" s="307"/>
    </row>
    <row r="43" spans="1:15" ht="31.5" x14ac:dyDescent="0.2">
      <c r="A43" s="292">
        <v>6</v>
      </c>
      <c r="B43" s="184" t="s">
        <v>546</v>
      </c>
      <c r="C43" s="292" t="s">
        <v>547</v>
      </c>
      <c r="D43" s="308">
        <v>0.35</v>
      </c>
      <c r="E43" s="292"/>
      <c r="F43" s="296">
        <v>2</v>
      </c>
      <c r="G43" s="293">
        <v>4468</v>
      </c>
      <c r="H43" s="296"/>
      <c r="I43" s="304"/>
      <c r="J43" s="292"/>
      <c r="K43" s="292"/>
      <c r="L43" s="303">
        <f>G43*50%*F43</f>
        <v>4468</v>
      </c>
      <c r="M43" s="152"/>
      <c r="N43" s="305">
        <f>(G43*F43)+M43+L43+I43</f>
        <v>13404</v>
      </c>
      <c r="O43" s="306"/>
    </row>
    <row r="44" spans="1:15" x14ac:dyDescent="0.2">
      <c r="A44" s="531"/>
      <c r="B44" s="531"/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306"/>
    </row>
    <row r="45" spans="1:15" x14ac:dyDescent="0.2">
      <c r="A45" s="292"/>
      <c r="B45" s="309" t="s">
        <v>553</v>
      </c>
      <c r="C45" s="284"/>
      <c r="D45" s="292"/>
      <c r="E45" s="292"/>
      <c r="F45" s="296">
        <f>SUM(F14:F43)</f>
        <v>41.25</v>
      </c>
      <c r="G45" s="296"/>
      <c r="H45" s="296"/>
      <c r="I45" s="304">
        <f>SUM(I14:I43)</f>
        <v>4347.5326542840021</v>
      </c>
      <c r="J45" s="304"/>
      <c r="K45" s="304"/>
      <c r="L45" s="304">
        <f>SUM(L14:L43)</f>
        <v>128620.5</v>
      </c>
      <c r="M45" s="304">
        <f>SUM(M14:M43)</f>
        <v>1293.75</v>
      </c>
      <c r="N45" s="305">
        <f>SUM(N14:N43)</f>
        <v>393178.28265428403</v>
      </c>
      <c r="O45" s="306"/>
    </row>
    <row r="46" spans="1:15" x14ac:dyDescent="0.2">
      <c r="A46" s="531" t="s">
        <v>554</v>
      </c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306"/>
    </row>
    <row r="47" spans="1:15" ht="38.25" x14ac:dyDescent="0.2">
      <c r="A47" s="288" t="s">
        <v>14</v>
      </c>
      <c r="B47" s="288" t="s">
        <v>29</v>
      </c>
      <c r="C47" s="288" t="s">
        <v>500</v>
      </c>
      <c r="D47" s="288"/>
      <c r="E47" s="288" t="s">
        <v>501</v>
      </c>
      <c r="F47" s="288" t="s">
        <v>502</v>
      </c>
      <c r="G47" s="310" t="s">
        <v>503</v>
      </c>
      <c r="H47" s="310" t="s">
        <v>504</v>
      </c>
      <c r="I47" s="310" t="s">
        <v>505</v>
      </c>
      <c r="J47" s="310" t="s">
        <v>506</v>
      </c>
      <c r="K47" s="310" t="s">
        <v>507</v>
      </c>
      <c r="L47" s="310" t="s">
        <v>508</v>
      </c>
      <c r="M47" s="310" t="s">
        <v>509</v>
      </c>
      <c r="N47" s="310" t="s">
        <v>510</v>
      </c>
      <c r="O47" s="311"/>
    </row>
    <row r="48" spans="1:15" x14ac:dyDescent="0.2">
      <c r="A48" s="292">
        <v>1</v>
      </c>
      <c r="B48" s="184" t="s">
        <v>555</v>
      </c>
      <c r="C48" s="292">
        <v>9162</v>
      </c>
      <c r="D48" s="292"/>
      <c r="E48" s="292"/>
      <c r="F48" s="296">
        <v>17</v>
      </c>
      <c r="G48" s="293">
        <v>4468</v>
      </c>
      <c r="H48" s="304"/>
      <c r="I48" s="304"/>
      <c r="J48" s="304"/>
      <c r="K48" s="346">
        <f>G48+G48*50/100</f>
        <v>6702</v>
      </c>
      <c r="L48" s="304">
        <f>G48*F48*50%</f>
        <v>37978</v>
      </c>
      <c r="M48" s="304"/>
      <c r="N48" s="305">
        <f>G48*F48+H48+I48+J48+K48+L48+M48</f>
        <v>120636</v>
      </c>
      <c r="O48" s="306"/>
    </row>
    <row r="49" spans="1:15" ht="31.5" x14ac:dyDescent="0.2">
      <c r="A49" s="292">
        <v>2</v>
      </c>
      <c r="B49" s="184" t="s">
        <v>556</v>
      </c>
      <c r="C49" s="292" t="s">
        <v>557</v>
      </c>
      <c r="D49" s="292"/>
      <c r="E49" s="292"/>
      <c r="F49" s="296">
        <v>0.5</v>
      </c>
      <c r="G49" s="304">
        <v>3723</v>
      </c>
      <c r="H49" s="304"/>
      <c r="I49" s="304"/>
      <c r="J49" s="304"/>
      <c r="K49" s="304"/>
      <c r="L49" s="304">
        <f>G49*F49*50%</f>
        <v>930.75</v>
      </c>
      <c r="M49" s="304"/>
      <c r="N49" s="305">
        <f t="shared" ref="N49:N68" si="0">G49*F49+H49+I49+J49+K49+L49+M49</f>
        <v>2792.25</v>
      </c>
      <c r="O49" s="342">
        <f>(N49+N48)*12</f>
        <v>1481139</v>
      </c>
    </row>
    <row r="50" spans="1:15" x14ac:dyDescent="0.2">
      <c r="A50" s="292">
        <v>3</v>
      </c>
      <c r="B50" s="184" t="s">
        <v>558</v>
      </c>
      <c r="C50" s="292" t="s">
        <v>559</v>
      </c>
      <c r="D50" s="312">
        <v>0.35</v>
      </c>
      <c r="E50" s="292">
        <v>1</v>
      </c>
      <c r="F50" s="296">
        <v>5</v>
      </c>
      <c r="G50" s="304">
        <v>5175</v>
      </c>
      <c r="H50" s="304">
        <f>G50*4%*F50</f>
        <v>1035</v>
      </c>
      <c r="I50" s="304">
        <f>((G50/166.9)*D50*58)*1</f>
        <v>629.43379269023353</v>
      </c>
      <c r="J50" s="304"/>
      <c r="K50" s="304"/>
      <c r="L50" s="304">
        <f t="shared" ref="L50:L66" si="1">G50*F50*50%</f>
        <v>12937.5</v>
      </c>
      <c r="M50" s="304"/>
      <c r="N50" s="305">
        <f t="shared" si="0"/>
        <v>40476.933792690237</v>
      </c>
      <c r="O50" s="306"/>
    </row>
    <row r="51" spans="1:15" x14ac:dyDescent="0.2">
      <c r="A51" s="292">
        <v>4</v>
      </c>
      <c r="B51" s="184" t="s">
        <v>558</v>
      </c>
      <c r="C51" s="292" t="s">
        <v>559</v>
      </c>
      <c r="D51" s="312">
        <v>0.35</v>
      </c>
      <c r="E51" s="292">
        <v>2</v>
      </c>
      <c r="F51" s="296">
        <v>3</v>
      </c>
      <c r="G51" s="304">
        <v>5589</v>
      </c>
      <c r="H51" s="304">
        <f>G51*4%*F51</f>
        <v>670.68000000000006</v>
      </c>
      <c r="I51" s="304">
        <f>((G51/166.9)*D51*58)*2</f>
        <v>1359.5769922109046</v>
      </c>
      <c r="J51" s="304"/>
      <c r="K51" s="304"/>
      <c r="L51" s="304">
        <f t="shared" si="1"/>
        <v>8383.5</v>
      </c>
      <c r="M51" s="304"/>
      <c r="N51" s="305">
        <f t="shared" si="0"/>
        <v>27180.756992210903</v>
      </c>
      <c r="O51" s="313"/>
    </row>
    <row r="52" spans="1:15" x14ac:dyDescent="0.2">
      <c r="A52" s="292">
        <v>5</v>
      </c>
      <c r="B52" s="184" t="s">
        <v>558</v>
      </c>
      <c r="C52" s="292" t="s">
        <v>559</v>
      </c>
      <c r="D52" s="312">
        <v>0.35</v>
      </c>
      <c r="E52" s="292">
        <v>3</v>
      </c>
      <c r="F52" s="296">
        <v>8</v>
      </c>
      <c r="G52" s="304">
        <v>6210</v>
      </c>
      <c r="H52" s="304">
        <f>G52*4%*F52</f>
        <v>1987.2</v>
      </c>
      <c r="I52" s="304">
        <f>((G52/166.9)*D52*58)*1</f>
        <v>755.32055122828035</v>
      </c>
      <c r="J52" s="304"/>
      <c r="K52" s="304"/>
      <c r="L52" s="304">
        <f t="shared" si="1"/>
        <v>24840</v>
      </c>
      <c r="M52" s="346">
        <f>77262.52/8</f>
        <v>9657.8150000000005</v>
      </c>
      <c r="N52" s="305">
        <f t="shared" si="0"/>
        <v>86920.335551228287</v>
      </c>
      <c r="O52" s="313"/>
    </row>
    <row r="53" spans="1:15" x14ac:dyDescent="0.2">
      <c r="A53" s="292">
        <v>6</v>
      </c>
      <c r="B53" s="184" t="s">
        <v>558</v>
      </c>
      <c r="C53" s="292" t="s">
        <v>559</v>
      </c>
      <c r="D53" s="312">
        <v>0.35</v>
      </c>
      <c r="E53" s="292">
        <v>4</v>
      </c>
      <c r="F53" s="296">
        <v>0</v>
      </c>
      <c r="G53" s="304">
        <v>6987</v>
      </c>
      <c r="H53" s="304">
        <f>G53*4%*F53</f>
        <v>0</v>
      </c>
      <c r="I53" s="304">
        <f>((G53/166.9)*D53*58)*0</f>
        <v>0</v>
      </c>
      <c r="J53" s="304"/>
      <c r="K53" s="304"/>
      <c r="L53" s="304">
        <f t="shared" si="1"/>
        <v>0</v>
      </c>
      <c r="M53" s="304"/>
      <c r="N53" s="305">
        <f t="shared" si="0"/>
        <v>0</v>
      </c>
      <c r="O53" s="306"/>
    </row>
    <row r="54" spans="1:15" x14ac:dyDescent="0.2">
      <c r="A54" s="292">
        <v>7</v>
      </c>
      <c r="B54" s="184" t="s">
        <v>558</v>
      </c>
      <c r="C54" s="292" t="s">
        <v>559</v>
      </c>
      <c r="D54" s="312">
        <v>0.35</v>
      </c>
      <c r="E54" s="292">
        <v>5</v>
      </c>
      <c r="F54" s="296">
        <v>0</v>
      </c>
      <c r="G54" s="304">
        <v>7970</v>
      </c>
      <c r="H54" s="304">
        <f>G54*4%*F54</f>
        <v>0</v>
      </c>
      <c r="I54" s="304"/>
      <c r="J54" s="304"/>
      <c r="K54" s="304"/>
      <c r="L54" s="304">
        <f t="shared" si="1"/>
        <v>0</v>
      </c>
      <c r="M54" s="304"/>
      <c r="N54" s="305">
        <f t="shared" si="0"/>
        <v>0</v>
      </c>
      <c r="O54" s="313"/>
    </row>
    <row r="55" spans="1:15" x14ac:dyDescent="0.2">
      <c r="A55" s="292">
        <v>8</v>
      </c>
      <c r="B55" s="184" t="s">
        <v>560</v>
      </c>
      <c r="C55" s="292" t="s">
        <v>561</v>
      </c>
      <c r="D55" s="308"/>
      <c r="E55" s="292">
        <v>3</v>
      </c>
      <c r="F55" s="296">
        <v>0</v>
      </c>
      <c r="G55" s="304">
        <v>6210</v>
      </c>
      <c r="H55" s="304">
        <f>G55*8%*F55</f>
        <v>0</v>
      </c>
      <c r="I55" s="304"/>
      <c r="J55" s="304"/>
      <c r="K55" s="304"/>
      <c r="L55" s="304">
        <f>G55*F55*50%</f>
        <v>0</v>
      </c>
      <c r="M55" s="304"/>
      <c r="N55" s="305">
        <f>G55*F55+H55+I55+J55+K55+L55+M55</f>
        <v>0</v>
      </c>
      <c r="O55" s="306"/>
    </row>
    <row r="56" spans="1:15" x14ac:dyDescent="0.2">
      <c r="A56" s="292">
        <v>9</v>
      </c>
      <c r="B56" s="184" t="s">
        <v>560</v>
      </c>
      <c r="C56" s="292" t="s">
        <v>561</v>
      </c>
      <c r="D56" s="308"/>
      <c r="E56" s="292">
        <v>4</v>
      </c>
      <c r="F56" s="296">
        <v>3</v>
      </c>
      <c r="G56" s="304">
        <v>6987</v>
      </c>
      <c r="H56" s="304">
        <f>G56*8%*F56</f>
        <v>1676.88</v>
      </c>
      <c r="I56" s="304"/>
      <c r="J56" s="304"/>
      <c r="K56" s="304"/>
      <c r="L56" s="304">
        <f>G56*F56*50%</f>
        <v>10480.5</v>
      </c>
      <c r="M56" s="304"/>
      <c r="N56" s="305">
        <f t="shared" si="0"/>
        <v>33118.380000000005</v>
      </c>
      <c r="O56" s="306"/>
    </row>
    <row r="57" spans="1:15" x14ac:dyDescent="0.2">
      <c r="A57" s="292">
        <v>10</v>
      </c>
      <c r="B57" s="184" t="s">
        <v>560</v>
      </c>
      <c r="C57" s="292" t="s">
        <v>561</v>
      </c>
      <c r="D57" s="308"/>
      <c r="E57" s="292">
        <v>5</v>
      </c>
      <c r="F57" s="296">
        <v>0</v>
      </c>
      <c r="G57" s="304">
        <v>7970</v>
      </c>
      <c r="H57" s="304">
        <f>G57*8%*F57</f>
        <v>0</v>
      </c>
      <c r="I57" s="304"/>
      <c r="J57" s="304"/>
      <c r="K57" s="304"/>
      <c r="L57" s="304">
        <f t="shared" si="1"/>
        <v>0</v>
      </c>
      <c r="M57" s="304"/>
      <c r="N57" s="305">
        <f t="shared" si="0"/>
        <v>0</v>
      </c>
      <c r="O57" s="306"/>
    </row>
    <row r="58" spans="1:15" ht="31.5" x14ac:dyDescent="0.2">
      <c r="A58" s="292">
        <v>11</v>
      </c>
      <c r="B58" s="184" t="s">
        <v>543</v>
      </c>
      <c r="C58" s="292" t="s">
        <v>544</v>
      </c>
      <c r="D58" s="308"/>
      <c r="E58" s="292"/>
      <c r="F58" s="296">
        <v>2</v>
      </c>
      <c r="G58" s="304">
        <v>5510</v>
      </c>
      <c r="H58" s="304"/>
      <c r="I58" s="304"/>
      <c r="J58" s="304">
        <f>G58*F58*10%</f>
        <v>1102</v>
      </c>
      <c r="K58" s="304">
        <f>G58*25%</f>
        <v>1377.5</v>
      </c>
      <c r="L58" s="304">
        <f t="shared" si="1"/>
        <v>5510</v>
      </c>
      <c r="M58" s="304"/>
      <c r="N58" s="305">
        <f t="shared" si="0"/>
        <v>19009.5</v>
      </c>
      <c r="O58" s="306"/>
    </row>
    <row r="59" spans="1:15" ht="31.5" x14ac:dyDescent="0.2">
      <c r="A59" s="292">
        <v>12</v>
      </c>
      <c r="B59" s="184" t="s">
        <v>562</v>
      </c>
      <c r="C59" s="292" t="s">
        <v>563</v>
      </c>
      <c r="D59" s="312">
        <v>0.35</v>
      </c>
      <c r="E59" s="292"/>
      <c r="F59" s="296">
        <v>5</v>
      </c>
      <c r="G59" s="304">
        <v>5883</v>
      </c>
      <c r="H59" s="304"/>
      <c r="I59" s="304">
        <f>((G59/166.9)*D59*58)*4</f>
        <v>2862.1905332534448</v>
      </c>
      <c r="J59" s="304"/>
      <c r="K59" s="304"/>
      <c r="L59" s="304">
        <f>G59*F59*50%</f>
        <v>14707.5</v>
      </c>
      <c r="M59" s="304">
        <f>46984.69/5</f>
        <v>9396.9380000000001</v>
      </c>
      <c r="N59" s="305">
        <f>G59*F59+H59+I59+J59+K59+L59+M59</f>
        <v>56381.628533253446</v>
      </c>
      <c r="O59" s="344">
        <f>SUM(N50:N59)*12</f>
        <v>3157050.4184325943</v>
      </c>
    </row>
    <row r="60" spans="1:15" x14ac:dyDescent="0.2">
      <c r="A60" s="292">
        <v>13</v>
      </c>
      <c r="B60" s="184" t="s">
        <v>328</v>
      </c>
      <c r="C60" s="292" t="s">
        <v>564</v>
      </c>
      <c r="D60" s="308"/>
      <c r="E60" s="292">
        <v>3</v>
      </c>
      <c r="F60" s="296">
        <v>1</v>
      </c>
      <c r="G60" s="304">
        <v>6210</v>
      </c>
      <c r="H60" s="304">
        <f>G60*4%</f>
        <v>248.4</v>
      </c>
      <c r="I60" s="304"/>
      <c r="J60" s="304"/>
      <c r="K60" s="304"/>
      <c r="L60" s="304">
        <f t="shared" si="1"/>
        <v>3105</v>
      </c>
      <c r="M60" s="304"/>
      <c r="N60" s="305">
        <f t="shared" si="0"/>
        <v>9563.4</v>
      </c>
      <c r="O60" s="306"/>
    </row>
    <row r="61" spans="1:15" ht="31.5" x14ac:dyDescent="0.2">
      <c r="A61" s="292">
        <v>14</v>
      </c>
      <c r="B61" s="184" t="s">
        <v>565</v>
      </c>
      <c r="C61" s="292" t="s">
        <v>566</v>
      </c>
      <c r="D61" s="292"/>
      <c r="E61" s="292">
        <v>1</v>
      </c>
      <c r="F61" s="296">
        <v>1</v>
      </c>
      <c r="G61" s="304">
        <v>5175</v>
      </c>
      <c r="H61" s="304">
        <f>G61*4%*F61</f>
        <v>207</v>
      </c>
      <c r="I61" s="304"/>
      <c r="J61" s="304"/>
      <c r="K61" s="304"/>
      <c r="L61" s="304">
        <f>G61*F61*50%</f>
        <v>2587.5</v>
      </c>
      <c r="M61" s="304"/>
      <c r="N61" s="305">
        <f>G61*F61+H61+I61+J61+K61+L61+M61</f>
        <v>7969.5</v>
      </c>
      <c r="O61" s="306"/>
    </row>
    <row r="62" spans="1:15" ht="31.5" x14ac:dyDescent="0.2">
      <c r="A62" s="292">
        <v>14</v>
      </c>
      <c r="B62" s="184" t="s">
        <v>565</v>
      </c>
      <c r="C62" s="292" t="s">
        <v>566</v>
      </c>
      <c r="D62" s="292"/>
      <c r="E62" s="292">
        <v>2</v>
      </c>
      <c r="F62" s="296">
        <v>2</v>
      </c>
      <c r="G62" s="304">
        <v>5589</v>
      </c>
      <c r="H62" s="304">
        <f>G62*4%*F62</f>
        <v>447.12</v>
      </c>
      <c r="I62" s="304"/>
      <c r="J62" s="304"/>
      <c r="K62" s="304"/>
      <c r="L62" s="304">
        <f t="shared" si="1"/>
        <v>5589</v>
      </c>
      <c r="M62" s="304"/>
      <c r="N62" s="305">
        <f t="shared" si="0"/>
        <v>17214.120000000003</v>
      </c>
      <c r="O62" s="306"/>
    </row>
    <row r="63" spans="1:15" ht="31.5" x14ac:dyDescent="0.2">
      <c r="A63" s="292">
        <v>15</v>
      </c>
      <c r="B63" s="184" t="s">
        <v>565</v>
      </c>
      <c r="C63" s="292" t="s">
        <v>566</v>
      </c>
      <c r="D63" s="292"/>
      <c r="E63" s="292">
        <v>3</v>
      </c>
      <c r="F63" s="296">
        <v>1</v>
      </c>
      <c r="G63" s="304">
        <v>6210</v>
      </c>
      <c r="H63" s="304">
        <f>G63*4%*F63</f>
        <v>248.4</v>
      </c>
      <c r="I63" s="304"/>
      <c r="J63" s="304"/>
      <c r="K63" s="304"/>
      <c r="L63" s="304">
        <f>G63*F63*50%</f>
        <v>3105</v>
      </c>
      <c r="M63" s="304"/>
      <c r="N63" s="347">
        <f>G63*F63+H63+I63+J63+K63+L63+M63</f>
        <v>9563.4</v>
      </c>
      <c r="O63" s="306"/>
    </row>
    <row r="64" spans="1:15" x14ac:dyDescent="0.2">
      <c r="A64" s="292">
        <v>16</v>
      </c>
      <c r="B64" s="184" t="s">
        <v>567</v>
      </c>
      <c r="C64" s="292" t="s">
        <v>568</v>
      </c>
      <c r="D64" s="292"/>
      <c r="E64" s="292">
        <v>2</v>
      </c>
      <c r="F64" s="296">
        <v>1</v>
      </c>
      <c r="G64" s="304">
        <v>5589</v>
      </c>
      <c r="H64" s="304"/>
      <c r="I64" s="304"/>
      <c r="J64" s="304"/>
      <c r="K64" s="304"/>
      <c r="L64" s="304">
        <f t="shared" si="1"/>
        <v>2794.5</v>
      </c>
      <c r="M64" s="304"/>
      <c r="N64" s="305">
        <f t="shared" si="0"/>
        <v>8383.5</v>
      </c>
      <c r="O64" s="306"/>
    </row>
    <row r="65" spans="1:15" x14ac:dyDescent="0.2">
      <c r="A65" s="292">
        <v>17</v>
      </c>
      <c r="B65" s="184" t="s">
        <v>569</v>
      </c>
      <c r="C65" s="292" t="s">
        <v>570</v>
      </c>
      <c r="D65" s="292"/>
      <c r="E65" s="292">
        <v>3</v>
      </c>
      <c r="F65" s="296">
        <v>1</v>
      </c>
      <c r="G65" s="304">
        <v>6210</v>
      </c>
      <c r="H65" s="304"/>
      <c r="I65" s="304"/>
      <c r="J65" s="304"/>
      <c r="K65" s="304"/>
      <c r="L65" s="304">
        <f t="shared" si="1"/>
        <v>3105</v>
      </c>
      <c r="M65" s="304"/>
      <c r="N65" s="305">
        <f t="shared" si="0"/>
        <v>9315</v>
      </c>
      <c r="O65" s="306"/>
    </row>
    <row r="66" spans="1:15" x14ac:dyDescent="0.2">
      <c r="A66" s="292">
        <v>18</v>
      </c>
      <c r="B66" s="184" t="s">
        <v>571</v>
      </c>
      <c r="C66" s="292" t="s">
        <v>572</v>
      </c>
      <c r="D66" s="292"/>
      <c r="E66" s="292"/>
      <c r="F66" s="296">
        <v>3</v>
      </c>
      <c r="G66" s="304">
        <v>3723</v>
      </c>
      <c r="H66" s="304"/>
      <c r="I66" s="314"/>
      <c r="J66" s="304"/>
      <c r="K66" s="304"/>
      <c r="L66" s="304">
        <f t="shared" si="1"/>
        <v>5584.5</v>
      </c>
      <c r="M66" s="304"/>
      <c r="N66" s="305">
        <f t="shared" si="0"/>
        <v>16753.5</v>
      </c>
      <c r="O66" s="306"/>
    </row>
    <row r="67" spans="1:15" x14ac:dyDescent="0.2">
      <c r="A67" s="292">
        <v>19</v>
      </c>
      <c r="B67" s="184" t="s">
        <v>573</v>
      </c>
      <c r="C67" s="292" t="s">
        <v>574</v>
      </c>
      <c r="D67" s="292"/>
      <c r="E67" s="292">
        <v>2</v>
      </c>
      <c r="F67" s="296">
        <v>1</v>
      </c>
      <c r="G67" s="304">
        <v>5589</v>
      </c>
      <c r="H67" s="304"/>
      <c r="I67" s="314"/>
      <c r="J67" s="304"/>
      <c r="K67" s="304"/>
      <c r="L67" s="304">
        <f>G67*F67*50%</f>
        <v>2794.5</v>
      </c>
      <c r="M67" s="304"/>
      <c r="N67" s="305">
        <f t="shared" si="0"/>
        <v>8383.5</v>
      </c>
      <c r="O67" s="306"/>
    </row>
    <row r="68" spans="1:15" x14ac:dyDescent="0.2">
      <c r="A68" s="292">
        <v>20</v>
      </c>
      <c r="B68" s="184" t="s">
        <v>575</v>
      </c>
      <c r="C68" s="292" t="s">
        <v>576</v>
      </c>
      <c r="D68" s="292"/>
      <c r="E68" s="292"/>
      <c r="F68" s="296">
        <v>1</v>
      </c>
      <c r="G68" s="304">
        <v>5883</v>
      </c>
      <c r="H68" s="304"/>
      <c r="I68" s="314"/>
      <c r="J68" s="304"/>
      <c r="K68" s="304"/>
      <c r="L68" s="304">
        <f>G68*F68*50%</f>
        <v>2941.5</v>
      </c>
      <c r="M68" s="304"/>
      <c r="N68" s="305">
        <f t="shared" si="0"/>
        <v>8824.5</v>
      </c>
      <c r="O68" s="306"/>
    </row>
    <row r="69" spans="1:15" x14ac:dyDescent="0.2">
      <c r="A69" s="292">
        <v>21</v>
      </c>
      <c r="B69" s="184" t="s">
        <v>577</v>
      </c>
      <c r="C69" s="292" t="s">
        <v>578</v>
      </c>
      <c r="D69" s="292"/>
      <c r="E69" s="292"/>
      <c r="F69" s="296">
        <v>0.25</v>
      </c>
      <c r="G69" s="304">
        <v>3723</v>
      </c>
      <c r="H69" s="304"/>
      <c r="I69" s="304"/>
      <c r="J69" s="304"/>
      <c r="K69" s="304"/>
      <c r="L69" s="304"/>
      <c r="M69" s="304"/>
      <c r="N69" s="305">
        <f>G69*F69+H69+I69+J69+K69+L69+M69</f>
        <v>930.75</v>
      </c>
      <c r="O69" s="345">
        <f>SUM(N60:N69)*12</f>
        <v>1162814.04</v>
      </c>
    </row>
    <row r="70" spans="1:15" x14ac:dyDescent="0.2">
      <c r="A70" s="531" t="s">
        <v>548</v>
      </c>
      <c r="B70" s="531"/>
      <c r="C70" s="531"/>
      <c r="D70" s="531"/>
      <c r="E70" s="531"/>
      <c r="F70" s="531"/>
      <c r="G70" s="531"/>
      <c r="H70" s="531"/>
      <c r="I70" s="531"/>
      <c r="J70" s="531"/>
      <c r="K70" s="531"/>
      <c r="L70" s="531"/>
      <c r="M70" s="531"/>
      <c r="N70" s="531"/>
      <c r="O70" s="306"/>
    </row>
    <row r="71" spans="1:15" ht="31.5" x14ac:dyDescent="0.2">
      <c r="A71" s="292">
        <v>1</v>
      </c>
      <c r="B71" s="184" t="s">
        <v>543</v>
      </c>
      <c r="C71" s="292" t="s">
        <v>544</v>
      </c>
      <c r="D71" s="292"/>
      <c r="E71" s="292"/>
      <c r="F71" s="296">
        <v>1</v>
      </c>
      <c r="G71" s="304">
        <v>5175</v>
      </c>
      <c r="H71" s="296"/>
      <c r="I71" s="296"/>
      <c r="J71" s="292"/>
      <c r="K71" s="292"/>
      <c r="L71" s="304">
        <f>G71*50%</f>
        <v>2587.5</v>
      </c>
      <c r="M71" s="152"/>
      <c r="N71" s="305">
        <f>(G71*F71)+M71+L71</f>
        <v>7762.5</v>
      </c>
      <c r="O71" s="306"/>
    </row>
    <row r="72" spans="1:15" ht="31.5" x14ac:dyDescent="0.2">
      <c r="A72" s="292">
        <v>2</v>
      </c>
      <c r="B72" s="184" t="s">
        <v>579</v>
      </c>
      <c r="C72" s="292" t="s">
        <v>580</v>
      </c>
      <c r="D72" s="292"/>
      <c r="E72" s="292"/>
      <c r="F72" s="296">
        <v>28</v>
      </c>
      <c r="G72" s="305">
        <v>5510</v>
      </c>
      <c r="H72" s="305"/>
      <c r="I72" s="305"/>
      <c r="J72" s="305">
        <f>G72*F72*25%</f>
        <v>38570</v>
      </c>
      <c r="K72" s="305"/>
      <c r="L72" s="305">
        <f>G72*F72*50%</f>
        <v>77140</v>
      </c>
      <c r="M72" s="305"/>
      <c r="N72" s="305">
        <f>(G72*F72)+H72+I72+J72+K72+L72+M72</f>
        <v>269990</v>
      </c>
      <c r="O72" s="306"/>
    </row>
    <row r="73" spans="1:15" ht="31.5" x14ac:dyDescent="0.2">
      <c r="A73" s="292">
        <v>3</v>
      </c>
      <c r="B73" s="184" t="s">
        <v>556</v>
      </c>
      <c r="C73" s="292" t="s">
        <v>557</v>
      </c>
      <c r="D73" s="292"/>
      <c r="E73" s="292"/>
      <c r="F73" s="296">
        <v>0.5</v>
      </c>
      <c r="G73" s="304">
        <v>3723</v>
      </c>
      <c r="H73" s="304"/>
      <c r="I73" s="304"/>
      <c r="J73" s="304"/>
      <c r="K73" s="304"/>
      <c r="L73" s="304">
        <f>G73*F73*50%</f>
        <v>930.75</v>
      </c>
      <c r="M73" s="304"/>
      <c r="N73" s="305">
        <f>G73*F73+H73+I73+J73+K73+L73+M73</f>
        <v>2792.25</v>
      </c>
      <c r="O73" s="306"/>
    </row>
    <row r="74" spans="1:15" x14ac:dyDescent="0.2">
      <c r="A74" s="292">
        <v>4</v>
      </c>
      <c r="B74" s="184" t="s">
        <v>581</v>
      </c>
      <c r="C74" s="292" t="s">
        <v>582</v>
      </c>
      <c r="D74" s="292"/>
      <c r="E74" s="292"/>
      <c r="F74" s="296">
        <v>2</v>
      </c>
      <c r="G74" s="305">
        <v>5175</v>
      </c>
      <c r="H74" s="305"/>
      <c r="I74" s="305"/>
      <c r="J74" s="305"/>
      <c r="K74" s="305"/>
      <c r="L74" s="305">
        <f>G74*F74*50%</f>
        <v>5175</v>
      </c>
      <c r="M74" s="305"/>
      <c r="N74" s="305">
        <f>(G74*F74)+H74+I74+J74+K74+L74+M74</f>
        <v>15525</v>
      </c>
      <c r="O74" s="306"/>
    </row>
    <row r="75" spans="1:15" x14ac:dyDescent="0.2">
      <c r="A75" s="292">
        <v>5</v>
      </c>
      <c r="B75" s="184" t="s">
        <v>577</v>
      </c>
      <c r="C75" s="292" t="s">
        <v>578</v>
      </c>
      <c r="D75" s="292"/>
      <c r="E75" s="292"/>
      <c r="F75" s="296">
        <v>2</v>
      </c>
      <c r="G75" s="304">
        <v>3723</v>
      </c>
      <c r="H75" s="305"/>
      <c r="I75" s="305"/>
      <c r="J75" s="305"/>
      <c r="K75" s="305"/>
      <c r="L75" s="305">
        <f>G75*F75*50%</f>
        <v>3723</v>
      </c>
      <c r="M75" s="305"/>
      <c r="N75" s="305">
        <f>(G75*F75)+H75+I75+J75+K75+L75+M75</f>
        <v>11169</v>
      </c>
      <c r="O75" s="306"/>
    </row>
    <row r="76" spans="1:15" x14ac:dyDescent="0.2">
      <c r="A76" s="292">
        <v>6</v>
      </c>
      <c r="B76" s="184" t="s">
        <v>583</v>
      </c>
      <c r="C76" s="292" t="s">
        <v>584</v>
      </c>
      <c r="D76" s="308">
        <v>0.35</v>
      </c>
      <c r="E76" s="292"/>
      <c r="F76" s="296">
        <v>4</v>
      </c>
      <c r="G76" s="304">
        <v>3723</v>
      </c>
      <c r="H76" s="305"/>
      <c r="I76" s="305">
        <f>((G76/166.9)*D76*58)*F76</f>
        <v>1811.3097663271419</v>
      </c>
      <c r="J76" s="305"/>
      <c r="K76" s="305"/>
      <c r="L76" s="305">
        <f>G76*50%*F76</f>
        <v>7446</v>
      </c>
      <c r="M76" s="305"/>
      <c r="N76" s="305">
        <f>(G76*F76)+H76+I76+J76+K76+L76+M76</f>
        <v>24149.30976632714</v>
      </c>
      <c r="O76" s="343">
        <f>SUM(N71:N76)</f>
        <v>331388.05976632715</v>
      </c>
    </row>
    <row r="77" spans="1:15" x14ac:dyDescent="0.2">
      <c r="A77" s="532" t="s">
        <v>585</v>
      </c>
      <c r="B77" s="532"/>
      <c r="C77" s="532"/>
      <c r="D77" s="532"/>
      <c r="E77" s="284"/>
      <c r="F77" s="296">
        <f>SUM(F48:F76)</f>
        <v>93.25</v>
      </c>
      <c r="G77" s="296"/>
      <c r="H77" s="304">
        <f>SUM(H48:H76)</f>
        <v>6520.6799999999994</v>
      </c>
      <c r="I77" s="304">
        <f>SUM(I48:I76)</f>
        <v>7417.8316357100048</v>
      </c>
      <c r="J77" s="304">
        <f>SUM(J48:J76)</f>
        <v>39672</v>
      </c>
      <c r="K77" s="304">
        <f>SUM(K48:K76)</f>
        <v>8079.5</v>
      </c>
      <c r="L77" s="304">
        <f>SUM(L48:L76)</f>
        <v>244376.5</v>
      </c>
      <c r="M77" s="304"/>
      <c r="N77" s="305">
        <f>SUM(N48:N76)</f>
        <v>814805.01463571005</v>
      </c>
      <c r="O77" s="306"/>
    </row>
    <row r="78" spans="1:15" x14ac:dyDescent="0.2">
      <c r="A78" s="528" t="s">
        <v>586</v>
      </c>
      <c r="B78" s="528"/>
      <c r="C78" s="528"/>
      <c r="D78" s="528"/>
      <c r="E78" s="283"/>
      <c r="F78" s="315">
        <f>F45+F77</f>
        <v>134.5</v>
      </c>
      <c r="G78" s="315"/>
      <c r="H78" s="316">
        <f t="shared" ref="H78:N78" si="2">H45+H77</f>
        <v>6520.6799999999994</v>
      </c>
      <c r="I78" s="316">
        <f t="shared" si="2"/>
        <v>11765.364289994006</v>
      </c>
      <c r="J78" s="316">
        <f t="shared" si="2"/>
        <v>39672</v>
      </c>
      <c r="K78" s="316">
        <f t="shared" si="2"/>
        <v>8079.5</v>
      </c>
      <c r="L78" s="316">
        <f t="shared" si="2"/>
        <v>372997</v>
      </c>
      <c r="M78" s="316">
        <f t="shared" si="2"/>
        <v>1293.75</v>
      </c>
      <c r="N78" s="317">
        <f t="shared" si="2"/>
        <v>1207983.2972899941</v>
      </c>
      <c r="O78" s="318"/>
    </row>
    <row r="79" spans="1:15" x14ac:dyDescent="0.2">
      <c r="A79" s="319"/>
      <c r="B79" s="320"/>
      <c r="C79" s="319"/>
      <c r="D79" s="319"/>
      <c r="E79" s="319"/>
      <c r="F79" s="321"/>
      <c r="G79" s="322"/>
      <c r="H79" s="322"/>
      <c r="I79" s="322"/>
      <c r="J79" s="322"/>
      <c r="K79" s="322"/>
      <c r="L79" s="322"/>
      <c r="M79" s="322"/>
      <c r="N79" s="323"/>
    </row>
    <row r="80" spans="1:15" x14ac:dyDescent="0.2">
      <c r="A80" s="319"/>
      <c r="B80" s="320"/>
      <c r="C80" s="319"/>
      <c r="D80" s="319"/>
      <c r="E80" s="319"/>
      <c r="F80" s="321"/>
      <c r="G80" s="322"/>
      <c r="H80" s="322"/>
      <c r="I80" s="322"/>
      <c r="J80" s="322"/>
      <c r="K80" s="322"/>
      <c r="L80" s="322"/>
      <c r="M80" s="322"/>
      <c r="N80" s="323"/>
    </row>
    <row r="81" spans="1:14" x14ac:dyDescent="0.2">
      <c r="A81" s="319"/>
      <c r="B81" s="320"/>
      <c r="C81" s="319"/>
      <c r="D81" s="319"/>
      <c r="E81" s="319"/>
      <c r="F81" s="321"/>
      <c r="G81" s="322"/>
      <c r="H81" s="322"/>
      <c r="I81" s="322"/>
      <c r="J81" s="322"/>
      <c r="K81" s="322"/>
      <c r="L81" s="322"/>
      <c r="M81" s="322"/>
      <c r="N81" s="323"/>
    </row>
    <row r="82" spans="1:14" ht="15" x14ac:dyDescent="0.2">
      <c r="A82" s="529" t="s">
        <v>587</v>
      </c>
      <c r="B82" s="530"/>
      <c r="C82" s="530"/>
      <c r="D82" s="530"/>
      <c r="E82" s="530"/>
      <c r="F82" s="530"/>
      <c r="G82" s="530"/>
      <c r="H82" s="530"/>
      <c r="I82" s="530"/>
      <c r="J82" s="530"/>
      <c r="K82" s="530"/>
      <c r="L82" s="530"/>
      <c r="M82" s="530"/>
      <c r="N82" s="530"/>
    </row>
  </sheetData>
  <mergeCells count="26">
    <mergeCell ref="A1:N1"/>
    <mergeCell ref="A2:N2"/>
    <mergeCell ref="A3:N3"/>
    <mergeCell ref="A4:L4"/>
    <mergeCell ref="A5:L5"/>
    <mergeCell ref="M5:N5"/>
    <mergeCell ref="A34:N34"/>
    <mergeCell ref="A6:N6"/>
    <mergeCell ref="A7:N7"/>
    <mergeCell ref="A8:N8"/>
    <mergeCell ref="A9:N9"/>
    <mergeCell ref="A10:N10"/>
    <mergeCell ref="A11:N11"/>
    <mergeCell ref="A13:N13"/>
    <mergeCell ref="A18:N18"/>
    <mergeCell ref="A22:N22"/>
    <mergeCell ref="A26:N26"/>
    <mergeCell ref="A28:N28"/>
    <mergeCell ref="A78:D78"/>
    <mergeCell ref="A82:N82"/>
    <mergeCell ref="A36:N36"/>
    <mergeCell ref="A38:N38"/>
    <mergeCell ref="A44:N44"/>
    <mergeCell ref="A46:N46"/>
    <mergeCell ref="A70:N70"/>
    <mergeCell ref="A77:D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F11" sqref="F11"/>
    </sheetView>
  </sheetViews>
  <sheetFormatPr defaultRowHeight="12.75" x14ac:dyDescent="0.2"/>
  <cols>
    <col min="1" max="1" width="5.85546875" style="62" customWidth="1"/>
    <col min="2" max="2" width="35.42578125" style="32" customWidth="1"/>
    <col min="3" max="3" width="9.140625" style="31"/>
    <col min="4" max="4" width="9.42578125" style="35" bestFit="1" customWidth="1"/>
    <col min="5" max="5" width="10.7109375" style="29" customWidth="1"/>
    <col min="6" max="6" width="9.140625" style="35"/>
  </cols>
  <sheetData>
    <row r="1" spans="1:6" ht="32.25" customHeight="1" x14ac:dyDescent="0.2">
      <c r="A1" s="505" t="s">
        <v>605</v>
      </c>
      <c r="B1" s="505"/>
      <c r="C1" s="505"/>
      <c r="D1" s="505"/>
      <c r="E1" s="505"/>
      <c r="F1" s="505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37" t="s">
        <v>96</v>
      </c>
      <c r="F2" s="36" t="s">
        <v>97</v>
      </c>
    </row>
    <row r="3" spans="1:6" x14ac:dyDescent="0.2">
      <c r="A3" s="67" t="s">
        <v>99</v>
      </c>
      <c r="B3" s="60" t="s">
        <v>77</v>
      </c>
      <c r="C3" s="37" t="s">
        <v>98</v>
      </c>
      <c r="D3" s="36">
        <f>'Прибуд. терит'!D161</f>
        <v>140050.45000000001</v>
      </c>
      <c r="E3" s="37"/>
      <c r="F3" s="36"/>
    </row>
    <row r="4" spans="1:6" ht="25.5" x14ac:dyDescent="0.2">
      <c r="A4" s="67" t="s">
        <v>100</v>
      </c>
      <c r="B4" s="60" t="s">
        <v>296</v>
      </c>
      <c r="C4" s="37" t="s">
        <v>110</v>
      </c>
      <c r="D4" s="36">
        <f>F4</f>
        <v>16.865420279383429</v>
      </c>
      <c r="E4" s="36"/>
      <c r="F4" s="36">
        <f>(D3*D6/D7)/100</f>
        <v>16.865420279383429</v>
      </c>
    </row>
    <row r="5" spans="1:6" x14ac:dyDescent="0.2">
      <c r="A5" s="67" t="s">
        <v>219</v>
      </c>
      <c r="B5" s="60" t="s">
        <v>280</v>
      </c>
      <c r="C5" s="37" t="s">
        <v>110</v>
      </c>
      <c r="D5" s="36">
        <v>17</v>
      </c>
      <c r="E5" s="36"/>
      <c r="F5" s="36"/>
    </row>
    <row r="6" spans="1:6" ht="38.25" x14ac:dyDescent="0.2">
      <c r="A6" s="67" t="s">
        <v>281</v>
      </c>
      <c r="B6" s="60" t="s">
        <v>102</v>
      </c>
      <c r="C6" s="37" t="s">
        <v>101</v>
      </c>
      <c r="D6" s="36">
        <v>2</v>
      </c>
      <c r="E6" s="36"/>
      <c r="F6" s="36"/>
    </row>
    <row r="7" spans="1:6" x14ac:dyDescent="0.2">
      <c r="A7" s="67" t="s">
        <v>297</v>
      </c>
      <c r="B7" s="50" t="s">
        <v>298</v>
      </c>
      <c r="C7" s="37" t="s">
        <v>107</v>
      </c>
      <c r="D7" s="36">
        <v>166.08</v>
      </c>
      <c r="E7" s="36"/>
      <c r="F7" s="36"/>
    </row>
    <row r="8" spans="1:6" x14ac:dyDescent="0.2">
      <c r="A8" s="67"/>
      <c r="B8" s="60"/>
      <c r="C8" s="37"/>
      <c r="D8" s="36"/>
      <c r="E8" s="36"/>
      <c r="F8" s="36"/>
    </row>
    <row r="9" spans="1:6" x14ac:dyDescent="0.2">
      <c r="A9" s="68" t="s">
        <v>5</v>
      </c>
      <c r="B9" s="63" t="s">
        <v>134</v>
      </c>
      <c r="C9" s="37"/>
      <c r="D9" s="36"/>
      <c r="E9" s="37"/>
      <c r="F9" s="64">
        <f>SUM(F10:F16)</f>
        <v>39548.398629937379</v>
      </c>
    </row>
    <row r="10" spans="1:6" x14ac:dyDescent="0.2">
      <c r="A10" s="67" t="s">
        <v>112</v>
      </c>
      <c r="B10" s="485" t="s">
        <v>135</v>
      </c>
      <c r="C10" s="66" t="s">
        <v>120</v>
      </c>
      <c r="D10" s="93">
        <f>D4*6</f>
        <v>101.19252167630057</v>
      </c>
      <c r="E10" s="37">
        <v>17</v>
      </c>
      <c r="F10" s="36">
        <f t="shared" ref="F10:F16" si="0">D10*E10</f>
        <v>1720.2728684971098</v>
      </c>
    </row>
    <row r="11" spans="1:6" x14ac:dyDescent="0.2">
      <c r="A11" s="67" t="s">
        <v>113</v>
      </c>
      <c r="B11" s="482" t="s">
        <v>632</v>
      </c>
      <c r="C11" s="66" t="s">
        <v>120</v>
      </c>
      <c r="D11" s="93">
        <f>D4</f>
        <v>16.865420279383429</v>
      </c>
      <c r="E11" s="483">
        <v>490</v>
      </c>
      <c r="F11" s="36">
        <f t="shared" si="0"/>
        <v>8264.0559368978793</v>
      </c>
    </row>
    <row r="12" spans="1:6" x14ac:dyDescent="0.2">
      <c r="A12" s="67" t="s">
        <v>199</v>
      </c>
      <c r="B12" s="482" t="s">
        <v>630</v>
      </c>
      <c r="C12" s="66" t="s">
        <v>120</v>
      </c>
      <c r="D12" s="93">
        <f>D4</f>
        <v>16.865420279383429</v>
      </c>
      <c r="E12" s="483">
        <v>468</v>
      </c>
      <c r="F12" s="36">
        <f t="shared" si="0"/>
        <v>7893.0166907514449</v>
      </c>
    </row>
    <row r="13" spans="1:6" x14ac:dyDescent="0.2">
      <c r="A13" s="67" t="s">
        <v>200</v>
      </c>
      <c r="B13" s="485" t="s">
        <v>136</v>
      </c>
      <c r="C13" s="66" t="s">
        <v>120</v>
      </c>
      <c r="D13" s="93">
        <f>D4</f>
        <v>16.865420279383429</v>
      </c>
      <c r="E13" s="37">
        <v>175</v>
      </c>
      <c r="F13" s="36">
        <f t="shared" si="0"/>
        <v>2951.4485488921</v>
      </c>
    </row>
    <row r="14" spans="1:6" x14ac:dyDescent="0.2">
      <c r="A14" s="67" t="s">
        <v>201</v>
      </c>
      <c r="B14" s="485" t="s">
        <v>631</v>
      </c>
      <c r="C14" s="66" t="s">
        <v>120</v>
      </c>
      <c r="D14" s="93">
        <f>D4</f>
        <v>16.865420279383429</v>
      </c>
      <c r="E14" s="483">
        <v>276</v>
      </c>
      <c r="F14" s="36">
        <f t="shared" si="0"/>
        <v>4654.8559971098266</v>
      </c>
    </row>
    <row r="15" spans="1:6" x14ac:dyDescent="0.2">
      <c r="A15" s="67" t="s">
        <v>202</v>
      </c>
      <c r="B15" s="482" t="s">
        <v>633</v>
      </c>
      <c r="C15" s="66" t="s">
        <v>120</v>
      </c>
      <c r="D15" s="93">
        <f>D4</f>
        <v>16.865420279383429</v>
      </c>
      <c r="E15" s="483">
        <v>562.94000000000005</v>
      </c>
      <c r="F15" s="36">
        <f t="shared" si="0"/>
        <v>9494.2196920761089</v>
      </c>
    </row>
    <row r="16" spans="1:6" x14ac:dyDescent="0.2">
      <c r="A16" s="67" t="s">
        <v>245</v>
      </c>
      <c r="B16" s="482" t="s">
        <v>634</v>
      </c>
      <c r="C16" s="66" t="s">
        <v>120</v>
      </c>
      <c r="D16" s="93">
        <f>D4</f>
        <v>16.865420279383429</v>
      </c>
      <c r="E16" s="484">
        <v>271</v>
      </c>
      <c r="F16" s="36">
        <f t="shared" si="0"/>
        <v>4570.5288957129096</v>
      </c>
    </row>
    <row r="17" spans="1:6" x14ac:dyDescent="0.2">
      <c r="A17" s="68" t="s">
        <v>6</v>
      </c>
      <c r="B17" s="63" t="s">
        <v>118</v>
      </c>
      <c r="C17" s="37"/>
      <c r="D17" s="92"/>
      <c r="E17" s="37"/>
      <c r="F17" s="64">
        <f>SUM(F18:F30)</f>
        <v>15204.056959296722</v>
      </c>
    </row>
    <row r="18" spans="1:6" x14ac:dyDescent="0.2">
      <c r="A18" s="67" t="s">
        <v>203</v>
      </c>
      <c r="B18" s="50" t="s">
        <v>119</v>
      </c>
      <c r="C18" s="37" t="s">
        <v>120</v>
      </c>
      <c r="D18" s="92">
        <f>D4</f>
        <v>16.865420279383429</v>
      </c>
      <c r="E18" s="37">
        <v>25</v>
      </c>
      <c r="F18" s="36">
        <f>D18*E18</f>
        <v>421.63550698458573</v>
      </c>
    </row>
    <row r="19" spans="1:6" x14ac:dyDescent="0.2">
      <c r="A19" s="67" t="s">
        <v>204</v>
      </c>
      <c r="B19" s="50" t="s">
        <v>121</v>
      </c>
      <c r="C19" s="37" t="s">
        <v>120</v>
      </c>
      <c r="D19" s="92">
        <f>D4</f>
        <v>16.865420279383429</v>
      </c>
      <c r="E19" s="37">
        <v>11</v>
      </c>
      <c r="F19" s="36">
        <f t="shared" ref="F19:F30" si="1">D19*E19</f>
        <v>185.5196230732177</v>
      </c>
    </row>
    <row r="20" spans="1:6" x14ac:dyDescent="0.2">
      <c r="A20" s="67" t="s">
        <v>205</v>
      </c>
      <c r="B20" s="50" t="s">
        <v>122</v>
      </c>
      <c r="C20" s="37" t="s">
        <v>120</v>
      </c>
      <c r="D20" s="92">
        <f>D4</f>
        <v>16.865420279383429</v>
      </c>
      <c r="E20" s="37">
        <v>75</v>
      </c>
      <c r="F20" s="36">
        <f t="shared" si="1"/>
        <v>1264.9065209537571</v>
      </c>
    </row>
    <row r="21" spans="1:6" x14ac:dyDescent="0.2">
      <c r="A21" s="67" t="s">
        <v>206</v>
      </c>
      <c r="B21" s="50" t="s">
        <v>123</v>
      </c>
      <c r="C21" s="37" t="s">
        <v>120</v>
      </c>
      <c r="D21" s="92">
        <f>0.5*D4</f>
        <v>8.4327101396917143</v>
      </c>
      <c r="E21" s="37">
        <v>39</v>
      </c>
      <c r="F21" s="36">
        <f t="shared" si="1"/>
        <v>328.87569544797685</v>
      </c>
    </row>
    <row r="22" spans="1:6" x14ac:dyDescent="0.2">
      <c r="A22" s="67" t="s">
        <v>207</v>
      </c>
      <c r="B22" s="50" t="s">
        <v>124</v>
      </c>
      <c r="C22" s="37" t="s">
        <v>120</v>
      </c>
      <c r="D22" s="92">
        <f>D4</f>
        <v>16.865420279383429</v>
      </c>
      <c r="E22" s="37">
        <v>7.5</v>
      </c>
      <c r="F22" s="36">
        <f t="shared" si="1"/>
        <v>126.49065209537571</v>
      </c>
    </row>
    <row r="23" spans="1:6" x14ac:dyDescent="0.2">
      <c r="A23" s="67" t="s">
        <v>208</v>
      </c>
      <c r="B23" s="50" t="s">
        <v>126</v>
      </c>
      <c r="C23" s="37" t="s">
        <v>120</v>
      </c>
      <c r="D23" s="92">
        <v>50</v>
      </c>
      <c r="E23" s="37">
        <v>20</v>
      </c>
      <c r="F23" s="36">
        <f t="shared" si="1"/>
        <v>1000</v>
      </c>
    </row>
    <row r="24" spans="1:6" x14ac:dyDescent="0.2">
      <c r="A24" s="67" t="s">
        <v>209</v>
      </c>
      <c r="B24" s="50" t="s">
        <v>127</v>
      </c>
      <c r="C24" s="37" t="s">
        <v>120</v>
      </c>
      <c r="D24" s="92">
        <f>D4</f>
        <v>16.865420279383429</v>
      </c>
      <c r="E24" s="37">
        <v>5.7</v>
      </c>
      <c r="F24" s="36">
        <f t="shared" si="1"/>
        <v>96.132895592485553</v>
      </c>
    </row>
    <row r="25" spans="1:6" x14ac:dyDescent="0.2">
      <c r="A25" s="67" t="s">
        <v>210</v>
      </c>
      <c r="B25" s="50" t="s">
        <v>128</v>
      </c>
      <c r="C25" s="37" t="s">
        <v>120</v>
      </c>
      <c r="D25" s="92">
        <f>0.5*D4</f>
        <v>8.4327101396917143</v>
      </c>
      <c r="E25" s="37">
        <v>48</v>
      </c>
      <c r="F25" s="36">
        <f t="shared" si="1"/>
        <v>404.77008670520229</v>
      </c>
    </row>
    <row r="26" spans="1:6" x14ac:dyDescent="0.2">
      <c r="A26" s="67" t="s">
        <v>211</v>
      </c>
      <c r="B26" s="50" t="s">
        <v>129</v>
      </c>
      <c r="C26" s="37" t="s">
        <v>120</v>
      </c>
      <c r="D26" s="92">
        <f>D4</f>
        <v>16.865420279383429</v>
      </c>
      <c r="E26" s="37">
        <v>70</v>
      </c>
      <c r="F26" s="36">
        <f t="shared" si="1"/>
        <v>1180.5794195568401</v>
      </c>
    </row>
    <row r="27" spans="1:6" x14ac:dyDescent="0.2">
      <c r="A27" s="67" t="s">
        <v>212</v>
      </c>
      <c r="B27" s="50" t="s">
        <v>130</v>
      </c>
      <c r="C27" s="37" t="s">
        <v>120</v>
      </c>
      <c r="D27" s="92">
        <f>0.5*D4</f>
        <v>8.4327101396917143</v>
      </c>
      <c r="E27" s="37">
        <v>165</v>
      </c>
      <c r="F27" s="36">
        <f t="shared" si="1"/>
        <v>1391.3971730491328</v>
      </c>
    </row>
    <row r="28" spans="1:6" x14ac:dyDescent="0.2">
      <c r="A28" s="67" t="s">
        <v>213</v>
      </c>
      <c r="B28" s="50" t="s">
        <v>131</v>
      </c>
      <c r="C28" s="37" t="s">
        <v>120</v>
      </c>
      <c r="D28" s="92">
        <f>0.5*D4</f>
        <v>8.4327101396917143</v>
      </c>
      <c r="E28" s="37">
        <v>70</v>
      </c>
      <c r="F28" s="36">
        <f t="shared" si="1"/>
        <v>590.28970977842005</v>
      </c>
    </row>
    <row r="29" spans="1:6" x14ac:dyDescent="0.2">
      <c r="A29" s="67" t="s">
        <v>214</v>
      </c>
      <c r="B29" s="50" t="s">
        <v>132</v>
      </c>
      <c r="C29" s="37" t="s">
        <v>120</v>
      </c>
      <c r="D29" s="92">
        <f>D4</f>
        <v>16.865420279383429</v>
      </c>
      <c r="E29" s="37">
        <v>85</v>
      </c>
      <c r="F29" s="36">
        <f t="shared" si="1"/>
        <v>1433.5607237475915</v>
      </c>
    </row>
    <row r="30" spans="1:6" x14ac:dyDescent="0.2">
      <c r="A30" s="67" t="s">
        <v>215</v>
      </c>
      <c r="B30" s="50" t="s">
        <v>133</v>
      </c>
      <c r="C30" s="37" t="s">
        <v>120</v>
      </c>
      <c r="D30" s="92">
        <f>6*D4</f>
        <v>101.19252167630057</v>
      </c>
      <c r="E30" s="37">
        <v>67</v>
      </c>
      <c r="F30" s="36">
        <f t="shared" si="1"/>
        <v>6779.8989523121381</v>
      </c>
    </row>
    <row r="31" spans="1:6" s="70" customFormat="1" x14ac:dyDescent="0.2">
      <c r="A31" s="68" t="s">
        <v>7</v>
      </c>
      <c r="B31" s="63" t="s">
        <v>137</v>
      </c>
      <c r="C31" s="71" t="s">
        <v>103</v>
      </c>
      <c r="D31" s="64"/>
      <c r="E31" s="71"/>
      <c r="F31" s="64">
        <f>F9+F17</f>
        <v>54752.455589234101</v>
      </c>
    </row>
    <row r="32" spans="1:6" s="70" customFormat="1" x14ac:dyDescent="0.2">
      <c r="A32" s="68" t="s">
        <v>8</v>
      </c>
      <c r="B32" s="63" t="s">
        <v>138</v>
      </c>
      <c r="C32" s="71" t="s">
        <v>103</v>
      </c>
      <c r="D32" s="64"/>
      <c r="E32" s="71"/>
      <c r="F32" s="64">
        <f>F31/D4/12</f>
        <v>270.5360765906143</v>
      </c>
    </row>
    <row r="33" spans="1:23" x14ac:dyDescent="0.2">
      <c r="B33" s="32" t="s">
        <v>635</v>
      </c>
    </row>
    <row r="35" spans="1:23" s="106" customFormat="1" ht="15.75" customHeight="1" x14ac:dyDescent="0.2">
      <c r="A35" s="351"/>
      <c r="B35" s="358" t="s">
        <v>234</v>
      </c>
      <c r="C35" s="359"/>
      <c r="D35" s="359"/>
      <c r="E35" s="507" t="s">
        <v>604</v>
      </c>
      <c r="F35" s="507"/>
      <c r="G35" s="361"/>
      <c r="H35" s="506"/>
      <c r="I35" s="506"/>
      <c r="J35" s="506"/>
      <c r="K35" s="506"/>
      <c r="L35" s="506"/>
      <c r="M35" s="359"/>
      <c r="N35" s="362"/>
      <c r="O35" s="362"/>
      <c r="P35" s="89"/>
      <c r="Q35" s="89"/>
      <c r="R35" s="89"/>
      <c r="S35" s="89"/>
      <c r="T35" s="89"/>
      <c r="U35" s="362"/>
      <c r="V35" s="362"/>
      <c r="W35" s="89"/>
    </row>
  </sheetData>
  <mergeCells count="3">
    <mergeCell ref="A1:F1"/>
    <mergeCell ref="H35:L35"/>
    <mergeCell ref="E35:F35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G18" sqref="G18"/>
    </sheetView>
  </sheetViews>
  <sheetFormatPr defaultRowHeight="11.25" x14ac:dyDescent="0.2"/>
  <cols>
    <col min="1" max="1" width="2.5703125" style="80" customWidth="1"/>
    <col min="2" max="2" width="53.42578125" style="80" customWidth="1"/>
    <col min="3" max="3" width="18.28515625" style="139" customWidth="1"/>
    <col min="4" max="4" width="16.28515625" style="139" customWidth="1"/>
    <col min="5" max="5" width="9.140625" style="80"/>
  </cols>
  <sheetData>
    <row r="1" spans="1:4" ht="18.75" x14ac:dyDescent="0.3">
      <c r="A1" s="142"/>
      <c r="B1" s="545" t="s">
        <v>600</v>
      </c>
      <c r="C1" s="545"/>
      <c r="D1" s="545"/>
    </row>
    <row r="2" spans="1:4" ht="18.75" x14ac:dyDescent="0.3">
      <c r="A2" s="142"/>
      <c r="B2" s="545" t="s">
        <v>627</v>
      </c>
      <c r="C2" s="545"/>
      <c r="D2" s="545"/>
    </row>
    <row r="3" spans="1:4" ht="18.75" x14ac:dyDescent="0.3">
      <c r="A3" s="142"/>
      <c r="B3" s="143"/>
      <c r="C3" s="144"/>
      <c r="D3" s="144"/>
    </row>
    <row r="4" spans="1:4" ht="22.5" customHeight="1" x14ac:dyDescent="0.2">
      <c r="A4" s="56"/>
      <c r="B4" s="546" t="s">
        <v>51</v>
      </c>
      <c r="C4" s="531" t="s">
        <v>247</v>
      </c>
      <c r="D4" s="111"/>
    </row>
    <row r="5" spans="1:4" ht="12.75" x14ac:dyDescent="0.2">
      <c r="A5" s="56"/>
      <c r="B5" s="546"/>
      <c r="C5" s="531"/>
      <c r="D5" s="112"/>
    </row>
    <row r="6" spans="1:4" ht="15.75" x14ac:dyDescent="0.25">
      <c r="A6" s="145"/>
      <c r="B6" s="114" t="s">
        <v>59</v>
      </c>
      <c r="C6" s="115">
        <f>C7+C11+C10</f>
        <v>2530539.3280587178</v>
      </c>
      <c r="D6" s="146"/>
    </row>
    <row r="7" spans="1:4" ht="31.5" x14ac:dyDescent="0.25">
      <c r="A7" s="145"/>
      <c r="B7" s="117" t="s">
        <v>53</v>
      </c>
      <c r="C7" s="118">
        <f>SUM(C8:C9)</f>
        <v>2452884.8980587176</v>
      </c>
      <c r="D7" s="147"/>
    </row>
    <row r="8" spans="1:4" ht="15.75" x14ac:dyDescent="0.25">
      <c r="A8" s="145"/>
      <c r="B8" s="120" t="s">
        <v>54</v>
      </c>
      <c r="C8" s="121">
        <f>(ЗП!N29+ЗП!N30+ЗП!N31+ЗП!N32+ЗП!N33+ЗП!N35+ЗП!N37)*12</f>
        <v>2010561.3918514079</v>
      </c>
      <c r="D8" s="148"/>
    </row>
    <row r="9" spans="1:4" ht="31.5" x14ac:dyDescent="0.25">
      <c r="A9" s="145"/>
      <c r="B9" s="120" t="s">
        <v>55</v>
      </c>
      <c r="C9" s="121">
        <f>C8*22/100</f>
        <v>442323.50620730972</v>
      </c>
      <c r="D9" s="148"/>
    </row>
    <row r="10" spans="1:4" ht="47.25" x14ac:dyDescent="0.25">
      <c r="A10" s="145"/>
      <c r="B10" s="117" t="s">
        <v>56</v>
      </c>
      <c r="C10" s="115">
        <f>Утрмання!C10</f>
        <v>77654.429999999993</v>
      </c>
      <c r="D10" s="148"/>
    </row>
    <row r="11" spans="1:4" ht="17.25" customHeight="1" x14ac:dyDescent="0.25">
      <c r="A11" s="145"/>
      <c r="B11" s="117" t="s">
        <v>57</v>
      </c>
      <c r="C11" s="115">
        <f>SUM(C12:C13)</f>
        <v>0</v>
      </c>
      <c r="D11" s="146"/>
    </row>
    <row r="12" spans="1:4" ht="15.75" x14ac:dyDescent="0.25">
      <c r="A12" s="145"/>
      <c r="B12" s="123" t="s">
        <v>58</v>
      </c>
      <c r="C12" s="121">
        <f>Утрмання!C8</f>
        <v>0</v>
      </c>
      <c r="D12" s="146"/>
    </row>
    <row r="13" spans="1:4" ht="15.75" x14ac:dyDescent="0.25">
      <c r="A13" s="145"/>
      <c r="B13" s="124" t="s">
        <v>45</v>
      </c>
      <c r="C13" s="125"/>
      <c r="D13" s="148"/>
    </row>
    <row r="15" spans="1:4" ht="15.75" x14ac:dyDescent="0.2">
      <c r="B15" s="149" t="s">
        <v>63</v>
      </c>
      <c r="C15" s="150" t="s">
        <v>61</v>
      </c>
      <c r="D15" s="150" t="s">
        <v>62</v>
      </c>
    </row>
    <row r="16" spans="1:4" ht="15.75" x14ac:dyDescent="0.2">
      <c r="B16" s="151" t="s">
        <v>19</v>
      </c>
      <c r="C16" s="152">
        <f>ЗП!O49</f>
        <v>1481139</v>
      </c>
      <c r="D16" s="153">
        <f>C16*12</f>
        <v>17773668</v>
      </c>
    </row>
    <row r="17" spans="1:23" ht="15.75" x14ac:dyDescent="0.2">
      <c r="B17" s="151" t="s">
        <v>21</v>
      </c>
      <c r="C17" s="154">
        <f>ЗП!O59</f>
        <v>3157050.4184325943</v>
      </c>
      <c r="D17" s="153">
        <f>C17*12</f>
        <v>37884605.021191135</v>
      </c>
    </row>
    <row r="18" spans="1:23" ht="15.75" x14ac:dyDescent="0.2">
      <c r="B18" s="151" t="s">
        <v>23</v>
      </c>
      <c r="C18" s="154">
        <f>ЗП!O69</f>
        <v>1162814.04</v>
      </c>
      <c r="D18" s="153">
        <f>C18*12</f>
        <v>13953768.48</v>
      </c>
    </row>
    <row r="19" spans="1:23" ht="15.75" x14ac:dyDescent="0.2">
      <c r="B19" s="101"/>
      <c r="C19" s="155">
        <f>SUM(C16:C18)</f>
        <v>5801003.4584325943</v>
      </c>
      <c r="D19" s="156">
        <f>SUM(D16:D18)</f>
        <v>69612041.501191139</v>
      </c>
    </row>
    <row r="20" spans="1:23" x14ac:dyDescent="0.2">
      <c r="B20" s="109"/>
    </row>
    <row r="21" spans="1:23" ht="15.75" x14ac:dyDescent="0.2">
      <c r="B21" s="102" t="s">
        <v>68</v>
      </c>
      <c r="C21" s="156"/>
      <c r="D21" s="90">
        <f>(C6/D19)*100</f>
        <v>3.6352034410819822</v>
      </c>
    </row>
    <row r="22" spans="1:23" x14ac:dyDescent="0.2">
      <c r="B22" s="109"/>
    </row>
    <row r="23" spans="1:23" x14ac:dyDescent="0.2">
      <c r="B23" s="109"/>
    </row>
    <row r="24" spans="1:23" s="106" customFormat="1" ht="15.75" customHeight="1" x14ac:dyDescent="0.2">
      <c r="A24" s="445"/>
      <c r="B24" s="358" t="s">
        <v>234</v>
      </c>
      <c r="C24" s="507" t="s">
        <v>615</v>
      </c>
      <c r="D24" s="507"/>
      <c r="G24" s="361"/>
      <c r="H24" s="506"/>
      <c r="I24" s="506"/>
      <c r="J24" s="506"/>
      <c r="K24" s="506"/>
      <c r="L24" s="506"/>
      <c r="M24" s="447"/>
      <c r="N24" s="362"/>
      <c r="O24" s="362"/>
      <c r="P24" s="89"/>
      <c r="Q24" s="89"/>
      <c r="R24" s="89"/>
      <c r="S24" s="89"/>
      <c r="T24" s="89"/>
      <c r="U24" s="362"/>
      <c r="V24" s="362"/>
      <c r="W24" s="89"/>
    </row>
    <row r="25" spans="1:23" x14ac:dyDescent="0.2">
      <c r="B25" s="109"/>
    </row>
    <row r="26" spans="1:23" x14ac:dyDescent="0.2">
      <c r="B26" s="109"/>
    </row>
  </sheetData>
  <mergeCells count="6">
    <mergeCell ref="C24:D24"/>
    <mergeCell ref="H24:L24"/>
    <mergeCell ref="B1:D1"/>
    <mergeCell ref="B2:D2"/>
    <mergeCell ref="B4:B5"/>
    <mergeCell ref="C4:C5"/>
  </mergeCells>
  <phoneticPr fontId="2" type="noConversion"/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90" workbookViewId="0">
      <selection activeCell="C20" sqref="C20"/>
    </sheetView>
  </sheetViews>
  <sheetFormatPr defaultRowHeight="11.25" x14ac:dyDescent="0.2"/>
  <cols>
    <col min="1" max="1" width="4.7109375" style="137" customWidth="1"/>
    <col min="2" max="2" width="52.140625" style="80" customWidth="1"/>
    <col min="3" max="3" width="19.28515625" style="139" customWidth="1"/>
    <col min="4" max="4" width="14.7109375" style="80" customWidth="1"/>
  </cols>
  <sheetData>
    <row r="1" spans="1:4" s="4" customFormat="1" ht="18.75" x14ac:dyDescent="0.3">
      <c r="A1" s="110"/>
      <c r="B1" s="545" t="s">
        <v>601</v>
      </c>
      <c r="C1" s="545"/>
      <c r="D1" s="545"/>
    </row>
    <row r="2" spans="1:4" s="4" customFormat="1" ht="18.75" x14ac:dyDescent="0.3">
      <c r="A2" s="110"/>
      <c r="B2" s="545" t="s">
        <v>627</v>
      </c>
      <c r="C2" s="545"/>
      <c r="D2" s="545"/>
    </row>
    <row r="3" spans="1:4" s="4" customFormat="1" ht="16.5" customHeight="1" x14ac:dyDescent="0.2">
      <c r="A3" s="547" t="s">
        <v>14</v>
      </c>
      <c r="B3" s="546" t="s">
        <v>51</v>
      </c>
      <c r="C3" s="531" t="s">
        <v>247</v>
      </c>
      <c r="D3" s="111"/>
    </row>
    <row r="4" spans="1:4" s="4" customFormat="1" ht="66" customHeight="1" x14ac:dyDescent="0.2">
      <c r="A4" s="548"/>
      <c r="B4" s="546"/>
      <c r="C4" s="531"/>
      <c r="D4" s="112"/>
    </row>
    <row r="5" spans="1:4" s="4" customFormat="1" ht="15.75" x14ac:dyDescent="0.25">
      <c r="A5" s="140">
        <v>1</v>
      </c>
      <c r="B5" s="114" t="s">
        <v>52</v>
      </c>
      <c r="C5" s="115">
        <f>C6+C10+C9</f>
        <v>2022550.1920000003</v>
      </c>
      <c r="D5" s="116"/>
    </row>
    <row r="6" spans="1:4" s="4" customFormat="1" ht="31.5" x14ac:dyDescent="0.25">
      <c r="A6" s="140">
        <v>2</v>
      </c>
      <c r="B6" s="117" t="s">
        <v>53</v>
      </c>
      <c r="C6" s="118">
        <f>SUM(C7:C8)</f>
        <v>1866179.8320000002</v>
      </c>
      <c r="D6" s="119"/>
    </row>
    <row r="7" spans="1:4" s="4" customFormat="1" ht="15.75" x14ac:dyDescent="0.25">
      <c r="A7" s="113" t="s">
        <v>171</v>
      </c>
      <c r="B7" s="120" t="s">
        <v>54</v>
      </c>
      <c r="C7" s="121">
        <f>'ЗП 92'!I28</f>
        <v>1529655.6</v>
      </c>
      <c r="D7" s="122"/>
    </row>
    <row r="8" spans="1:4" s="4" customFormat="1" ht="31.5" x14ac:dyDescent="0.25">
      <c r="A8" s="113" t="s">
        <v>172</v>
      </c>
      <c r="B8" s="120" t="s">
        <v>55</v>
      </c>
      <c r="C8" s="121">
        <f>'ЗП 92'!I29</f>
        <v>336524.23200000002</v>
      </c>
      <c r="D8" s="122"/>
    </row>
    <row r="9" spans="1:4" s="4" customFormat="1" ht="47.25" x14ac:dyDescent="0.25">
      <c r="A9" s="140" t="s">
        <v>4</v>
      </c>
      <c r="B9" s="117" t="s">
        <v>56</v>
      </c>
      <c r="C9" s="115">
        <f>Утрмання!C11</f>
        <v>0</v>
      </c>
      <c r="D9" s="122"/>
    </row>
    <row r="10" spans="1:4" s="4" customFormat="1" ht="15.75" x14ac:dyDescent="0.25">
      <c r="A10" s="140" t="s">
        <v>5</v>
      </c>
      <c r="B10" s="117" t="s">
        <v>57</v>
      </c>
      <c r="C10" s="115">
        <f>SUM(C11:C12)</f>
        <v>156370.35999999999</v>
      </c>
      <c r="D10" s="116"/>
    </row>
    <row r="11" spans="1:4" s="4" customFormat="1" ht="15.75" x14ac:dyDescent="0.25">
      <c r="A11" s="113" t="s">
        <v>112</v>
      </c>
      <c r="B11" s="123" t="s">
        <v>58</v>
      </c>
      <c r="C11" s="121">
        <f>Утрмання!C9</f>
        <v>0</v>
      </c>
      <c r="D11" s="116"/>
    </row>
    <row r="12" spans="1:4" s="4" customFormat="1" ht="15.75" x14ac:dyDescent="0.25">
      <c r="A12" s="113" t="s">
        <v>113</v>
      </c>
      <c r="B12" s="124" t="s">
        <v>45</v>
      </c>
      <c r="C12" s="125">
        <f>Утрмання!C13</f>
        <v>156370.35999999999</v>
      </c>
      <c r="D12" s="122"/>
    </row>
    <row r="13" spans="1:4" s="4" customFormat="1" ht="15.75" x14ac:dyDescent="0.2">
      <c r="A13" s="113"/>
      <c r="B13" s="126" t="s">
        <v>64</v>
      </c>
      <c r="C13" s="126"/>
      <c r="D13" s="111"/>
    </row>
    <row r="14" spans="1:4" s="4" customFormat="1" ht="15.75" x14ac:dyDescent="0.25">
      <c r="A14" s="140" t="s">
        <v>6</v>
      </c>
      <c r="B14" s="127" t="s">
        <v>65</v>
      </c>
      <c r="C14" s="128">
        <f>SUM(C15:C16)</f>
        <v>12443795.80890231</v>
      </c>
      <c r="D14" s="119"/>
    </row>
    <row r="15" spans="1:4" s="4" customFormat="1" ht="15.75" x14ac:dyDescent="0.25">
      <c r="A15" s="140" t="s">
        <v>7</v>
      </c>
      <c r="B15" s="129" t="s">
        <v>66</v>
      </c>
      <c r="C15" s="141">
        <f>'прямі в-ти'!C20</f>
        <v>9913256.4808435924</v>
      </c>
      <c r="D15" s="130"/>
    </row>
    <row r="16" spans="1:4" s="4" customFormat="1" ht="15.75" x14ac:dyDescent="0.25">
      <c r="A16" s="140" t="s">
        <v>8</v>
      </c>
      <c r="B16" s="129" t="s">
        <v>60</v>
      </c>
      <c r="C16" s="141">
        <f>'91'!C6</f>
        <v>2530539.3280587178</v>
      </c>
      <c r="D16" s="130"/>
    </row>
    <row r="17" spans="1:23" s="4" customFormat="1" ht="15.75" x14ac:dyDescent="0.25">
      <c r="A17" s="140" t="s">
        <v>9</v>
      </c>
      <c r="B17" s="131" t="s">
        <v>70</v>
      </c>
      <c r="C17" s="132">
        <f>(C5/C14)*100</f>
        <v>16.253482643560133</v>
      </c>
      <c r="D17" s="133"/>
    </row>
    <row r="18" spans="1:23" s="4" customFormat="1" ht="12.75" x14ac:dyDescent="0.2">
      <c r="A18" s="110"/>
      <c r="B18" s="134"/>
      <c r="C18" s="135"/>
      <c r="D18" s="136"/>
    </row>
    <row r="19" spans="1:23" s="4" customFormat="1" ht="12.75" x14ac:dyDescent="0.2">
      <c r="A19" s="110"/>
      <c r="B19" s="134"/>
      <c r="C19" s="135"/>
      <c r="D19" s="136"/>
    </row>
    <row r="20" spans="1:23" ht="15.75" x14ac:dyDescent="0.2">
      <c r="B20" s="89" t="s">
        <v>71</v>
      </c>
      <c r="C20" s="90">
        <f>C17+'91'!D21</f>
        <v>19.888686084642117</v>
      </c>
      <c r="D20" s="138"/>
    </row>
    <row r="21" spans="1:23" x14ac:dyDescent="0.2">
      <c r="D21" s="138"/>
    </row>
    <row r="22" spans="1:23" s="106" customFormat="1" ht="15.75" customHeight="1" x14ac:dyDescent="0.2">
      <c r="A22" s="445"/>
      <c r="B22" s="358" t="s">
        <v>234</v>
      </c>
      <c r="C22" s="507" t="s">
        <v>615</v>
      </c>
      <c r="D22" s="507"/>
      <c r="G22" s="361"/>
      <c r="H22" s="506"/>
      <c r="I22" s="506"/>
      <c r="J22" s="506"/>
      <c r="K22" s="506"/>
      <c r="L22" s="506"/>
      <c r="M22" s="447"/>
      <c r="N22" s="362"/>
      <c r="O22" s="362"/>
      <c r="P22" s="89"/>
      <c r="Q22" s="89"/>
      <c r="R22" s="89"/>
      <c r="S22" s="89"/>
      <c r="T22" s="89"/>
      <c r="U22" s="362"/>
      <c r="V22" s="362"/>
      <c r="W22" s="89"/>
    </row>
  </sheetData>
  <mergeCells count="7">
    <mergeCell ref="H22:L22"/>
    <mergeCell ref="A3:A4"/>
    <mergeCell ref="B1:D1"/>
    <mergeCell ref="B3:B4"/>
    <mergeCell ref="C3:C4"/>
    <mergeCell ref="B2:D2"/>
    <mergeCell ref="C22:D22"/>
  </mergeCells>
  <phoneticPr fontId="2" type="noConversion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24" sqref="G24"/>
    </sheetView>
  </sheetViews>
  <sheetFormatPr defaultRowHeight="15.75" x14ac:dyDescent="0.25"/>
  <cols>
    <col min="1" max="1" width="4.85546875" style="191" customWidth="1"/>
    <col min="2" max="2" width="46.42578125" style="44" customWidth="1"/>
    <col min="3" max="3" width="35" style="44" customWidth="1"/>
    <col min="5" max="5" width="4.85546875" style="191" customWidth="1"/>
    <col min="6" max="6" width="46.42578125" style="44" customWidth="1"/>
    <col min="7" max="7" width="35" style="44" customWidth="1"/>
  </cols>
  <sheetData>
    <row r="1" spans="1:7" ht="19.5" thickBot="1" x14ac:dyDescent="0.25">
      <c r="A1" s="549" t="s">
        <v>249</v>
      </c>
      <c r="B1" s="549"/>
      <c r="C1" s="549"/>
      <c r="E1" s="549"/>
      <c r="F1" s="549"/>
      <c r="G1" s="549"/>
    </row>
    <row r="2" spans="1:7" ht="56.25" x14ac:dyDescent="0.3">
      <c r="A2" s="171" t="s">
        <v>1</v>
      </c>
      <c r="B2" s="172" t="s">
        <v>64</v>
      </c>
      <c r="C2" s="173" t="s">
        <v>250</v>
      </c>
      <c r="E2" s="171" t="s">
        <v>1</v>
      </c>
      <c r="F2" s="172" t="s">
        <v>64</v>
      </c>
      <c r="G2" s="173" t="s">
        <v>250</v>
      </c>
    </row>
    <row r="3" spans="1:7" x14ac:dyDescent="0.2">
      <c r="A3" s="550">
        <v>1</v>
      </c>
      <c r="B3" s="174" t="s">
        <v>42</v>
      </c>
      <c r="C3" s="175"/>
      <c r="E3" s="550">
        <v>1</v>
      </c>
      <c r="F3" s="174" t="s">
        <v>42</v>
      </c>
      <c r="G3" s="175"/>
    </row>
    <row r="4" spans="1:7" x14ac:dyDescent="0.2">
      <c r="A4" s="550"/>
      <c r="B4" s="176" t="s">
        <v>251</v>
      </c>
      <c r="C4" s="177"/>
      <c r="E4" s="550"/>
      <c r="F4" s="176" t="s">
        <v>251</v>
      </c>
      <c r="G4" s="177"/>
    </row>
    <row r="5" spans="1:7" x14ac:dyDescent="0.25">
      <c r="A5" s="550"/>
      <c r="B5" s="178" t="s">
        <v>252</v>
      </c>
      <c r="C5" s="177">
        <v>1671698.93</v>
      </c>
      <c r="E5" s="550"/>
      <c r="F5" s="178" t="s">
        <v>252</v>
      </c>
      <c r="G5" s="177">
        <v>1671698.93</v>
      </c>
    </row>
    <row r="6" spans="1:7" x14ac:dyDescent="0.2">
      <c r="A6" s="550"/>
      <c r="B6" s="176" t="s">
        <v>253</v>
      </c>
      <c r="C6" s="177"/>
      <c r="E6" s="550"/>
      <c r="F6" s="176" t="s">
        <v>253</v>
      </c>
      <c r="G6" s="177"/>
    </row>
    <row r="7" spans="1:7" x14ac:dyDescent="0.25">
      <c r="A7" s="550"/>
      <c r="B7" s="178" t="s">
        <v>254</v>
      </c>
      <c r="C7" s="177">
        <v>362774.94</v>
      </c>
      <c r="E7" s="550"/>
      <c r="F7" s="178" t="s">
        <v>254</v>
      </c>
      <c r="G7" s="177">
        <v>362774.94</v>
      </c>
    </row>
    <row r="8" spans="1:7" x14ac:dyDescent="0.2">
      <c r="A8" s="550"/>
      <c r="B8" s="176" t="s">
        <v>255</v>
      </c>
      <c r="C8" s="177"/>
      <c r="E8" s="550"/>
      <c r="F8" s="176" t="s">
        <v>255</v>
      </c>
      <c r="G8" s="177"/>
    </row>
    <row r="9" spans="1:7" x14ac:dyDescent="0.25">
      <c r="A9" s="550"/>
      <c r="B9" s="178" t="s">
        <v>254</v>
      </c>
      <c r="C9" s="177"/>
      <c r="E9" s="550"/>
      <c r="F9" s="178" t="s">
        <v>254</v>
      </c>
      <c r="G9" s="177"/>
    </row>
    <row r="10" spans="1:7" x14ac:dyDescent="0.25">
      <c r="A10" s="550"/>
      <c r="B10" s="179" t="s">
        <v>256</v>
      </c>
      <c r="C10" s="177">
        <v>77654.429999999993</v>
      </c>
      <c r="E10" s="550"/>
      <c r="F10" s="179" t="s">
        <v>256</v>
      </c>
      <c r="G10" s="177">
        <v>77654.429999999993</v>
      </c>
    </row>
    <row r="11" spans="1:7" x14ac:dyDescent="0.25">
      <c r="A11" s="550"/>
      <c r="B11" s="178" t="s">
        <v>254</v>
      </c>
      <c r="C11" s="177"/>
      <c r="E11" s="550"/>
      <c r="F11" s="178" t="s">
        <v>254</v>
      </c>
      <c r="G11" s="177"/>
    </row>
    <row r="12" spans="1:7" x14ac:dyDescent="0.2">
      <c r="A12" s="550"/>
      <c r="B12" s="176" t="s">
        <v>257</v>
      </c>
      <c r="C12" s="177"/>
      <c r="E12" s="550"/>
      <c r="F12" s="176" t="s">
        <v>257</v>
      </c>
      <c r="G12" s="177"/>
    </row>
    <row r="13" spans="1:7" x14ac:dyDescent="0.25">
      <c r="A13" s="550"/>
      <c r="B13" s="178" t="s">
        <v>254</v>
      </c>
      <c r="C13" s="177">
        <v>156370.35999999999</v>
      </c>
      <c r="E13" s="550"/>
      <c r="F13" s="178" t="s">
        <v>254</v>
      </c>
      <c r="G13" s="177">
        <v>156370.35999999999</v>
      </c>
    </row>
    <row r="14" spans="1:7" x14ac:dyDescent="0.25">
      <c r="A14" s="550"/>
      <c r="B14" s="180" t="s">
        <v>43</v>
      </c>
      <c r="C14" s="181">
        <f>SUM(C4:C13)</f>
        <v>2268498.6599999997</v>
      </c>
      <c r="E14" s="550"/>
      <c r="F14" s="180" t="s">
        <v>43</v>
      </c>
      <c r="G14" s="181">
        <f>SUM(G4:G13)</f>
        <v>2268498.6599999997</v>
      </c>
    </row>
    <row r="15" spans="1:7" ht="31.5" x14ac:dyDescent="0.2">
      <c r="A15" s="550">
        <v>2</v>
      </c>
      <c r="B15" s="182" t="s">
        <v>258</v>
      </c>
      <c r="C15" s="183"/>
      <c r="E15" s="550">
        <v>2</v>
      </c>
      <c r="F15" s="182" t="s">
        <v>258</v>
      </c>
      <c r="G15" s="183"/>
    </row>
    <row r="16" spans="1:7" x14ac:dyDescent="0.2">
      <c r="A16" s="550"/>
      <c r="B16" s="184" t="s">
        <v>259</v>
      </c>
      <c r="C16" s="177">
        <v>3498936.61</v>
      </c>
      <c r="E16" s="550"/>
      <c r="F16" s="184" t="s">
        <v>259</v>
      </c>
      <c r="G16" s="177">
        <v>3498936.61</v>
      </c>
    </row>
    <row r="17" spans="1:7" x14ac:dyDescent="0.2">
      <c r="A17" s="550"/>
      <c r="B17" s="185" t="s">
        <v>260</v>
      </c>
      <c r="C17" s="177">
        <v>761656.97</v>
      </c>
      <c r="E17" s="550"/>
      <c r="F17" s="185" t="s">
        <v>260</v>
      </c>
      <c r="G17" s="177">
        <v>761656.97</v>
      </c>
    </row>
    <row r="18" spans="1:7" x14ac:dyDescent="0.2">
      <c r="A18" s="550"/>
      <c r="B18" s="184" t="s">
        <v>261</v>
      </c>
      <c r="C18" s="177"/>
      <c r="E18" s="550"/>
      <c r="F18" s="184" t="s">
        <v>261</v>
      </c>
      <c r="G18" s="177"/>
    </row>
    <row r="19" spans="1:7" x14ac:dyDescent="0.2">
      <c r="A19" s="550"/>
      <c r="B19" s="185" t="s">
        <v>321</v>
      </c>
      <c r="C19" s="177">
        <v>66218.240000000005</v>
      </c>
      <c r="E19" s="550"/>
      <c r="F19" s="185" t="s">
        <v>321</v>
      </c>
      <c r="G19" s="177">
        <v>66218.240000000005</v>
      </c>
    </row>
    <row r="20" spans="1:7" x14ac:dyDescent="0.2">
      <c r="A20" s="550"/>
      <c r="B20" s="185" t="s">
        <v>262</v>
      </c>
      <c r="C20" s="177">
        <v>57305.32</v>
      </c>
      <c r="E20" s="550"/>
      <c r="F20" s="185" t="s">
        <v>262</v>
      </c>
      <c r="G20" s="177">
        <v>57305.32</v>
      </c>
    </row>
    <row r="21" spans="1:7" x14ac:dyDescent="0.2">
      <c r="A21" s="550"/>
      <c r="B21" s="185" t="s">
        <v>263</v>
      </c>
      <c r="C21" s="177"/>
      <c r="E21" s="550"/>
      <c r="F21" s="185" t="s">
        <v>263</v>
      </c>
      <c r="G21" s="177"/>
    </row>
    <row r="22" spans="1:7" x14ac:dyDescent="0.2">
      <c r="A22" s="550"/>
      <c r="B22" s="185" t="s">
        <v>264</v>
      </c>
      <c r="C22" s="177">
        <v>27600</v>
      </c>
      <c r="E22" s="550"/>
      <c r="F22" s="185" t="s">
        <v>264</v>
      </c>
      <c r="G22" s="177">
        <v>27600</v>
      </c>
    </row>
    <row r="23" spans="1:7" x14ac:dyDescent="0.2">
      <c r="A23" s="550"/>
      <c r="B23" s="185" t="s">
        <v>265</v>
      </c>
      <c r="C23" s="177">
        <v>378377.55</v>
      </c>
      <c r="E23" s="550"/>
      <c r="F23" s="185" t="s">
        <v>265</v>
      </c>
      <c r="G23" s="177">
        <v>378377.55</v>
      </c>
    </row>
    <row r="24" spans="1:7" x14ac:dyDescent="0.2">
      <c r="A24" s="550"/>
      <c r="B24" s="185" t="s">
        <v>266</v>
      </c>
      <c r="C24" s="177">
        <v>1205492.25</v>
      </c>
      <c r="E24" s="550"/>
      <c r="F24" s="185" t="s">
        <v>266</v>
      </c>
      <c r="G24" s="177">
        <v>1205492.25</v>
      </c>
    </row>
    <row r="25" spans="1:7" x14ac:dyDescent="0.2">
      <c r="A25" s="550"/>
      <c r="B25" s="185" t="s">
        <v>267</v>
      </c>
      <c r="C25" s="177">
        <v>177463</v>
      </c>
      <c r="E25" s="550"/>
      <c r="F25" s="185" t="s">
        <v>267</v>
      </c>
      <c r="G25" s="177">
        <v>177463</v>
      </c>
    </row>
    <row r="26" spans="1:7" x14ac:dyDescent="0.2">
      <c r="A26" s="550"/>
      <c r="B26" s="186" t="s">
        <v>43</v>
      </c>
      <c r="C26" s="181">
        <f>SUM(C16:C25)</f>
        <v>6173049.9400000004</v>
      </c>
      <c r="E26" s="550"/>
      <c r="F26" s="186" t="s">
        <v>43</v>
      </c>
      <c r="G26" s="181">
        <f>SUM(G16:G25)</f>
        <v>6173049.9400000004</v>
      </c>
    </row>
    <row r="27" spans="1:7" x14ac:dyDescent="0.2">
      <c r="A27" s="550">
        <v>3</v>
      </c>
      <c r="B27" s="182" t="s">
        <v>47</v>
      </c>
      <c r="C27" s="183"/>
      <c r="E27" s="550">
        <v>3</v>
      </c>
      <c r="F27" s="182" t="s">
        <v>47</v>
      </c>
      <c r="G27" s="183"/>
    </row>
    <row r="28" spans="1:7" x14ac:dyDescent="0.2">
      <c r="A28" s="550"/>
      <c r="B28" s="185" t="s">
        <v>268</v>
      </c>
      <c r="C28" s="177"/>
      <c r="E28" s="550"/>
      <c r="F28" s="185" t="s">
        <v>268</v>
      </c>
      <c r="G28" s="177"/>
    </row>
    <row r="29" spans="1:7" x14ac:dyDescent="0.2">
      <c r="A29" s="550"/>
      <c r="B29" s="185" t="s">
        <v>269</v>
      </c>
      <c r="C29" s="177"/>
      <c r="E29" s="550"/>
      <c r="F29" s="185" t="s">
        <v>269</v>
      </c>
      <c r="G29" s="177"/>
    </row>
    <row r="30" spans="1:7" x14ac:dyDescent="0.2">
      <c r="A30" s="550"/>
      <c r="B30" s="185" t="s">
        <v>270</v>
      </c>
      <c r="C30" s="177"/>
      <c r="E30" s="550"/>
      <c r="F30" s="185" t="s">
        <v>323</v>
      </c>
      <c r="G30" s="177"/>
    </row>
    <row r="31" spans="1:7" x14ac:dyDescent="0.2">
      <c r="A31" s="550"/>
      <c r="B31" s="186" t="s">
        <v>43</v>
      </c>
      <c r="C31" s="181">
        <f>SUM(C27:C30)</f>
        <v>0</v>
      </c>
      <c r="E31" s="550"/>
      <c r="F31" s="185" t="s">
        <v>324</v>
      </c>
      <c r="G31" s="177"/>
    </row>
    <row r="32" spans="1:7" x14ac:dyDescent="0.2">
      <c r="A32" s="187">
        <v>4</v>
      </c>
      <c r="B32" s="182" t="s">
        <v>271</v>
      </c>
      <c r="C32" s="181"/>
      <c r="E32" s="550"/>
      <c r="F32" s="185" t="s">
        <v>325</v>
      </c>
      <c r="G32" s="177"/>
    </row>
    <row r="33" spans="1:7" ht="16.5" thickBot="1" x14ac:dyDescent="0.25">
      <c r="A33" s="188">
        <v>5</v>
      </c>
      <c r="B33" s="189" t="s">
        <v>272</v>
      </c>
      <c r="C33" s="190">
        <f>C14+C26+C31+C32</f>
        <v>8441548.5999999996</v>
      </c>
      <c r="E33" s="550"/>
      <c r="F33" s="185" t="s">
        <v>326</v>
      </c>
      <c r="G33" s="177"/>
    </row>
    <row r="34" spans="1:7" x14ac:dyDescent="0.25">
      <c r="E34" s="550"/>
      <c r="F34" s="185" t="s">
        <v>270</v>
      </c>
      <c r="G34" s="177"/>
    </row>
    <row r="35" spans="1:7" x14ac:dyDescent="0.25">
      <c r="E35" s="550"/>
      <c r="F35" s="185" t="s">
        <v>327</v>
      </c>
      <c r="G35" s="177"/>
    </row>
    <row r="36" spans="1:7" x14ac:dyDescent="0.25">
      <c r="E36" s="550"/>
      <c r="F36" s="186" t="s">
        <v>43</v>
      </c>
      <c r="G36" s="181"/>
    </row>
    <row r="37" spans="1:7" x14ac:dyDescent="0.25">
      <c r="E37" s="340">
        <v>4</v>
      </c>
      <c r="F37" s="182" t="s">
        <v>271</v>
      </c>
      <c r="G37" s="181"/>
    </row>
    <row r="38" spans="1:7" ht="16.5" thickBot="1" x14ac:dyDescent="0.3">
      <c r="E38" s="188">
        <v>5</v>
      </c>
      <c r="F38" s="189" t="s">
        <v>272</v>
      </c>
      <c r="G38" s="190">
        <f>G14+G26+G37</f>
        <v>8441548.5999999996</v>
      </c>
    </row>
  </sheetData>
  <mergeCells count="8">
    <mergeCell ref="A1:C1"/>
    <mergeCell ref="A3:A14"/>
    <mergeCell ref="A15:A26"/>
    <mergeCell ref="A27:A31"/>
    <mergeCell ref="E1:G1"/>
    <mergeCell ref="E3:E14"/>
    <mergeCell ref="E15:E26"/>
    <mergeCell ref="E27:E3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C23" sqref="C23:D23"/>
    </sheetView>
  </sheetViews>
  <sheetFormatPr defaultRowHeight="11.25" x14ac:dyDescent="0.2"/>
  <cols>
    <col min="1" max="1" width="5.42578125" style="139" customWidth="1"/>
    <col min="2" max="2" width="48.28515625" style="80" customWidth="1"/>
    <col min="3" max="3" width="27" style="158" customWidth="1"/>
    <col min="4" max="4" width="12.7109375" style="80" bestFit="1" customWidth="1"/>
  </cols>
  <sheetData>
    <row r="1" spans="1:4" s="4" customFormat="1" ht="18.75" x14ac:dyDescent="0.3">
      <c r="A1" s="57"/>
      <c r="B1" s="545" t="s">
        <v>67</v>
      </c>
      <c r="C1" s="545"/>
      <c r="D1" s="157"/>
    </row>
    <row r="2" spans="1:4" s="4" customFormat="1" ht="18.75" x14ac:dyDescent="0.3">
      <c r="A2" s="57"/>
      <c r="B2" s="545" t="s">
        <v>627</v>
      </c>
      <c r="C2" s="545"/>
      <c r="D2" s="157"/>
    </row>
    <row r="3" spans="1:4" ht="12" thickBot="1" x14ac:dyDescent="0.25"/>
    <row r="4" spans="1:4" s="100" customFormat="1" ht="31.5" x14ac:dyDescent="0.2">
      <c r="A4" s="266" t="s">
        <v>14</v>
      </c>
      <c r="B4" s="267" t="s">
        <v>116</v>
      </c>
      <c r="C4" s="268" t="s">
        <v>248</v>
      </c>
      <c r="D4" s="108"/>
    </row>
    <row r="5" spans="1:4" s="100" customFormat="1" ht="15.75" x14ac:dyDescent="0.2">
      <c r="A5" s="269">
        <v>1</v>
      </c>
      <c r="B5" s="17" t="s">
        <v>44</v>
      </c>
      <c r="C5" s="177">
        <f>('Прибуд. терит'!F161+сіль!F161+'ТО тепло'!F161+'ТО вода'!F161+'ТО злив.кан'!F161)*12</f>
        <v>3400285.4793554912</v>
      </c>
      <c r="D5" s="108"/>
    </row>
    <row r="6" spans="1:4" s="100" customFormat="1" ht="15.75" x14ac:dyDescent="0.2">
      <c r="A6" s="269">
        <v>2</v>
      </c>
      <c r="B6" s="159" t="s">
        <v>69</v>
      </c>
      <c r="C6" s="177">
        <f>C5*22/100</f>
        <v>748062.80545820808</v>
      </c>
      <c r="D6" s="108"/>
    </row>
    <row r="7" spans="1:4" s="100" customFormat="1" ht="15.75" x14ac:dyDescent="0.2">
      <c r="A7" s="269">
        <v>3</v>
      </c>
      <c r="B7" s="185" t="s">
        <v>321</v>
      </c>
      <c r="C7" s="177">
        <f>Димовентканали!F161</f>
        <v>86324.479999999996</v>
      </c>
      <c r="D7" s="108"/>
    </row>
    <row r="8" spans="1:4" s="100" customFormat="1" ht="15.75" x14ac:dyDescent="0.2">
      <c r="A8" s="269">
        <v>4</v>
      </c>
      <c r="B8" s="185" t="s">
        <v>262</v>
      </c>
      <c r="C8" s="177">
        <v>57305.32</v>
      </c>
      <c r="D8" s="108"/>
    </row>
    <row r="9" spans="1:4" s="100" customFormat="1" ht="15.75" x14ac:dyDescent="0.2">
      <c r="A9" s="269">
        <v>5</v>
      </c>
      <c r="B9" s="185" t="s">
        <v>264</v>
      </c>
      <c r="C9" s="177">
        <f>(Дератизац!F161+Дезінсекц!F161)*2</f>
        <v>32258.248000000007</v>
      </c>
      <c r="D9" s="108"/>
    </row>
    <row r="10" spans="1:4" s="100" customFormat="1" ht="15.75" x14ac:dyDescent="0.2">
      <c r="A10" s="269">
        <v>8</v>
      </c>
      <c r="B10" s="185" t="s">
        <v>322</v>
      </c>
      <c r="C10" s="177">
        <f>'то ліфтів'!D9*12</f>
        <v>119118.12</v>
      </c>
      <c r="D10" s="108"/>
    </row>
    <row r="11" spans="1:4" s="100" customFormat="1" ht="15.75" x14ac:dyDescent="0.2">
      <c r="A11" s="269">
        <v>9</v>
      </c>
      <c r="B11" s="185" t="s">
        <v>265</v>
      </c>
      <c r="C11" s="177">
        <v>378377.55</v>
      </c>
      <c r="D11" s="108"/>
    </row>
    <row r="12" spans="1:4" s="100" customFormat="1" ht="15.75" x14ac:dyDescent="0.2">
      <c r="A12" s="269">
        <v>10</v>
      </c>
      <c r="B12" s="185" t="s">
        <v>266</v>
      </c>
      <c r="C12" s="177">
        <v>1205492.25</v>
      </c>
      <c r="D12" s="235">
        <f>матер1!F31+мат.сіль!F22+'матер. тепло'!F39+мат.вода!F41+'мат. канал'!F27+'мат вода'!F33+'мат тепло'!F38+'мат елкт'!F24+'мат. рул.шиф'!F49+'мат. рул.шиф'!F27+мат.кон.елем!F31</f>
        <v>557132.26095135557</v>
      </c>
    </row>
    <row r="13" spans="1:4" s="100" customFormat="1" ht="15.75" x14ac:dyDescent="0.2">
      <c r="A13" s="269">
        <v>11</v>
      </c>
      <c r="B13" s="185" t="s">
        <v>267</v>
      </c>
      <c r="C13" s="177">
        <v>177463</v>
      </c>
      <c r="D13" s="108"/>
    </row>
    <row r="14" spans="1:4" s="477" customFormat="1" ht="15.75" x14ac:dyDescent="0.2">
      <c r="A14" s="476">
        <v>12</v>
      </c>
      <c r="B14" s="185" t="s">
        <v>43</v>
      </c>
      <c r="C14" s="270">
        <f>SUM(C5:C13)</f>
        <v>6204687.2528136997</v>
      </c>
      <c r="D14" s="1"/>
    </row>
    <row r="15" spans="1:4" s="477" customFormat="1" ht="15.75" x14ac:dyDescent="0.2">
      <c r="A15" s="478">
        <v>13</v>
      </c>
      <c r="B15" s="479" t="s">
        <v>46</v>
      </c>
      <c r="C15" s="177"/>
      <c r="D15" s="1"/>
    </row>
    <row r="16" spans="1:4" s="477" customFormat="1" ht="15.75" x14ac:dyDescent="0.2">
      <c r="A16" s="476">
        <v>14</v>
      </c>
      <c r="B16" s="185" t="s">
        <v>48</v>
      </c>
      <c r="C16" s="177">
        <f>('ПР вода'!F161+'ПР тепло'!F161+'ПР елект'!F161+'ПР шиф.рул.'!G161+'ПР кон.елем'!F161)*12</f>
        <v>2670169.8590408959</v>
      </c>
      <c r="D16" s="1"/>
    </row>
    <row r="17" spans="1:20" s="477" customFormat="1" ht="15.75" x14ac:dyDescent="0.2">
      <c r="A17" s="476">
        <v>15</v>
      </c>
      <c r="B17" s="185" t="s">
        <v>69</v>
      </c>
      <c r="C17" s="177">
        <f>C16*22/100</f>
        <v>587437.36898899707</v>
      </c>
      <c r="D17" s="1"/>
    </row>
    <row r="18" spans="1:20" s="477" customFormat="1" ht="15.75" x14ac:dyDescent="0.2">
      <c r="A18" s="476">
        <v>16</v>
      </c>
      <c r="B18" s="185" t="s">
        <v>49</v>
      </c>
      <c r="C18" s="177">
        <v>450962</v>
      </c>
      <c r="D18" s="1"/>
    </row>
    <row r="19" spans="1:20" s="477" customFormat="1" ht="15.75" x14ac:dyDescent="0.2">
      <c r="A19" s="476">
        <v>18</v>
      </c>
      <c r="B19" s="185" t="s">
        <v>43</v>
      </c>
      <c r="C19" s="270">
        <f>SUM(C16:C18)</f>
        <v>3708569.2280298928</v>
      </c>
      <c r="D19" s="1"/>
    </row>
    <row r="20" spans="1:20" s="477" customFormat="1" ht="16.5" thickBot="1" x14ac:dyDescent="0.25">
      <c r="A20" s="480">
        <v>19</v>
      </c>
      <c r="B20" s="481" t="s">
        <v>50</v>
      </c>
      <c r="C20" s="271">
        <f>C19+C14</f>
        <v>9913256.4808435924</v>
      </c>
      <c r="D20" s="1"/>
    </row>
    <row r="21" spans="1:20" s="100" customFormat="1" ht="15.75" x14ac:dyDescent="0.2">
      <c r="A21" s="160"/>
      <c r="B21" s="108"/>
      <c r="C21" s="1"/>
      <c r="D21" s="108"/>
    </row>
    <row r="22" spans="1:20" s="100" customFormat="1" ht="15.75" x14ac:dyDescent="0.2">
      <c r="A22" s="160"/>
      <c r="B22" s="108"/>
      <c r="C22" s="1"/>
      <c r="D22" s="108"/>
    </row>
    <row r="23" spans="1:20" s="370" customFormat="1" ht="15.75" customHeight="1" x14ac:dyDescent="0.2">
      <c r="A23" s="474"/>
      <c r="B23" s="364" t="s">
        <v>234</v>
      </c>
      <c r="C23" s="511" t="s">
        <v>615</v>
      </c>
      <c r="D23" s="511"/>
      <c r="E23" s="503"/>
      <c r="F23" s="503"/>
      <c r="G23" s="503"/>
      <c r="H23" s="503"/>
      <c r="I23" s="503"/>
      <c r="J23" s="473"/>
      <c r="K23" s="368"/>
      <c r="L23" s="368"/>
      <c r="M23" s="369"/>
      <c r="N23" s="369"/>
      <c r="O23" s="369"/>
      <c r="P23" s="369"/>
      <c r="Q23" s="369"/>
      <c r="R23" s="368"/>
      <c r="S23" s="368"/>
      <c r="T23" s="369"/>
    </row>
  </sheetData>
  <mergeCells count="4">
    <mergeCell ref="B1:C1"/>
    <mergeCell ref="B2:C2"/>
    <mergeCell ref="C23:D23"/>
    <mergeCell ref="E23:I2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165"/>
  <sheetViews>
    <sheetView topLeftCell="A127" zoomScale="120" zoomScaleNormal="120" workbookViewId="0">
      <selection activeCell="E165" sqref="E165:F165"/>
    </sheetView>
  </sheetViews>
  <sheetFormatPr defaultRowHeight="12" x14ac:dyDescent="0.2"/>
  <cols>
    <col min="1" max="1" width="3.5703125" style="169" customWidth="1"/>
    <col min="2" max="2" width="15.7109375" style="232" bestFit="1" customWidth="1"/>
    <col min="3" max="3" width="9.140625" style="263" bestFit="1" customWidth="1"/>
    <col min="4" max="4" width="11.28515625" style="201" bestFit="1" customWidth="1"/>
    <col min="5" max="5" width="8.140625" style="47" customWidth="1"/>
    <col min="6" max="6" width="8.28515625" style="204" customWidth="1"/>
    <col min="7" max="7" width="6.28515625" style="204" customWidth="1"/>
    <col min="8" max="8" width="8.140625" style="39" customWidth="1"/>
    <col min="9" max="9" width="9.28515625" style="39" customWidth="1"/>
    <col min="10" max="10" width="12.5703125" style="204" customWidth="1"/>
  </cols>
  <sheetData>
    <row r="1" spans="1:10" ht="28.5" customHeight="1" x14ac:dyDescent="0.2">
      <c r="A1" s="508" t="s">
        <v>606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380" customFormat="1" ht="42" x14ac:dyDescent="0.2">
      <c r="A2" s="375" t="s">
        <v>1</v>
      </c>
      <c r="B2" s="376" t="s">
        <v>0</v>
      </c>
      <c r="C2" s="377" t="s">
        <v>72</v>
      </c>
      <c r="D2" s="378" t="s">
        <v>77</v>
      </c>
      <c r="E2" s="379" t="s">
        <v>79</v>
      </c>
      <c r="F2" s="377" t="s">
        <v>80</v>
      </c>
      <c r="G2" s="377" t="s">
        <v>276</v>
      </c>
      <c r="H2" s="375" t="s">
        <v>75</v>
      </c>
      <c r="I2" s="375" t="s">
        <v>81</v>
      </c>
      <c r="J2" s="377" t="s">
        <v>82</v>
      </c>
    </row>
    <row r="3" spans="1:10" s="380" customFormat="1" ht="10.5" x14ac:dyDescent="0.2">
      <c r="A3" s="381">
        <v>1</v>
      </c>
      <c r="B3" s="382" t="s">
        <v>331</v>
      </c>
      <c r="C3" s="383">
        <v>394.86</v>
      </c>
      <c r="D3" s="381">
        <f>[1]Лист1!$S$20</f>
        <v>171.5</v>
      </c>
      <c r="E3" s="379">
        <f t="shared" ref="E3:E57" si="0">D3/$E$163</f>
        <v>2.0652697495183042E-2</v>
      </c>
      <c r="F3" s="377">
        <f t="shared" ref="F3:F58" si="1">E3*$F$163</f>
        <v>138.41437861271675</v>
      </c>
      <c r="G3" s="377">
        <f>F3*22/100</f>
        <v>30.451163294797684</v>
      </c>
      <c r="H3" s="377">
        <f>F3*'92'!$C$20/100</f>
        <v>27.528801258291249</v>
      </c>
      <c r="I3" s="377">
        <f>E3*матер1!$F$32</f>
        <v>5.5872997513596276</v>
      </c>
      <c r="J3" s="377">
        <f>(F3+G3+H3+I3)/C3</f>
        <v>0.51152723222703067</v>
      </c>
    </row>
    <row r="4" spans="1:10" s="380" customFormat="1" ht="10.5" x14ac:dyDescent="0.2">
      <c r="A4" s="381">
        <v>2</v>
      </c>
      <c r="B4" s="382" t="s">
        <v>332</v>
      </c>
      <c r="C4" s="384">
        <v>326.89999999999998</v>
      </c>
      <c r="D4" s="381">
        <v>260</v>
      </c>
      <c r="E4" s="379">
        <f t="shared" si="0"/>
        <v>3.131021194605009E-2</v>
      </c>
      <c r="F4" s="377">
        <f t="shared" si="1"/>
        <v>209.84104046242771</v>
      </c>
      <c r="G4" s="377">
        <f t="shared" ref="G4:G67" si="2">F4*22/100</f>
        <v>46.165028901734097</v>
      </c>
      <c r="H4" s="377">
        <f>F4*'92'!$C$20/100</f>
        <v>41.734625814319095</v>
      </c>
      <c r="I4" s="377">
        <f>E4*матер1!$F$32</f>
        <v>8.4705418971049742</v>
      </c>
      <c r="J4" s="377">
        <f t="shared" ref="J4:J67" si="3">(F4+G4+H4+I4)/C4</f>
        <v>0.93671225780234291</v>
      </c>
    </row>
    <row r="5" spans="1:10" s="380" customFormat="1" ht="10.5" x14ac:dyDescent="0.2">
      <c r="A5" s="381">
        <v>3</v>
      </c>
      <c r="B5" s="382" t="s">
        <v>333</v>
      </c>
      <c r="C5" s="384">
        <v>490.6</v>
      </c>
      <c r="D5" s="381">
        <v>395</v>
      </c>
      <c r="E5" s="379">
        <f t="shared" si="0"/>
        <v>4.7567437379576097E-2</v>
      </c>
      <c r="F5" s="377">
        <f t="shared" si="1"/>
        <v>318.79696531791899</v>
      </c>
      <c r="G5" s="377">
        <f t="shared" si="2"/>
        <v>70.135332369942176</v>
      </c>
      <c r="H5" s="377">
        <f>F5*'92'!$C$20/100</f>
        <v>63.404527679446311</v>
      </c>
      <c r="I5" s="377">
        <f>E5*матер1!$F$32</f>
        <v>12.868707882140249</v>
      </c>
      <c r="J5" s="377">
        <f t="shared" si="3"/>
        <v>0.94823793976650561</v>
      </c>
    </row>
    <row r="6" spans="1:10" s="380" customFormat="1" ht="10.5" x14ac:dyDescent="0.2">
      <c r="A6" s="381">
        <v>4</v>
      </c>
      <c r="B6" s="382" t="s">
        <v>334</v>
      </c>
      <c r="C6" s="384">
        <v>341.5</v>
      </c>
      <c r="D6" s="381">
        <v>250.3</v>
      </c>
      <c r="E6" s="379">
        <f t="shared" si="0"/>
        <v>3.0142100192678222E-2</v>
      </c>
      <c r="F6" s="377">
        <f t="shared" si="1"/>
        <v>202.01235549132946</v>
      </c>
      <c r="G6" s="377">
        <f t="shared" si="2"/>
        <v>44.442718208092487</v>
      </c>
      <c r="H6" s="377">
        <f>F6*'92'!$C$20/100</f>
        <v>40.17760323586181</v>
      </c>
      <c r="I6" s="377">
        <f>E6*матер1!$F$32</f>
        <v>8.1545255263283654</v>
      </c>
      <c r="J6" s="377">
        <f t="shared" si="3"/>
        <v>0.86321289154205605</v>
      </c>
    </row>
    <row r="7" spans="1:10" s="380" customFormat="1" ht="10.5" x14ac:dyDescent="0.2">
      <c r="A7" s="381">
        <v>5</v>
      </c>
      <c r="B7" s="382" t="s">
        <v>335</v>
      </c>
      <c r="C7" s="384">
        <v>375.1</v>
      </c>
      <c r="D7" s="381">
        <f>[1]Лист1!$S$19</f>
        <v>152.5</v>
      </c>
      <c r="E7" s="379">
        <f t="shared" si="0"/>
        <v>1.8364643545279381E-2</v>
      </c>
      <c r="F7" s="377">
        <f t="shared" si="1"/>
        <v>123.07984104046241</v>
      </c>
      <c r="G7" s="377">
        <f t="shared" si="2"/>
        <v>27.077565028901731</v>
      </c>
      <c r="H7" s="377">
        <f>F7*'92'!$C$20/100</f>
        <v>24.478963218014087</v>
      </c>
      <c r="I7" s="377">
        <f>E7*матер1!$F$32</f>
        <v>4.9682986127250333</v>
      </c>
      <c r="J7" s="377">
        <f t="shared" si="3"/>
        <v>0.47881809624127758</v>
      </c>
    </row>
    <row r="8" spans="1:10" s="380" customFormat="1" ht="10.5" x14ac:dyDescent="0.2">
      <c r="A8" s="381">
        <v>6</v>
      </c>
      <c r="B8" s="382" t="s">
        <v>336</v>
      </c>
      <c r="C8" s="384">
        <v>386.23</v>
      </c>
      <c r="D8" s="381">
        <v>300</v>
      </c>
      <c r="E8" s="379">
        <f t="shared" si="0"/>
        <v>3.6127167630057792E-2</v>
      </c>
      <c r="F8" s="377">
        <f t="shared" si="1"/>
        <v>242.12427745664732</v>
      </c>
      <c r="G8" s="377">
        <f t="shared" si="2"/>
        <v>53.267341040462405</v>
      </c>
      <c r="H8" s="377">
        <f>F8*'92'!$C$20/100</f>
        <v>48.155337478060481</v>
      </c>
      <c r="I8" s="377">
        <f>E8*матер1!$F$32</f>
        <v>9.7737021889672775</v>
      </c>
      <c r="J8" s="377">
        <f t="shared" si="3"/>
        <v>0.91479340849788326</v>
      </c>
    </row>
    <row r="9" spans="1:10" s="380" customFormat="1" ht="10.5" x14ac:dyDescent="0.2">
      <c r="A9" s="381">
        <v>7</v>
      </c>
      <c r="B9" s="382" t="s">
        <v>337</v>
      </c>
      <c r="C9" s="384">
        <v>917</v>
      </c>
      <c r="D9" s="381">
        <v>514</v>
      </c>
      <c r="E9" s="379">
        <f t="shared" si="0"/>
        <v>6.1897880539499024E-2</v>
      </c>
      <c r="F9" s="377">
        <f t="shared" si="1"/>
        <v>414.83959537572247</v>
      </c>
      <c r="G9" s="377">
        <f t="shared" si="2"/>
        <v>91.26471098265894</v>
      </c>
      <c r="H9" s="377">
        <f>F9*'92'!$C$20/100</f>
        <v>82.506144879076984</v>
      </c>
      <c r="I9" s="377">
        <f>E9*матер1!$F$32</f>
        <v>16.745609750430603</v>
      </c>
      <c r="J9" s="377">
        <f t="shared" si="3"/>
        <v>0.66014837621361944</v>
      </c>
    </row>
    <row r="10" spans="1:10" s="380" customFormat="1" ht="10.5" x14ac:dyDescent="0.2">
      <c r="A10" s="381">
        <v>8</v>
      </c>
      <c r="B10" s="382" t="s">
        <v>338</v>
      </c>
      <c r="C10" s="384">
        <v>354.4</v>
      </c>
      <c r="D10" s="381">
        <v>151</v>
      </c>
      <c r="E10" s="379">
        <f t="shared" si="0"/>
        <v>1.818400770712909E-2</v>
      </c>
      <c r="F10" s="377">
        <f t="shared" si="1"/>
        <v>121.86921965317916</v>
      </c>
      <c r="G10" s="377">
        <f t="shared" si="2"/>
        <v>26.811228323699414</v>
      </c>
      <c r="H10" s="377">
        <f>F10*'92'!$C$20/100</f>
        <v>24.238186530623778</v>
      </c>
      <c r="I10" s="377">
        <f>E10*матер1!$F$32</f>
        <v>4.919430101780196</v>
      </c>
      <c r="J10" s="377">
        <f t="shared" si="3"/>
        <v>0.50180040803973636</v>
      </c>
    </row>
    <row r="11" spans="1:10" s="380" customFormat="1" ht="10.5" x14ac:dyDescent="0.2">
      <c r="A11" s="381">
        <v>9</v>
      </c>
      <c r="B11" s="382" t="s">
        <v>339</v>
      </c>
      <c r="C11" s="384">
        <v>634.4</v>
      </c>
      <c r="D11" s="381">
        <v>407</v>
      </c>
      <c r="E11" s="379">
        <f t="shared" si="0"/>
        <v>4.9012524084778408E-2</v>
      </c>
      <c r="F11" s="377">
        <f t="shared" si="1"/>
        <v>328.48193641618491</v>
      </c>
      <c r="G11" s="377">
        <f t="shared" si="2"/>
        <v>72.266026011560683</v>
      </c>
      <c r="H11" s="377">
        <f>F11*'92'!$C$20/100</f>
        <v>65.330741178568729</v>
      </c>
      <c r="I11" s="377">
        <f>E11*матер1!$F$32</f>
        <v>13.25965596969894</v>
      </c>
      <c r="J11" s="377">
        <f t="shared" si="3"/>
        <v>0.75557748987391748</v>
      </c>
    </row>
    <row r="12" spans="1:10" s="380" customFormat="1" ht="10.5" x14ac:dyDescent="0.2">
      <c r="A12" s="381">
        <v>10</v>
      </c>
      <c r="B12" s="382" t="s">
        <v>340</v>
      </c>
      <c r="C12" s="384">
        <v>637.20000000000005</v>
      </c>
      <c r="D12" s="381">
        <v>487</v>
      </c>
      <c r="E12" s="379">
        <f t="shared" si="0"/>
        <v>5.864643545279382E-2</v>
      </c>
      <c r="F12" s="377">
        <f t="shared" si="1"/>
        <v>393.04841040462418</v>
      </c>
      <c r="G12" s="377">
        <f t="shared" si="2"/>
        <v>86.470650289017328</v>
      </c>
      <c r="H12" s="377">
        <f>F12*'92'!$C$20/100</f>
        <v>78.17216450605153</v>
      </c>
      <c r="I12" s="377">
        <f>E12*матер1!$F$32</f>
        <v>15.865976553423547</v>
      </c>
      <c r="J12" s="377">
        <f t="shared" si="3"/>
        <v>0.90012115780463997</v>
      </c>
    </row>
    <row r="13" spans="1:10" s="380" customFormat="1" ht="10.5" x14ac:dyDescent="0.2">
      <c r="A13" s="381">
        <v>11</v>
      </c>
      <c r="B13" s="382" t="s">
        <v>341</v>
      </c>
      <c r="C13" s="384">
        <v>463.8</v>
      </c>
      <c r="D13" s="381">
        <v>300</v>
      </c>
      <c r="E13" s="379">
        <f t="shared" si="0"/>
        <v>3.6127167630057792E-2</v>
      </c>
      <c r="F13" s="377">
        <f t="shared" si="1"/>
        <v>242.12427745664732</v>
      </c>
      <c r="G13" s="377">
        <f t="shared" si="2"/>
        <v>53.267341040462405</v>
      </c>
      <c r="H13" s="377">
        <f>F13*'92'!$C$20/100</f>
        <v>48.155337478060481</v>
      </c>
      <c r="I13" s="377">
        <f>E13*матер1!$F$32</f>
        <v>9.7737021889672775</v>
      </c>
      <c r="J13" s="377">
        <f t="shared" si="3"/>
        <v>0.76179529573983928</v>
      </c>
    </row>
    <row r="14" spans="1:10" s="380" customFormat="1" ht="10.5" x14ac:dyDescent="0.2">
      <c r="A14" s="381">
        <v>12</v>
      </c>
      <c r="B14" s="382" t="s">
        <v>342</v>
      </c>
      <c r="C14" s="384">
        <v>633.29999999999995</v>
      </c>
      <c r="D14" s="381">
        <v>384</v>
      </c>
      <c r="E14" s="379">
        <f t="shared" si="0"/>
        <v>4.6242774566473979E-2</v>
      </c>
      <c r="F14" s="377">
        <f t="shared" si="1"/>
        <v>309.91907514450861</v>
      </c>
      <c r="G14" s="377">
        <f t="shared" si="2"/>
        <v>68.182196531791902</v>
      </c>
      <c r="H14" s="377">
        <f>F14*'92'!$C$20/100</f>
        <v>61.638831971917433</v>
      </c>
      <c r="I14" s="377">
        <f>E14*матер1!$F$32</f>
        <v>12.510338801878115</v>
      </c>
      <c r="J14" s="377">
        <f t="shared" si="3"/>
        <v>0.71411723109126179</v>
      </c>
    </row>
    <row r="15" spans="1:10" s="380" customFormat="1" ht="10.5" x14ac:dyDescent="0.2">
      <c r="A15" s="381">
        <v>13</v>
      </c>
      <c r="B15" s="382" t="s">
        <v>343</v>
      </c>
      <c r="C15" s="384">
        <v>379.5</v>
      </c>
      <c r="D15" s="381">
        <v>305</v>
      </c>
      <c r="E15" s="379">
        <f t="shared" si="0"/>
        <v>3.6729287090558761E-2</v>
      </c>
      <c r="F15" s="377">
        <f t="shared" si="1"/>
        <v>246.15968208092482</v>
      </c>
      <c r="G15" s="377">
        <f t="shared" si="2"/>
        <v>54.155130057803461</v>
      </c>
      <c r="H15" s="377">
        <f>F15*'92'!$C$20/100</f>
        <v>48.957926436028174</v>
      </c>
      <c r="I15" s="377">
        <f>E15*матер1!$F$32</f>
        <v>9.9365972254500665</v>
      </c>
      <c r="J15" s="377">
        <f t="shared" si="3"/>
        <v>0.94653316416391697</v>
      </c>
    </row>
    <row r="16" spans="1:10" s="380" customFormat="1" ht="10.5" x14ac:dyDescent="0.2">
      <c r="A16" s="381">
        <v>14</v>
      </c>
      <c r="B16" s="382" t="s">
        <v>344</v>
      </c>
      <c r="C16" s="384">
        <v>916.4</v>
      </c>
      <c r="D16" s="375">
        <v>701</v>
      </c>
      <c r="E16" s="379">
        <f t="shared" si="0"/>
        <v>8.4417148362235045E-2</v>
      </c>
      <c r="F16" s="377">
        <f t="shared" si="1"/>
        <v>565.7637283236993</v>
      </c>
      <c r="G16" s="377">
        <f t="shared" si="2"/>
        <v>124.46802023121386</v>
      </c>
      <c r="H16" s="377">
        <f>F16*'92'!$C$20/100</f>
        <v>112.52297190706803</v>
      </c>
      <c r="I16" s="377">
        <f>E16*матер1!$F$32</f>
        <v>22.837884114886872</v>
      </c>
      <c r="J16" s="377">
        <f t="shared" si="3"/>
        <v>0.90090856021046273</v>
      </c>
    </row>
    <row r="17" spans="1:10" s="380" customFormat="1" ht="10.5" x14ac:dyDescent="0.2">
      <c r="A17" s="381">
        <v>15</v>
      </c>
      <c r="B17" s="382" t="s">
        <v>345</v>
      </c>
      <c r="C17" s="384">
        <v>922.1</v>
      </c>
      <c r="D17" s="375">
        <v>760</v>
      </c>
      <c r="E17" s="379">
        <f t="shared" si="0"/>
        <v>9.1522157996146422E-2</v>
      </c>
      <c r="F17" s="377">
        <f t="shared" si="1"/>
        <v>613.38150289017335</v>
      </c>
      <c r="G17" s="377">
        <f t="shared" si="2"/>
        <v>134.94393063583814</v>
      </c>
      <c r="H17" s="377">
        <f>F17*'92'!$C$20/100</f>
        <v>121.99352161108659</v>
      </c>
      <c r="I17" s="377">
        <f>E17*матер1!$F$32</f>
        <v>24.760045545383772</v>
      </c>
      <c r="J17" s="377">
        <f t="shared" si="3"/>
        <v>0.97069623759080559</v>
      </c>
    </row>
    <row r="18" spans="1:10" s="380" customFormat="1" ht="10.5" x14ac:dyDescent="0.2">
      <c r="A18" s="381">
        <v>16</v>
      </c>
      <c r="B18" s="382" t="s">
        <v>346</v>
      </c>
      <c r="C18" s="384">
        <v>490.3</v>
      </c>
      <c r="D18" s="375">
        <v>208</v>
      </c>
      <c r="E18" s="379">
        <f t="shared" si="0"/>
        <v>2.5048169556840073E-2</v>
      </c>
      <c r="F18" s="377">
        <f t="shared" si="1"/>
        <v>167.87283236994216</v>
      </c>
      <c r="G18" s="377">
        <f t="shared" si="2"/>
        <v>36.932023121387275</v>
      </c>
      <c r="H18" s="377">
        <f>F18*'92'!$C$20/100</f>
        <v>33.387700651455276</v>
      </c>
      <c r="I18" s="377">
        <f>E18*матер1!$F$32</f>
        <v>6.7764335176839792</v>
      </c>
      <c r="J18" s="377">
        <f t="shared" si="3"/>
        <v>0.49963081717411517</v>
      </c>
    </row>
    <row r="19" spans="1:10" s="380" customFormat="1" ht="10.5" x14ac:dyDescent="0.2">
      <c r="A19" s="381">
        <v>17</v>
      </c>
      <c r="B19" s="382" t="s">
        <v>347</v>
      </c>
      <c r="C19" s="384">
        <v>502.4</v>
      </c>
      <c r="D19" s="375">
        <f>[1]Лист1!$S$65</f>
        <v>268</v>
      </c>
      <c r="E19" s="379">
        <f t="shared" si="0"/>
        <v>3.2273603082851633E-2</v>
      </c>
      <c r="F19" s="377">
        <f t="shared" si="1"/>
        <v>216.29768786127164</v>
      </c>
      <c r="G19" s="377">
        <f t="shared" si="2"/>
        <v>47.585491329479765</v>
      </c>
      <c r="H19" s="377">
        <f>F19*'92'!$C$20/100</f>
        <v>43.018768147067377</v>
      </c>
      <c r="I19" s="377">
        <f>E19*матер1!$F$32</f>
        <v>8.7311739554774359</v>
      </c>
      <c r="J19" s="377">
        <f t="shared" si="3"/>
        <v>0.6282506395169114</v>
      </c>
    </row>
    <row r="20" spans="1:10" s="380" customFormat="1" ht="10.5" x14ac:dyDescent="0.2">
      <c r="A20" s="381">
        <v>18</v>
      </c>
      <c r="B20" s="382" t="s">
        <v>348</v>
      </c>
      <c r="C20" s="384">
        <v>655.29999999999995</v>
      </c>
      <c r="D20" s="375">
        <v>438</v>
      </c>
      <c r="E20" s="379">
        <f t="shared" si="0"/>
        <v>5.2745664739884381E-2</v>
      </c>
      <c r="F20" s="377">
        <f t="shared" si="1"/>
        <v>353.50144508670513</v>
      </c>
      <c r="G20" s="377">
        <f t="shared" si="2"/>
        <v>77.770317919075126</v>
      </c>
      <c r="H20" s="377">
        <f>F20*'92'!$C$20/100</f>
        <v>70.306792717968321</v>
      </c>
      <c r="I20" s="377">
        <f>E20*матер1!$F$32</f>
        <v>14.269605195892225</v>
      </c>
      <c r="J20" s="377">
        <f t="shared" si="3"/>
        <v>0.78719389732891931</v>
      </c>
    </row>
    <row r="21" spans="1:10" s="380" customFormat="1" ht="10.5" x14ac:dyDescent="0.2">
      <c r="A21" s="381">
        <v>19</v>
      </c>
      <c r="B21" s="382" t="s">
        <v>349</v>
      </c>
      <c r="C21" s="384">
        <v>663.8</v>
      </c>
      <c r="D21" s="375">
        <v>350</v>
      </c>
      <c r="E21" s="379">
        <f t="shared" si="0"/>
        <v>4.2148362235067426E-2</v>
      </c>
      <c r="F21" s="377">
        <f t="shared" si="1"/>
        <v>282.47832369942188</v>
      </c>
      <c r="G21" s="377">
        <f t="shared" si="2"/>
        <v>62.145231213872812</v>
      </c>
      <c r="H21" s="377">
        <f>F21*'92'!$C$20/100</f>
        <v>56.181227057737232</v>
      </c>
      <c r="I21" s="377">
        <f>E21*матер1!$F$32</f>
        <v>11.402652553795157</v>
      </c>
      <c r="J21" s="377">
        <f t="shared" si="3"/>
        <v>0.62098137168548839</v>
      </c>
    </row>
    <row r="22" spans="1:10" s="380" customFormat="1" ht="10.5" x14ac:dyDescent="0.2">
      <c r="A22" s="381">
        <v>20</v>
      </c>
      <c r="B22" s="382" t="s">
        <v>350</v>
      </c>
      <c r="C22" s="384">
        <v>679.3</v>
      </c>
      <c r="D22" s="375">
        <v>406</v>
      </c>
      <c r="E22" s="379">
        <f t="shared" si="0"/>
        <v>4.8892100192678214E-2</v>
      </c>
      <c r="F22" s="377">
        <f t="shared" si="1"/>
        <v>327.67485549132937</v>
      </c>
      <c r="G22" s="377">
        <f t="shared" si="2"/>
        <v>72.088468208092465</v>
      </c>
      <c r="H22" s="377">
        <f>F22*'92'!$C$20/100</f>
        <v>65.170223386975195</v>
      </c>
      <c r="I22" s="377">
        <f>E22*матер1!$F$32</f>
        <v>13.227076962402382</v>
      </c>
      <c r="J22" s="377">
        <f t="shared" si="3"/>
        <v>0.70390199330016112</v>
      </c>
    </row>
    <row r="23" spans="1:10" s="380" customFormat="1" ht="10.5" x14ac:dyDescent="0.2">
      <c r="A23" s="381">
        <v>21</v>
      </c>
      <c r="B23" s="382" t="s">
        <v>351</v>
      </c>
      <c r="C23" s="384">
        <v>828.8</v>
      </c>
      <c r="D23" s="375">
        <v>529</v>
      </c>
      <c r="E23" s="379">
        <f t="shared" si="0"/>
        <v>6.370423892100191E-2</v>
      </c>
      <c r="F23" s="377">
        <f t="shared" si="1"/>
        <v>426.94580924855478</v>
      </c>
      <c r="G23" s="377">
        <f t="shared" si="2"/>
        <v>93.928078034682059</v>
      </c>
      <c r="H23" s="377">
        <f>F23*'92'!$C$20/100</f>
        <v>84.913911752979985</v>
      </c>
      <c r="I23" s="377">
        <f>E23*матер1!$F$32</f>
        <v>17.234294859878965</v>
      </c>
      <c r="J23" s="377">
        <f t="shared" si="3"/>
        <v>0.75171584688235504</v>
      </c>
    </row>
    <row r="24" spans="1:10" s="380" customFormat="1" ht="10.5" x14ac:dyDescent="0.2">
      <c r="A24" s="381">
        <v>22</v>
      </c>
      <c r="B24" s="382" t="s">
        <v>352</v>
      </c>
      <c r="C24" s="384">
        <v>1413.6</v>
      </c>
      <c r="D24" s="375">
        <f>[1]Лист1!$S$77</f>
        <v>944</v>
      </c>
      <c r="E24" s="379">
        <f t="shared" si="0"/>
        <v>0.11368015414258187</v>
      </c>
      <c r="F24" s="377">
        <f t="shared" si="1"/>
        <v>761.88439306358373</v>
      </c>
      <c r="G24" s="377">
        <f t="shared" si="2"/>
        <v>167.61456647398842</v>
      </c>
      <c r="H24" s="377">
        <f>F24*'92'!$C$20/100</f>
        <v>151.52879526429703</v>
      </c>
      <c r="I24" s="377">
        <f>E24*матер1!$F$32</f>
        <v>30.754582887950367</v>
      </c>
      <c r="J24" s="377">
        <f t="shared" si="3"/>
        <v>0.78649005212918766</v>
      </c>
    </row>
    <row r="25" spans="1:10" s="380" customFormat="1" ht="10.5" x14ac:dyDescent="0.2">
      <c r="A25" s="381">
        <v>23</v>
      </c>
      <c r="B25" s="382" t="s">
        <v>353</v>
      </c>
      <c r="C25" s="384">
        <v>1478</v>
      </c>
      <c r="D25" s="375">
        <v>1200</v>
      </c>
      <c r="E25" s="379">
        <f t="shared" si="0"/>
        <v>0.14450867052023117</v>
      </c>
      <c r="F25" s="377">
        <f t="shared" si="1"/>
        <v>968.49710982658928</v>
      </c>
      <c r="G25" s="377">
        <f t="shared" si="2"/>
        <v>213.06936416184962</v>
      </c>
      <c r="H25" s="377">
        <f>F25*'92'!$C$20/100</f>
        <v>192.62134991224193</v>
      </c>
      <c r="I25" s="377">
        <f>E25*матер1!$F$32</f>
        <v>39.09480875586911</v>
      </c>
      <c r="J25" s="377">
        <f t="shared" si="3"/>
        <v>0.95621287730483751</v>
      </c>
    </row>
    <row r="26" spans="1:10" s="380" customFormat="1" ht="10.5" x14ac:dyDescent="0.2">
      <c r="A26" s="381">
        <v>24</v>
      </c>
      <c r="B26" s="382" t="s">
        <v>354</v>
      </c>
      <c r="C26" s="384">
        <v>848.6</v>
      </c>
      <c r="D26" s="375">
        <v>680</v>
      </c>
      <c r="E26" s="379">
        <f t="shared" si="0"/>
        <v>8.1888246628131003E-2</v>
      </c>
      <c r="F26" s="377">
        <f t="shared" si="1"/>
        <v>548.81502890173397</v>
      </c>
      <c r="G26" s="377">
        <f t="shared" si="2"/>
        <v>120.73930635838147</v>
      </c>
      <c r="H26" s="377">
        <f>F26*'92'!$C$20/100</f>
        <v>109.15209828360378</v>
      </c>
      <c r="I26" s="377">
        <f>E26*матер1!$F$32</f>
        <v>22.153724961659162</v>
      </c>
      <c r="J26" s="377">
        <f t="shared" si="3"/>
        <v>0.94374282171267765</v>
      </c>
    </row>
    <row r="27" spans="1:10" s="380" customFormat="1" ht="10.5" x14ac:dyDescent="0.2">
      <c r="A27" s="381">
        <v>25</v>
      </c>
      <c r="B27" s="382" t="s">
        <v>355</v>
      </c>
      <c r="C27" s="384">
        <v>834.8</v>
      </c>
      <c r="D27" s="375">
        <v>545</v>
      </c>
      <c r="E27" s="379">
        <f t="shared" si="0"/>
        <v>6.5631021194604997E-2</v>
      </c>
      <c r="F27" s="377">
        <f t="shared" si="1"/>
        <v>439.85910404624269</v>
      </c>
      <c r="G27" s="377">
        <f t="shared" si="2"/>
        <v>96.769002890173397</v>
      </c>
      <c r="H27" s="377">
        <f>F27*'92'!$C$20/100</f>
        <v>87.482196418476562</v>
      </c>
      <c r="I27" s="377">
        <f>E27*матер1!$F$32</f>
        <v>17.755558976623888</v>
      </c>
      <c r="J27" s="377">
        <f t="shared" si="3"/>
        <v>0.76888579579721672</v>
      </c>
    </row>
    <row r="28" spans="1:10" s="380" customFormat="1" ht="10.5" x14ac:dyDescent="0.2">
      <c r="A28" s="381">
        <v>26</v>
      </c>
      <c r="B28" s="382" t="s">
        <v>356</v>
      </c>
      <c r="C28" s="384">
        <v>848.8</v>
      </c>
      <c r="D28" s="375">
        <v>700</v>
      </c>
      <c r="E28" s="379">
        <f t="shared" si="0"/>
        <v>8.4296724470134851E-2</v>
      </c>
      <c r="F28" s="377">
        <f t="shared" si="1"/>
        <v>564.95664739884376</v>
      </c>
      <c r="G28" s="377">
        <f t="shared" si="2"/>
        <v>124.29046242774562</v>
      </c>
      <c r="H28" s="377">
        <f>F28*'92'!$C$20/100</f>
        <v>112.36245411547446</v>
      </c>
      <c r="I28" s="377">
        <f>E28*матер1!$F$32</f>
        <v>22.805305107590314</v>
      </c>
      <c r="J28" s="377">
        <f t="shared" si="3"/>
        <v>0.97127105213201503</v>
      </c>
    </row>
    <row r="29" spans="1:10" s="380" customFormat="1" ht="10.5" x14ac:dyDescent="0.2">
      <c r="A29" s="381">
        <v>27</v>
      </c>
      <c r="B29" s="382" t="s">
        <v>357</v>
      </c>
      <c r="C29" s="384">
        <v>646.76</v>
      </c>
      <c r="D29" s="375">
        <v>530</v>
      </c>
      <c r="E29" s="379">
        <f t="shared" si="0"/>
        <v>6.3824662813102104E-2</v>
      </c>
      <c r="F29" s="377">
        <f t="shared" si="1"/>
        <v>427.75289017341032</v>
      </c>
      <c r="G29" s="377">
        <f t="shared" si="2"/>
        <v>94.105635838150263</v>
      </c>
      <c r="H29" s="377">
        <f>F29*'92'!$C$20/100</f>
        <v>85.074429544573547</v>
      </c>
      <c r="I29" s="377">
        <f>E29*матер1!$F$32</f>
        <v>17.266873867175523</v>
      </c>
      <c r="J29" s="377">
        <f t="shared" si="3"/>
        <v>0.96511817277399603</v>
      </c>
    </row>
    <row r="30" spans="1:10" s="380" customFormat="1" ht="10.5" x14ac:dyDescent="0.2">
      <c r="A30" s="381">
        <v>28</v>
      </c>
      <c r="B30" s="382" t="s">
        <v>358</v>
      </c>
      <c r="C30" s="384">
        <v>638.20000000000005</v>
      </c>
      <c r="D30" s="375">
        <v>510</v>
      </c>
      <c r="E30" s="379">
        <f t="shared" si="0"/>
        <v>6.1416184971098249E-2</v>
      </c>
      <c r="F30" s="377">
        <f t="shared" si="1"/>
        <v>411.61127167630048</v>
      </c>
      <c r="G30" s="377">
        <f t="shared" si="2"/>
        <v>90.554479768786109</v>
      </c>
      <c r="H30" s="377">
        <f>F30*'92'!$C$20/100</f>
        <v>81.864073712702833</v>
      </c>
      <c r="I30" s="377">
        <f>E30*матер1!$F$32</f>
        <v>16.61529372124437</v>
      </c>
      <c r="J30" s="377">
        <f t="shared" si="3"/>
        <v>0.94115499667664337</v>
      </c>
    </row>
    <row r="31" spans="1:10" s="380" customFormat="1" ht="10.5" x14ac:dyDescent="0.2">
      <c r="A31" s="381">
        <v>29</v>
      </c>
      <c r="B31" s="382" t="s">
        <v>359</v>
      </c>
      <c r="C31" s="384">
        <v>385.2</v>
      </c>
      <c r="D31" s="375">
        <v>310</v>
      </c>
      <c r="E31" s="379">
        <f t="shared" si="0"/>
        <v>3.7331406551059723E-2</v>
      </c>
      <c r="F31" s="377">
        <f t="shared" si="1"/>
        <v>250.19508670520227</v>
      </c>
      <c r="G31" s="377">
        <f t="shared" si="2"/>
        <v>55.042919075144503</v>
      </c>
      <c r="H31" s="377">
        <f>F31*'92'!$C$20/100</f>
        <v>49.760515393995846</v>
      </c>
      <c r="I31" s="377">
        <f>E31*матер1!$F$32</f>
        <v>10.099492261932854</v>
      </c>
      <c r="J31" s="377">
        <f t="shared" si="3"/>
        <v>0.94781415741504549</v>
      </c>
    </row>
    <row r="32" spans="1:10" s="380" customFormat="1" ht="10.5" x14ac:dyDescent="0.2">
      <c r="A32" s="381">
        <v>30</v>
      </c>
      <c r="B32" s="382" t="s">
        <v>360</v>
      </c>
      <c r="C32" s="384">
        <v>398.4</v>
      </c>
      <c r="D32" s="375">
        <v>310</v>
      </c>
      <c r="E32" s="379">
        <f t="shared" si="0"/>
        <v>3.7331406551059723E-2</v>
      </c>
      <c r="F32" s="377">
        <f t="shared" si="1"/>
        <v>250.19508670520227</v>
      </c>
      <c r="G32" s="377">
        <f t="shared" si="2"/>
        <v>55.042919075144503</v>
      </c>
      <c r="H32" s="377">
        <f>F32*'92'!$C$20/100</f>
        <v>49.760515393995846</v>
      </c>
      <c r="I32" s="377">
        <f>E32*матер1!$F$32</f>
        <v>10.099492261932854</v>
      </c>
      <c r="J32" s="377">
        <f t="shared" si="3"/>
        <v>0.91641067629587225</v>
      </c>
    </row>
    <row r="33" spans="1:10" s="380" customFormat="1" ht="10.5" x14ac:dyDescent="0.2">
      <c r="A33" s="381">
        <v>31</v>
      </c>
      <c r="B33" s="382" t="s">
        <v>361</v>
      </c>
      <c r="C33" s="384">
        <v>977.25</v>
      </c>
      <c r="D33" s="375">
        <f>[1]Лист1!$S$89</f>
        <v>786</v>
      </c>
      <c r="E33" s="379">
        <f t="shared" si="0"/>
        <v>9.4653179190751419E-2</v>
      </c>
      <c r="F33" s="377">
        <f t="shared" si="1"/>
        <v>634.36560693641604</v>
      </c>
      <c r="G33" s="377">
        <f t="shared" si="2"/>
        <v>139.56043352601154</v>
      </c>
      <c r="H33" s="377">
        <f>F33*'92'!$C$20/100</f>
        <v>126.16698419251848</v>
      </c>
      <c r="I33" s="377">
        <f>E33*матер1!$F$32</f>
        <v>25.607099735094266</v>
      </c>
      <c r="J33" s="377">
        <f t="shared" si="3"/>
        <v>0.94725006333081652</v>
      </c>
    </row>
    <row r="34" spans="1:10" s="380" customFormat="1" ht="10.5" x14ac:dyDescent="0.2">
      <c r="A34" s="381">
        <v>32</v>
      </c>
      <c r="B34" s="382" t="s">
        <v>362</v>
      </c>
      <c r="C34" s="384">
        <v>796.2</v>
      </c>
      <c r="D34" s="375">
        <v>590</v>
      </c>
      <c r="E34" s="379">
        <f t="shared" si="0"/>
        <v>7.1050096339113661E-2</v>
      </c>
      <c r="F34" s="377">
        <f t="shared" si="1"/>
        <v>476.17774566473975</v>
      </c>
      <c r="G34" s="377">
        <f t="shared" si="2"/>
        <v>104.75910404624274</v>
      </c>
      <c r="H34" s="377">
        <f>F34*'92'!$C$20/100</f>
        <v>94.70549704018562</v>
      </c>
      <c r="I34" s="377">
        <f>E34*матер1!$F$32</f>
        <v>19.221614304968977</v>
      </c>
      <c r="J34" s="377">
        <f t="shared" si="3"/>
        <v>0.87272539695571094</v>
      </c>
    </row>
    <row r="35" spans="1:10" s="380" customFormat="1" ht="10.5" x14ac:dyDescent="0.2">
      <c r="A35" s="381">
        <v>33</v>
      </c>
      <c r="B35" s="382" t="s">
        <v>363</v>
      </c>
      <c r="C35" s="384">
        <v>394.3</v>
      </c>
      <c r="D35" s="375">
        <v>257</v>
      </c>
      <c r="E35" s="379">
        <f t="shared" si="0"/>
        <v>3.0948940269749512E-2</v>
      </c>
      <c r="F35" s="377">
        <f t="shared" si="1"/>
        <v>207.41979768786123</v>
      </c>
      <c r="G35" s="377">
        <f t="shared" si="2"/>
        <v>45.63235549132947</v>
      </c>
      <c r="H35" s="377">
        <f>F35*'92'!$C$20/100</f>
        <v>41.253072439538492</v>
      </c>
      <c r="I35" s="377">
        <f>E35*матер1!$F$32</f>
        <v>8.3728048752153015</v>
      </c>
      <c r="J35" s="377">
        <f t="shared" si="3"/>
        <v>0.76763385872164469</v>
      </c>
    </row>
    <row r="36" spans="1:10" s="380" customFormat="1" ht="10.5" x14ac:dyDescent="0.2">
      <c r="A36" s="381">
        <v>34</v>
      </c>
      <c r="B36" s="382" t="s">
        <v>364</v>
      </c>
      <c r="C36" s="384">
        <v>462.9</v>
      </c>
      <c r="D36" s="375">
        <v>375</v>
      </c>
      <c r="E36" s="379">
        <f t="shared" si="0"/>
        <v>4.5158959537572242E-2</v>
      </c>
      <c r="F36" s="377">
        <f t="shared" si="1"/>
        <v>302.65534682080914</v>
      </c>
      <c r="G36" s="377">
        <f t="shared" si="2"/>
        <v>66.584176300578008</v>
      </c>
      <c r="H36" s="377">
        <f>F36*'92'!$C$20/100</f>
        <v>60.19417184757561</v>
      </c>
      <c r="I36" s="377">
        <f>E36*матер1!$F$32</f>
        <v>12.217127736209097</v>
      </c>
      <c r="J36" s="377">
        <f t="shared" si="3"/>
        <v>0.95409553403580005</v>
      </c>
    </row>
    <row r="37" spans="1:10" s="380" customFormat="1" ht="10.5" x14ac:dyDescent="0.2">
      <c r="A37" s="381">
        <v>35</v>
      </c>
      <c r="B37" s="382" t="s">
        <v>365</v>
      </c>
      <c r="C37" s="384">
        <v>411.79</v>
      </c>
      <c r="D37" s="375">
        <v>300</v>
      </c>
      <c r="E37" s="379">
        <f t="shared" si="0"/>
        <v>3.6127167630057792E-2</v>
      </c>
      <c r="F37" s="377">
        <f t="shared" si="1"/>
        <v>242.12427745664732</v>
      </c>
      <c r="G37" s="377">
        <f t="shared" si="2"/>
        <v>53.267341040462405</v>
      </c>
      <c r="H37" s="377">
        <f>F37*'92'!$C$20/100</f>
        <v>48.155337478060481</v>
      </c>
      <c r="I37" s="377">
        <f>E37*матер1!$F$32</f>
        <v>9.7737021889672775</v>
      </c>
      <c r="J37" s="377">
        <f t="shared" si="3"/>
        <v>0.85801174910546019</v>
      </c>
    </row>
    <row r="38" spans="1:10" s="380" customFormat="1" ht="10.5" x14ac:dyDescent="0.2">
      <c r="A38" s="381">
        <v>36</v>
      </c>
      <c r="B38" s="382" t="s">
        <v>366</v>
      </c>
      <c r="C38" s="384">
        <v>674.2</v>
      </c>
      <c r="D38" s="375">
        <v>550</v>
      </c>
      <c r="E38" s="379">
        <f t="shared" si="0"/>
        <v>6.6233140655105965E-2</v>
      </c>
      <c r="F38" s="377">
        <f t="shared" si="1"/>
        <v>443.89450867052017</v>
      </c>
      <c r="G38" s="377">
        <f t="shared" si="2"/>
        <v>97.656791907514432</v>
      </c>
      <c r="H38" s="377">
        <f>F38*'92'!$C$20/100</f>
        <v>88.284785376444233</v>
      </c>
      <c r="I38" s="377">
        <f>E38*матер1!$F$32</f>
        <v>17.918454013106679</v>
      </c>
      <c r="J38" s="377">
        <f t="shared" si="3"/>
        <v>0.96077505186530032</v>
      </c>
    </row>
    <row r="39" spans="1:10" s="380" customFormat="1" ht="10.5" x14ac:dyDescent="0.2">
      <c r="A39" s="381">
        <v>37</v>
      </c>
      <c r="B39" s="382" t="s">
        <v>367</v>
      </c>
      <c r="C39" s="384">
        <v>169</v>
      </c>
      <c r="D39" s="375">
        <v>95</v>
      </c>
      <c r="E39" s="379">
        <f t="shared" si="0"/>
        <v>1.1440269749518303E-2</v>
      </c>
      <c r="F39" s="377">
        <f t="shared" si="1"/>
        <v>76.672687861271669</v>
      </c>
      <c r="G39" s="377">
        <f t="shared" si="2"/>
        <v>16.867991329479768</v>
      </c>
      <c r="H39" s="377">
        <f>F39*'92'!$C$20/100</f>
        <v>15.249190201385824</v>
      </c>
      <c r="I39" s="377">
        <f>E39*матер1!$F$32</f>
        <v>3.0950056931729715</v>
      </c>
      <c r="J39" s="377">
        <f t="shared" si="3"/>
        <v>0.66204068097816704</v>
      </c>
    </row>
    <row r="40" spans="1:10" s="380" customFormat="1" ht="10.5" x14ac:dyDescent="0.2">
      <c r="A40" s="381">
        <v>38</v>
      </c>
      <c r="B40" s="382" t="s">
        <v>368</v>
      </c>
      <c r="C40" s="384">
        <v>175.4</v>
      </c>
      <c r="D40" s="375">
        <v>113</v>
      </c>
      <c r="E40" s="379">
        <f t="shared" si="0"/>
        <v>1.360789980732177E-2</v>
      </c>
      <c r="F40" s="377">
        <f t="shared" si="1"/>
        <v>91.200144508670505</v>
      </c>
      <c r="G40" s="377">
        <f t="shared" si="2"/>
        <v>20.06403179190751</v>
      </c>
      <c r="H40" s="377">
        <f>F40*'92'!$C$20/100</f>
        <v>18.138510450069454</v>
      </c>
      <c r="I40" s="377">
        <f>E40*матер1!$F$32</f>
        <v>3.6814278245110077</v>
      </c>
      <c r="J40" s="377">
        <f t="shared" si="3"/>
        <v>0.75874637728140526</v>
      </c>
    </row>
    <row r="41" spans="1:10" s="380" customFormat="1" ht="10.5" x14ac:dyDescent="0.2">
      <c r="A41" s="381">
        <v>39</v>
      </c>
      <c r="B41" s="382" t="s">
        <v>369</v>
      </c>
      <c r="C41" s="384">
        <v>173.5</v>
      </c>
      <c r="D41" s="375">
        <v>110</v>
      </c>
      <c r="E41" s="379">
        <f t="shared" si="0"/>
        <v>1.3246628131021192E-2</v>
      </c>
      <c r="F41" s="377">
        <f t="shared" si="1"/>
        <v>88.778901734104025</v>
      </c>
      <c r="G41" s="377">
        <f t="shared" si="2"/>
        <v>19.531358381502884</v>
      </c>
      <c r="H41" s="377">
        <f>F41*'92'!$C$20/100</f>
        <v>17.656957075288847</v>
      </c>
      <c r="I41" s="377">
        <f>E41*матер1!$F$32</f>
        <v>3.583690802621335</v>
      </c>
      <c r="J41" s="377">
        <f t="shared" si="3"/>
        <v>0.74669111235456531</v>
      </c>
    </row>
    <row r="42" spans="1:10" s="380" customFormat="1" ht="10.5" x14ac:dyDescent="0.2">
      <c r="A42" s="381">
        <v>40</v>
      </c>
      <c r="B42" s="382" t="s">
        <v>370</v>
      </c>
      <c r="C42" s="384">
        <v>182</v>
      </c>
      <c r="D42" s="375">
        <v>118</v>
      </c>
      <c r="E42" s="379">
        <f t="shared" si="0"/>
        <v>1.4210019267822734E-2</v>
      </c>
      <c r="F42" s="377">
        <f t="shared" si="1"/>
        <v>95.235549132947966</v>
      </c>
      <c r="G42" s="377">
        <f t="shared" si="2"/>
        <v>20.951820809248552</v>
      </c>
      <c r="H42" s="377">
        <f>F42*'92'!$C$20/100</f>
        <v>18.941099408037129</v>
      </c>
      <c r="I42" s="377">
        <f>E42*матер1!$F$32</f>
        <v>3.8443228609937958</v>
      </c>
      <c r="J42" s="377">
        <f t="shared" si="3"/>
        <v>0.76358677039135958</v>
      </c>
    </row>
    <row r="43" spans="1:10" s="380" customFormat="1" ht="10.5" x14ac:dyDescent="0.2">
      <c r="A43" s="381">
        <v>41</v>
      </c>
      <c r="B43" s="382" t="s">
        <v>371</v>
      </c>
      <c r="C43" s="384">
        <v>629.6</v>
      </c>
      <c r="D43" s="375">
        <v>480</v>
      </c>
      <c r="E43" s="379">
        <f t="shared" si="0"/>
        <v>5.7803468208092471E-2</v>
      </c>
      <c r="F43" s="377">
        <f t="shared" si="1"/>
        <v>387.39884393063573</v>
      </c>
      <c r="G43" s="377">
        <f t="shared" si="2"/>
        <v>85.227745664739871</v>
      </c>
      <c r="H43" s="377">
        <f>F43*'92'!$C$20/100</f>
        <v>77.048539964896776</v>
      </c>
      <c r="I43" s="377">
        <f>E43*матер1!$F$32</f>
        <v>15.637923502347643</v>
      </c>
      <c r="J43" s="377">
        <f t="shared" si="3"/>
        <v>0.89789239685930755</v>
      </c>
    </row>
    <row r="44" spans="1:10" s="380" customFormat="1" ht="10.5" x14ac:dyDescent="0.2">
      <c r="A44" s="381">
        <v>42</v>
      </c>
      <c r="B44" s="382" t="s">
        <v>372</v>
      </c>
      <c r="C44" s="384">
        <v>628.9</v>
      </c>
      <c r="D44" s="375">
        <v>450</v>
      </c>
      <c r="E44" s="379">
        <f t="shared" si="0"/>
        <v>5.4190751445086692E-2</v>
      </c>
      <c r="F44" s="377">
        <f t="shared" si="1"/>
        <v>363.18641618497099</v>
      </c>
      <c r="G44" s="377">
        <f t="shared" si="2"/>
        <v>79.901011560693618</v>
      </c>
      <c r="H44" s="377">
        <f>F44*'92'!$C$20/100</f>
        <v>72.233006217090733</v>
      </c>
      <c r="I44" s="377">
        <f>E44*матер1!$F$32</f>
        <v>14.660553283450916</v>
      </c>
      <c r="J44" s="377">
        <f t="shared" si="3"/>
        <v>0.84271106256353356</v>
      </c>
    </row>
    <row r="45" spans="1:10" s="380" customFormat="1" ht="10.5" x14ac:dyDescent="0.2">
      <c r="A45" s="381">
        <v>43</v>
      </c>
      <c r="B45" s="382" t="s">
        <v>373</v>
      </c>
      <c r="C45" s="384">
        <v>509.3</v>
      </c>
      <c r="D45" s="375">
        <v>400</v>
      </c>
      <c r="E45" s="379">
        <f t="shared" si="0"/>
        <v>4.8169556840077059E-2</v>
      </c>
      <c r="F45" s="377">
        <f t="shared" si="1"/>
        <v>322.83236994219646</v>
      </c>
      <c r="G45" s="377">
        <f t="shared" si="2"/>
        <v>71.023121387283226</v>
      </c>
      <c r="H45" s="377">
        <f>F45*'92'!$C$20/100</f>
        <v>64.207116637413989</v>
      </c>
      <c r="I45" s="377">
        <f>E45*матер1!$F$32</f>
        <v>13.031602918623037</v>
      </c>
      <c r="J45" s="377">
        <f t="shared" si="3"/>
        <v>0.92498372449541866</v>
      </c>
    </row>
    <row r="46" spans="1:10" s="380" customFormat="1" ht="10.5" x14ac:dyDescent="0.2">
      <c r="A46" s="381">
        <v>44</v>
      </c>
      <c r="B46" s="382" t="s">
        <v>374</v>
      </c>
      <c r="C46" s="384">
        <v>404.4</v>
      </c>
      <c r="D46" s="375">
        <f>[1]Лист1!$S$147</f>
        <v>116.5</v>
      </c>
      <c r="E46" s="379">
        <f t="shared" si="0"/>
        <v>1.4029383429672445E-2</v>
      </c>
      <c r="F46" s="377">
        <f t="shared" si="1"/>
        <v>94.024927745664726</v>
      </c>
      <c r="G46" s="377">
        <f t="shared" si="2"/>
        <v>20.685484104046239</v>
      </c>
      <c r="H46" s="377">
        <f>F46*'92'!$C$20/100</f>
        <v>18.700322720646824</v>
      </c>
      <c r="I46" s="377">
        <f>E46*матер1!$F$32</f>
        <v>3.7954543500489595</v>
      </c>
      <c r="J46" s="377">
        <f t="shared" si="3"/>
        <v>0.33928335539170812</v>
      </c>
    </row>
    <row r="47" spans="1:10" s="380" customFormat="1" ht="10.5" x14ac:dyDescent="0.2">
      <c r="A47" s="381">
        <v>45</v>
      </c>
      <c r="B47" s="382" t="s">
        <v>375</v>
      </c>
      <c r="C47" s="384">
        <v>409.8</v>
      </c>
      <c r="D47" s="375">
        <v>300</v>
      </c>
      <c r="E47" s="379">
        <f t="shared" si="0"/>
        <v>3.6127167630057792E-2</v>
      </c>
      <c r="F47" s="377">
        <f t="shared" si="1"/>
        <v>242.12427745664732</v>
      </c>
      <c r="G47" s="377">
        <f t="shared" si="2"/>
        <v>53.267341040462405</v>
      </c>
      <c r="H47" s="377">
        <f>F47*'92'!$C$20/100</f>
        <v>48.155337478060481</v>
      </c>
      <c r="I47" s="377">
        <f>E47*матер1!$F$32</f>
        <v>9.7737021889672775</v>
      </c>
      <c r="J47" s="377">
        <f t="shared" si="3"/>
        <v>0.86217827760892496</v>
      </c>
    </row>
    <row r="48" spans="1:10" s="380" customFormat="1" ht="10.5" x14ac:dyDescent="0.2">
      <c r="A48" s="381">
        <v>46</v>
      </c>
      <c r="B48" s="382" t="s">
        <v>376</v>
      </c>
      <c r="C48" s="384">
        <v>374.7</v>
      </c>
      <c r="D48" s="375">
        <v>300</v>
      </c>
      <c r="E48" s="379">
        <f t="shared" si="0"/>
        <v>3.6127167630057792E-2</v>
      </c>
      <c r="F48" s="377">
        <f t="shared" si="1"/>
        <v>242.12427745664732</v>
      </c>
      <c r="G48" s="377">
        <f t="shared" si="2"/>
        <v>53.267341040462405</v>
      </c>
      <c r="H48" s="377">
        <f>F48*'92'!$C$20/100</f>
        <v>48.155337478060481</v>
      </c>
      <c r="I48" s="377">
        <f>E48*матер1!$F$32</f>
        <v>9.7737021889672775</v>
      </c>
      <c r="J48" s="377">
        <f t="shared" si="3"/>
        <v>0.94294277599182674</v>
      </c>
    </row>
    <row r="49" spans="1:10" s="380" customFormat="1" ht="10.5" x14ac:dyDescent="0.2">
      <c r="A49" s="381">
        <v>47</v>
      </c>
      <c r="B49" s="382" t="s">
        <v>377</v>
      </c>
      <c r="C49" s="384">
        <v>618.4</v>
      </c>
      <c r="D49" s="375">
        <v>510</v>
      </c>
      <c r="E49" s="379">
        <f t="shared" si="0"/>
        <v>6.1416184971098249E-2</v>
      </c>
      <c r="F49" s="377">
        <f t="shared" si="1"/>
        <v>411.61127167630048</v>
      </c>
      <c r="G49" s="377">
        <f t="shared" si="2"/>
        <v>90.554479768786109</v>
      </c>
      <c r="H49" s="377">
        <f>F49*'92'!$C$20/100</f>
        <v>81.864073712702833</v>
      </c>
      <c r="I49" s="377">
        <f>E49*матер1!$F$32</f>
        <v>16.61529372124437</v>
      </c>
      <c r="J49" s="377">
        <f t="shared" si="3"/>
        <v>0.97128900206829538</v>
      </c>
    </row>
    <row r="50" spans="1:10" s="380" customFormat="1" ht="10.5" x14ac:dyDescent="0.2">
      <c r="A50" s="381">
        <v>48</v>
      </c>
      <c r="B50" s="382" t="s">
        <v>378</v>
      </c>
      <c r="C50" s="384">
        <v>1126.3</v>
      </c>
      <c r="D50" s="375">
        <v>920</v>
      </c>
      <c r="E50" s="379">
        <f t="shared" si="0"/>
        <v>0.11078998073217725</v>
      </c>
      <c r="F50" s="377">
        <f t="shared" si="1"/>
        <v>742.51445086705189</v>
      </c>
      <c r="G50" s="377">
        <f t="shared" si="2"/>
        <v>163.3531791907514</v>
      </c>
      <c r="H50" s="377">
        <f>F50*'92'!$C$20/100</f>
        <v>147.67636826605218</v>
      </c>
      <c r="I50" s="377">
        <f>E50*матер1!$F$32</f>
        <v>29.972686712832985</v>
      </c>
      <c r="J50" s="377">
        <f t="shared" si="3"/>
        <v>0.9620142813075454</v>
      </c>
    </row>
    <row r="51" spans="1:10" s="380" customFormat="1" ht="10.5" x14ac:dyDescent="0.2">
      <c r="A51" s="381">
        <v>49</v>
      </c>
      <c r="B51" s="382" t="s">
        <v>379</v>
      </c>
      <c r="C51" s="384">
        <v>617</v>
      </c>
      <c r="D51" s="375">
        <f>[1]Лист1!$S$12</f>
        <v>353</v>
      </c>
      <c r="E51" s="379">
        <f t="shared" si="0"/>
        <v>4.2509633911368007E-2</v>
      </c>
      <c r="F51" s="377">
        <f t="shared" si="1"/>
        <v>284.89956647398839</v>
      </c>
      <c r="G51" s="377">
        <f t="shared" si="2"/>
        <v>62.677904624277446</v>
      </c>
      <c r="H51" s="377">
        <f>F51*'92'!$C$20/100</f>
        <v>56.662780432517849</v>
      </c>
      <c r="I51" s="377">
        <f>E51*матер1!$F$32</f>
        <v>11.50038957568483</v>
      </c>
      <c r="J51" s="377">
        <f t="shared" si="3"/>
        <v>0.67380979109638328</v>
      </c>
    </row>
    <row r="52" spans="1:10" s="380" customFormat="1" ht="10.5" x14ac:dyDescent="0.2">
      <c r="A52" s="381">
        <v>50</v>
      </c>
      <c r="B52" s="382" t="s">
        <v>380</v>
      </c>
      <c r="C52" s="384">
        <v>452</v>
      </c>
      <c r="D52" s="375">
        <v>370</v>
      </c>
      <c r="E52" s="379">
        <f t="shared" si="0"/>
        <v>4.455684007707128E-2</v>
      </c>
      <c r="F52" s="377">
        <f t="shared" si="1"/>
        <v>298.61994219653172</v>
      </c>
      <c r="G52" s="377">
        <f t="shared" si="2"/>
        <v>65.696387283236987</v>
      </c>
      <c r="H52" s="377">
        <f>F52*'92'!$C$20/100</f>
        <v>59.391582889607932</v>
      </c>
      <c r="I52" s="377">
        <f>E52*матер1!$F$32</f>
        <v>12.054232699726308</v>
      </c>
      <c r="J52" s="377">
        <f t="shared" si="3"/>
        <v>0.96407554218828084</v>
      </c>
    </row>
    <row r="53" spans="1:10" s="380" customFormat="1" ht="10.5" x14ac:dyDescent="0.2">
      <c r="A53" s="381">
        <v>51</v>
      </c>
      <c r="B53" s="382" t="s">
        <v>381</v>
      </c>
      <c r="C53" s="384">
        <v>1245.5999999999999</v>
      </c>
      <c r="D53" s="375">
        <f>[1]Лист1!$S$39</f>
        <v>588.29999999999995</v>
      </c>
      <c r="E53" s="379">
        <f t="shared" si="0"/>
        <v>7.0845375722543333E-2</v>
      </c>
      <c r="F53" s="377">
        <f t="shared" si="1"/>
        <v>474.80570809248542</v>
      </c>
      <c r="G53" s="377">
        <f t="shared" si="2"/>
        <v>104.45725578034678</v>
      </c>
      <c r="H53" s="377">
        <f>F53*'92'!$C$20/100</f>
        <v>94.432616794476615</v>
      </c>
      <c r="I53" s="377">
        <f>E53*матер1!$F$32</f>
        <v>19.16622999256483</v>
      </c>
      <c r="J53" s="377">
        <f t="shared" si="3"/>
        <v>0.55624743951499167</v>
      </c>
    </row>
    <row r="54" spans="1:10" s="380" customFormat="1" ht="10.5" x14ac:dyDescent="0.2">
      <c r="A54" s="381">
        <v>52</v>
      </c>
      <c r="B54" s="382" t="s">
        <v>382</v>
      </c>
      <c r="C54" s="384">
        <v>1275.5999999999999</v>
      </c>
      <c r="D54" s="375">
        <f>[1]Лист1!$S$40</f>
        <v>828.4</v>
      </c>
      <c r="E54" s="379">
        <f t="shared" si="0"/>
        <v>9.975915221579959E-2</v>
      </c>
      <c r="F54" s="377">
        <f t="shared" si="1"/>
        <v>668.58583815028885</v>
      </c>
      <c r="G54" s="377">
        <f t="shared" si="2"/>
        <v>147.08888439306355</v>
      </c>
      <c r="H54" s="377">
        <f>F54*'92'!$C$20/100</f>
        <v>132.97293855608439</v>
      </c>
      <c r="I54" s="377">
        <f>E54*матер1!$F$32</f>
        <v>26.988449644468307</v>
      </c>
      <c r="J54" s="377">
        <f t="shared" si="3"/>
        <v>0.76484486574467325</v>
      </c>
    </row>
    <row r="55" spans="1:10" s="380" customFormat="1" ht="10.5" x14ac:dyDescent="0.2">
      <c r="A55" s="381">
        <v>53</v>
      </c>
      <c r="B55" s="382" t="s">
        <v>383</v>
      </c>
      <c r="C55" s="384">
        <v>942.4</v>
      </c>
      <c r="D55" s="375">
        <v>770</v>
      </c>
      <c r="E55" s="379">
        <f t="shared" si="0"/>
        <v>9.2726396917148346E-2</v>
      </c>
      <c r="F55" s="377">
        <f t="shared" si="1"/>
        <v>621.45231213872819</v>
      </c>
      <c r="G55" s="377">
        <f t="shared" si="2"/>
        <v>136.71950867052021</v>
      </c>
      <c r="H55" s="377">
        <f>F55*'92'!$C$20/100</f>
        <v>123.59869952702192</v>
      </c>
      <c r="I55" s="377">
        <f>E55*матер1!$F$32</f>
        <v>25.085835618349346</v>
      </c>
      <c r="J55" s="377">
        <f t="shared" si="3"/>
        <v>0.96228390911992756</v>
      </c>
    </row>
    <row r="56" spans="1:10" s="380" customFormat="1" ht="10.5" x14ac:dyDescent="0.2">
      <c r="A56" s="381">
        <v>54</v>
      </c>
      <c r="B56" s="382" t="s">
        <v>384</v>
      </c>
      <c r="C56" s="384">
        <v>567.95000000000005</v>
      </c>
      <c r="D56" s="375">
        <v>460</v>
      </c>
      <c r="E56" s="379">
        <f t="shared" si="0"/>
        <v>5.5394990366088623E-2</v>
      </c>
      <c r="F56" s="377">
        <f t="shared" si="1"/>
        <v>371.25722543352595</v>
      </c>
      <c r="G56" s="377">
        <f t="shared" si="2"/>
        <v>81.676589595375702</v>
      </c>
      <c r="H56" s="377">
        <f>F56*'92'!$C$20/100</f>
        <v>73.83818413302609</v>
      </c>
      <c r="I56" s="377">
        <f>E56*матер1!$F$32</f>
        <v>14.986343356416493</v>
      </c>
      <c r="J56" s="377">
        <f t="shared" si="3"/>
        <v>0.95388386745020537</v>
      </c>
    </row>
    <row r="57" spans="1:10" s="380" customFormat="1" ht="10.5" x14ac:dyDescent="0.2">
      <c r="A57" s="381">
        <v>55</v>
      </c>
      <c r="B57" s="382" t="s">
        <v>385</v>
      </c>
      <c r="C57" s="384">
        <v>1119.5999999999999</v>
      </c>
      <c r="D57" s="375">
        <v>870</v>
      </c>
      <c r="E57" s="379">
        <f t="shared" si="0"/>
        <v>0.10476878612716761</v>
      </c>
      <c r="F57" s="377">
        <f t="shared" si="1"/>
        <v>702.16040462427736</v>
      </c>
      <c r="G57" s="377">
        <f t="shared" si="2"/>
        <v>154.47528901734103</v>
      </c>
      <c r="H57" s="377">
        <f>F57*'92'!$C$20/100</f>
        <v>139.65047868637544</v>
      </c>
      <c r="I57" s="377">
        <f>E57*матер1!$F$32</f>
        <v>28.343736348005105</v>
      </c>
      <c r="J57" s="377">
        <f t="shared" si="3"/>
        <v>0.91517498095391114</v>
      </c>
    </row>
    <row r="58" spans="1:10" s="380" customFormat="1" ht="10.5" x14ac:dyDescent="0.2">
      <c r="A58" s="381">
        <v>56</v>
      </c>
      <c r="B58" s="382" t="s">
        <v>386</v>
      </c>
      <c r="C58" s="384">
        <v>946.6</v>
      </c>
      <c r="D58" s="375">
        <v>720</v>
      </c>
      <c r="E58" s="379">
        <f t="shared" ref="E58:E120" si="4">D58/$E$163</f>
        <v>8.6705202312138713E-2</v>
      </c>
      <c r="F58" s="377">
        <f t="shared" si="1"/>
        <v>581.09826589595366</v>
      </c>
      <c r="G58" s="377">
        <f t="shared" si="2"/>
        <v>127.84161849710981</v>
      </c>
      <c r="H58" s="377">
        <f>F58*'92'!$C$20/100</f>
        <v>115.57280994734518</v>
      </c>
      <c r="I58" s="377">
        <f>E58*матер1!$F$32</f>
        <v>23.456885253521467</v>
      </c>
      <c r="J58" s="377">
        <f t="shared" si="3"/>
        <v>0.89580559855686681</v>
      </c>
    </row>
    <row r="59" spans="1:10" s="380" customFormat="1" ht="10.5" x14ac:dyDescent="0.2">
      <c r="A59" s="381">
        <v>57</v>
      </c>
      <c r="B59" s="382" t="s">
        <v>387</v>
      </c>
      <c r="C59" s="384">
        <v>1375.7</v>
      </c>
      <c r="D59" s="375">
        <f>[1]Лист1!$S$81</f>
        <v>945</v>
      </c>
      <c r="E59" s="379">
        <f t="shared" si="4"/>
        <v>0.11380057803468206</v>
      </c>
      <c r="F59" s="377">
        <f t="shared" ref="F59:F120" si="5">E59*$F$163</f>
        <v>762.69147398843916</v>
      </c>
      <c r="G59" s="377">
        <f t="shared" si="2"/>
        <v>167.79212427745659</v>
      </c>
      <c r="H59" s="377">
        <f>F59*'92'!$C$20/100</f>
        <v>151.68931305589055</v>
      </c>
      <c r="I59" s="377">
        <f>E59*матер1!$F$32</f>
        <v>30.787161895246925</v>
      </c>
      <c r="J59" s="377">
        <f t="shared" si="3"/>
        <v>0.80901364630154349</v>
      </c>
    </row>
    <row r="60" spans="1:10" s="380" customFormat="1" ht="10.5" x14ac:dyDescent="0.2">
      <c r="A60" s="381">
        <v>58</v>
      </c>
      <c r="B60" s="382" t="s">
        <v>388</v>
      </c>
      <c r="C60" s="384">
        <v>1540.17</v>
      </c>
      <c r="D60" s="375">
        <v>1000</v>
      </c>
      <c r="E60" s="379">
        <f t="shared" si="4"/>
        <v>0.12042389210019265</v>
      </c>
      <c r="F60" s="377">
        <f t="shared" si="5"/>
        <v>807.08092485549116</v>
      </c>
      <c r="G60" s="377">
        <f t="shared" si="2"/>
        <v>177.55780346820805</v>
      </c>
      <c r="H60" s="377">
        <f>F60*'92'!$C$20/100</f>
        <v>160.51779159353498</v>
      </c>
      <c r="I60" s="377">
        <f>E60*матер1!$F$32</f>
        <v>32.579007296557592</v>
      </c>
      <c r="J60" s="377">
        <f t="shared" si="3"/>
        <v>0.76467891675191157</v>
      </c>
    </row>
    <row r="61" spans="1:10" s="380" customFormat="1" ht="10.5" x14ac:dyDescent="0.2">
      <c r="A61" s="381">
        <v>59</v>
      </c>
      <c r="B61" s="382" t="s">
        <v>389</v>
      </c>
      <c r="C61" s="384">
        <v>1571.33</v>
      </c>
      <c r="D61" s="375">
        <v>900</v>
      </c>
      <c r="E61" s="379">
        <f t="shared" si="4"/>
        <v>0.10838150289017338</v>
      </c>
      <c r="F61" s="377">
        <f t="shared" si="5"/>
        <v>726.37283236994199</v>
      </c>
      <c r="G61" s="377">
        <f t="shared" si="2"/>
        <v>159.80202312138724</v>
      </c>
      <c r="H61" s="377">
        <f>F61*'92'!$C$20/100</f>
        <v>144.46601243418147</v>
      </c>
      <c r="I61" s="377">
        <f>E61*матер1!$F$32</f>
        <v>29.321106566901832</v>
      </c>
      <c r="J61" s="377">
        <f t="shared" si="3"/>
        <v>0.67456357002820067</v>
      </c>
    </row>
    <row r="62" spans="1:10" s="380" customFormat="1" ht="10.5" x14ac:dyDescent="0.2">
      <c r="A62" s="381">
        <v>60</v>
      </c>
      <c r="B62" s="382" t="s">
        <v>390</v>
      </c>
      <c r="C62" s="384">
        <v>1686.29</v>
      </c>
      <c r="D62" s="375">
        <f>[1]Лист1!$S$94</f>
        <v>1249</v>
      </c>
      <c r="E62" s="379">
        <f t="shared" si="4"/>
        <v>0.15040944123314062</v>
      </c>
      <c r="F62" s="377">
        <f t="shared" si="5"/>
        <v>1008.0440751445085</v>
      </c>
      <c r="G62" s="377">
        <f t="shared" si="2"/>
        <v>221.76969653179185</v>
      </c>
      <c r="H62" s="377">
        <f>F62*'92'!$C$20/100</f>
        <v>200.48672170032518</v>
      </c>
      <c r="I62" s="377">
        <f>E62*матер1!$F$32</f>
        <v>40.691180113400435</v>
      </c>
      <c r="J62" s="377">
        <f t="shared" si="3"/>
        <v>0.8723242582770615</v>
      </c>
    </row>
    <row r="63" spans="1:10" s="380" customFormat="1" ht="10.5" x14ac:dyDescent="0.2">
      <c r="A63" s="381">
        <v>61</v>
      </c>
      <c r="B63" s="382" t="s">
        <v>391</v>
      </c>
      <c r="C63" s="384">
        <v>454.2</v>
      </c>
      <c r="D63" s="375">
        <v>365</v>
      </c>
      <c r="E63" s="379">
        <f t="shared" si="4"/>
        <v>4.3954720616570318E-2</v>
      </c>
      <c r="F63" s="377">
        <f t="shared" si="5"/>
        <v>294.58453757225425</v>
      </c>
      <c r="G63" s="377">
        <f t="shared" si="2"/>
        <v>64.808598265895938</v>
      </c>
      <c r="H63" s="377">
        <f>F63*'92'!$C$20/100</f>
        <v>58.58899393164026</v>
      </c>
      <c r="I63" s="377">
        <f>E63*матер1!$F$32</f>
        <v>11.891337663243521</v>
      </c>
      <c r="J63" s="377">
        <f t="shared" si="3"/>
        <v>0.94644092345450026</v>
      </c>
    </row>
    <row r="64" spans="1:10" s="380" customFormat="1" ht="10.5" x14ac:dyDescent="0.2">
      <c r="A64" s="381">
        <v>62</v>
      </c>
      <c r="B64" s="382" t="s">
        <v>392</v>
      </c>
      <c r="C64" s="384">
        <v>752.4</v>
      </c>
      <c r="D64" s="375">
        <v>610</v>
      </c>
      <c r="E64" s="379">
        <f t="shared" si="4"/>
        <v>7.3458574181117522E-2</v>
      </c>
      <c r="F64" s="377">
        <f t="shared" si="5"/>
        <v>492.31936416184965</v>
      </c>
      <c r="G64" s="377">
        <f t="shared" si="2"/>
        <v>108.31026011560692</v>
      </c>
      <c r="H64" s="377">
        <f>F64*'92'!$C$20/100</f>
        <v>97.915852872056348</v>
      </c>
      <c r="I64" s="377">
        <f>E64*матер1!$F$32</f>
        <v>19.873194450900133</v>
      </c>
      <c r="J64" s="377">
        <f t="shared" si="3"/>
        <v>0.95483608665658293</v>
      </c>
    </row>
    <row r="65" spans="1:10" s="380" customFormat="1" ht="10.5" x14ac:dyDescent="0.2">
      <c r="A65" s="381">
        <v>63</v>
      </c>
      <c r="B65" s="382" t="s">
        <v>393</v>
      </c>
      <c r="C65" s="384">
        <v>956.4</v>
      </c>
      <c r="D65" s="375">
        <f>[1]Лист1!$S$98</f>
        <v>676.2</v>
      </c>
      <c r="E65" s="379">
        <f t="shared" si="4"/>
        <v>8.1430635838150273E-2</v>
      </c>
      <c r="F65" s="377">
        <f t="shared" si="5"/>
        <v>545.74812138728316</v>
      </c>
      <c r="G65" s="377">
        <f t="shared" si="2"/>
        <v>120.06458670520229</v>
      </c>
      <c r="H65" s="377">
        <f>F65*'92'!$C$20/100</f>
        <v>108.54213067554836</v>
      </c>
      <c r="I65" s="377">
        <f>E65*матер1!$F$32</f>
        <v>22.029924733932244</v>
      </c>
      <c r="J65" s="377">
        <f t="shared" si="3"/>
        <v>0.83269004966746762</v>
      </c>
    </row>
    <row r="66" spans="1:10" s="380" customFormat="1" ht="10.5" x14ac:dyDescent="0.2">
      <c r="A66" s="381">
        <v>64</v>
      </c>
      <c r="B66" s="382" t="s">
        <v>394</v>
      </c>
      <c r="C66" s="384">
        <v>955.5</v>
      </c>
      <c r="D66" s="375">
        <v>780</v>
      </c>
      <c r="E66" s="379">
        <f t="shared" si="4"/>
        <v>9.393063583815027E-2</v>
      </c>
      <c r="F66" s="377">
        <f t="shared" si="5"/>
        <v>629.52312138728314</v>
      </c>
      <c r="G66" s="377">
        <f t="shared" si="2"/>
        <v>138.49508670520228</v>
      </c>
      <c r="H66" s="377">
        <f>F66*'92'!$C$20/100</f>
        <v>125.20387744295729</v>
      </c>
      <c r="I66" s="377">
        <f>E66*матер1!$F$32</f>
        <v>25.411625691314921</v>
      </c>
      <c r="J66" s="377">
        <f t="shared" si="3"/>
        <v>0.96141675690921791</v>
      </c>
    </row>
    <row r="67" spans="1:10" s="380" customFormat="1" ht="10.5" x14ac:dyDescent="0.2">
      <c r="A67" s="381">
        <v>65</v>
      </c>
      <c r="B67" s="382" t="s">
        <v>395</v>
      </c>
      <c r="C67" s="384">
        <v>1548.5</v>
      </c>
      <c r="D67" s="375">
        <v>1260</v>
      </c>
      <c r="E67" s="379">
        <f t="shared" si="4"/>
        <v>0.15173410404624274</v>
      </c>
      <c r="F67" s="377">
        <f t="shared" si="5"/>
        <v>1016.9219653179189</v>
      </c>
      <c r="G67" s="377">
        <f t="shared" si="2"/>
        <v>223.72283236994215</v>
      </c>
      <c r="H67" s="377">
        <f>F67*'92'!$C$20/100</f>
        <v>202.25241740785407</v>
      </c>
      <c r="I67" s="377">
        <f>E67*матер1!$F$32</f>
        <v>41.049549193662564</v>
      </c>
      <c r="J67" s="377">
        <f t="shared" si="3"/>
        <v>0.95831240832378295</v>
      </c>
    </row>
    <row r="68" spans="1:10" s="380" customFormat="1" ht="10.5" x14ac:dyDescent="0.2">
      <c r="A68" s="381">
        <v>66</v>
      </c>
      <c r="B68" s="382" t="s">
        <v>396</v>
      </c>
      <c r="C68" s="384">
        <v>1567.3</v>
      </c>
      <c r="D68" s="375">
        <v>1280</v>
      </c>
      <c r="E68" s="379">
        <f t="shared" si="4"/>
        <v>0.15414258188824659</v>
      </c>
      <c r="F68" s="377">
        <f t="shared" si="5"/>
        <v>1033.0635838150286</v>
      </c>
      <c r="G68" s="377">
        <f t="shared" ref="G68:G131" si="6">F68*22/100</f>
        <v>227.27398843930627</v>
      </c>
      <c r="H68" s="377">
        <f>F68*'92'!$C$20/100</f>
        <v>205.46277323972473</v>
      </c>
      <c r="I68" s="377">
        <f>E68*матер1!$F$32</f>
        <v>41.701129339593713</v>
      </c>
      <c r="J68" s="377">
        <f t="shared" ref="J68:J131" si="7">(F68+G68+H68+I68)/C68</f>
        <v>0.96184615251301819</v>
      </c>
    </row>
    <row r="69" spans="1:10" s="380" customFormat="1" ht="10.5" x14ac:dyDescent="0.2">
      <c r="A69" s="381">
        <v>67</v>
      </c>
      <c r="B69" s="382" t="s">
        <v>397</v>
      </c>
      <c r="C69" s="384">
        <v>1558.46</v>
      </c>
      <c r="D69" s="375">
        <f>[1]Лист1!$S$119</f>
        <v>1219.7</v>
      </c>
      <c r="E69" s="379">
        <f t="shared" si="4"/>
        <v>0.14688102119460497</v>
      </c>
      <c r="F69" s="377">
        <f t="shared" si="5"/>
        <v>984.39660404624249</v>
      </c>
      <c r="G69" s="377">
        <f t="shared" si="6"/>
        <v>216.56725289017334</v>
      </c>
      <c r="H69" s="377">
        <f>F69*'92'!$C$20/100</f>
        <v>195.78355040663462</v>
      </c>
      <c r="I69" s="377">
        <f>E69*матер1!$F$32</f>
        <v>39.736615199611293</v>
      </c>
      <c r="J69" s="377">
        <f t="shared" si="7"/>
        <v>0.92173300729095498</v>
      </c>
    </row>
    <row r="70" spans="1:10" s="380" customFormat="1" ht="10.5" x14ac:dyDescent="0.2">
      <c r="A70" s="381">
        <v>68</v>
      </c>
      <c r="B70" s="382" t="s">
        <v>398</v>
      </c>
      <c r="C70" s="384">
        <v>1575.7</v>
      </c>
      <c r="D70" s="375">
        <f>[1]Лист1!$S$120</f>
        <v>1219.7</v>
      </c>
      <c r="E70" s="379">
        <f t="shared" si="4"/>
        <v>0.14688102119460497</v>
      </c>
      <c r="F70" s="377">
        <f t="shared" si="5"/>
        <v>984.39660404624249</v>
      </c>
      <c r="G70" s="377">
        <f t="shared" si="6"/>
        <v>216.56725289017334</v>
      </c>
      <c r="H70" s="377">
        <f>F70*'92'!$C$20/100</f>
        <v>195.78355040663462</v>
      </c>
      <c r="I70" s="377">
        <f>E70*матер1!$F$32</f>
        <v>39.736615199611293</v>
      </c>
      <c r="J70" s="377">
        <f t="shared" si="7"/>
        <v>0.91164817068138715</v>
      </c>
    </row>
    <row r="71" spans="1:10" s="380" customFormat="1" ht="10.5" x14ac:dyDescent="0.2">
      <c r="A71" s="381">
        <v>69</v>
      </c>
      <c r="B71" s="382" t="s">
        <v>399</v>
      </c>
      <c r="C71" s="384">
        <v>1546.3</v>
      </c>
      <c r="D71" s="375">
        <f>[1]Лист1!$S$121</f>
        <v>1219.7</v>
      </c>
      <c r="E71" s="379">
        <f t="shared" si="4"/>
        <v>0.14688102119460497</v>
      </c>
      <c r="F71" s="377">
        <f t="shared" si="5"/>
        <v>984.39660404624249</v>
      </c>
      <c r="G71" s="377">
        <f t="shared" si="6"/>
        <v>216.56725289017334</v>
      </c>
      <c r="H71" s="377">
        <f>F71*'92'!$C$20/100</f>
        <v>195.78355040663462</v>
      </c>
      <c r="I71" s="377">
        <f>E71*матер1!$F$32</f>
        <v>39.736615199611293</v>
      </c>
      <c r="J71" s="377">
        <f t="shared" si="7"/>
        <v>0.92898145414386712</v>
      </c>
    </row>
    <row r="72" spans="1:10" s="380" customFormat="1" ht="10.5" x14ac:dyDescent="0.2">
      <c r="A72" s="381">
        <v>70</v>
      </c>
      <c r="B72" s="382" t="s">
        <v>400</v>
      </c>
      <c r="C72" s="384">
        <v>563.1</v>
      </c>
      <c r="D72" s="375">
        <v>465</v>
      </c>
      <c r="E72" s="379">
        <f t="shared" si="4"/>
        <v>5.5997109826589585E-2</v>
      </c>
      <c r="F72" s="377">
        <f t="shared" si="5"/>
        <v>375.29263005780342</v>
      </c>
      <c r="G72" s="377">
        <f t="shared" si="6"/>
        <v>82.564378612716752</v>
      </c>
      <c r="H72" s="377">
        <f>F72*'92'!$C$20/100</f>
        <v>74.640773090993775</v>
      </c>
      <c r="I72" s="377">
        <f>E72*матер1!$F$32</f>
        <v>15.14923839289928</v>
      </c>
      <c r="J72" s="377">
        <f t="shared" si="7"/>
        <v>0.97255730803483076</v>
      </c>
    </row>
    <row r="73" spans="1:10" s="380" customFormat="1" ht="10.5" x14ac:dyDescent="0.2">
      <c r="A73" s="381">
        <v>71</v>
      </c>
      <c r="B73" s="382" t="s">
        <v>401</v>
      </c>
      <c r="C73" s="384">
        <v>549.6</v>
      </c>
      <c r="D73" s="375">
        <v>439</v>
      </c>
      <c r="E73" s="379">
        <f t="shared" si="4"/>
        <v>5.2866088631984574E-2</v>
      </c>
      <c r="F73" s="377">
        <f t="shared" si="5"/>
        <v>354.30852601156062</v>
      </c>
      <c r="G73" s="377">
        <f t="shared" si="6"/>
        <v>77.947875722543344</v>
      </c>
      <c r="H73" s="377">
        <f>F73*'92'!$C$20/100</f>
        <v>70.467310509561855</v>
      </c>
      <c r="I73" s="377">
        <f>E73*матер1!$F$32</f>
        <v>14.302184203188784</v>
      </c>
      <c r="J73" s="377">
        <f t="shared" si="7"/>
        <v>0.9407312526325593</v>
      </c>
    </row>
    <row r="74" spans="1:10" s="380" customFormat="1" ht="10.5" x14ac:dyDescent="0.2">
      <c r="A74" s="381">
        <v>72</v>
      </c>
      <c r="B74" s="382" t="s">
        <v>402</v>
      </c>
      <c r="C74" s="384">
        <v>983</v>
      </c>
      <c r="D74" s="375">
        <v>805</v>
      </c>
      <c r="E74" s="379">
        <f t="shared" si="4"/>
        <v>9.6941233140655086E-2</v>
      </c>
      <c r="F74" s="377">
        <f t="shared" si="5"/>
        <v>649.70014450867041</v>
      </c>
      <c r="G74" s="377">
        <f t="shared" si="6"/>
        <v>142.9340317919075</v>
      </c>
      <c r="H74" s="377">
        <f>F74*'92'!$C$20/100</f>
        <v>129.21682223279566</v>
      </c>
      <c r="I74" s="377">
        <f>E74*матер1!$F$32</f>
        <v>26.226100873728861</v>
      </c>
      <c r="J74" s="377">
        <f t="shared" si="7"/>
        <v>0.96447314283530261</v>
      </c>
    </row>
    <row r="75" spans="1:10" s="380" customFormat="1" ht="10.5" x14ac:dyDescent="0.2">
      <c r="A75" s="381">
        <v>73</v>
      </c>
      <c r="B75" s="382" t="s">
        <v>403</v>
      </c>
      <c r="C75" s="384">
        <v>1093.5999999999999</v>
      </c>
      <c r="D75" s="375">
        <f>[1]Лист1!$S$154</f>
        <v>603</v>
      </c>
      <c r="E75" s="379">
        <f t="shared" si="4"/>
        <v>7.2615606936416166E-2</v>
      </c>
      <c r="F75" s="377">
        <f t="shared" si="5"/>
        <v>486.66979768786115</v>
      </c>
      <c r="G75" s="377">
        <f t="shared" si="6"/>
        <v>107.06735549132945</v>
      </c>
      <c r="H75" s="377">
        <f>F75*'92'!$C$20/100</f>
        <v>96.79222833090158</v>
      </c>
      <c r="I75" s="377">
        <f>E75*матер1!$F$32</f>
        <v>19.645141399824226</v>
      </c>
      <c r="J75" s="377">
        <f t="shared" si="7"/>
        <v>0.64939148034922867</v>
      </c>
    </row>
    <row r="76" spans="1:10" s="380" customFormat="1" ht="10.5" x14ac:dyDescent="0.2">
      <c r="A76" s="381">
        <v>74</v>
      </c>
      <c r="B76" s="382" t="s">
        <v>404</v>
      </c>
      <c r="C76" s="384">
        <v>773.53</v>
      </c>
      <c r="D76" s="375">
        <f>[1]Лист1!$S$122</f>
        <v>268.39999999999998</v>
      </c>
      <c r="E76" s="379">
        <f t="shared" si="4"/>
        <v>3.2321772639691708E-2</v>
      </c>
      <c r="F76" s="377">
        <f t="shared" si="5"/>
        <v>216.62052023121382</v>
      </c>
      <c r="G76" s="377">
        <f t="shared" si="6"/>
        <v>47.656514450867043</v>
      </c>
      <c r="H76" s="377">
        <f>F76*'92'!$C$20/100</f>
        <v>43.082975263704782</v>
      </c>
      <c r="I76" s="377">
        <f>E76*матер1!$F$32</f>
        <v>8.7442055583960574</v>
      </c>
      <c r="J76" s="377">
        <f t="shared" si="7"/>
        <v>0.40865152677230582</v>
      </c>
    </row>
    <row r="77" spans="1:10" s="380" customFormat="1" ht="10.5" x14ac:dyDescent="0.2">
      <c r="A77" s="381">
        <v>75</v>
      </c>
      <c r="B77" s="382" t="s">
        <v>405</v>
      </c>
      <c r="C77" s="384">
        <v>1603.4</v>
      </c>
      <c r="D77" s="375">
        <f>[1]Лист1!$S$124</f>
        <v>823</v>
      </c>
      <c r="E77" s="379">
        <f t="shared" si="4"/>
        <v>9.9108863198458547E-2</v>
      </c>
      <c r="F77" s="377">
        <f t="shared" si="5"/>
        <v>664.22760115606923</v>
      </c>
      <c r="G77" s="377">
        <f t="shared" si="6"/>
        <v>146.13007225433523</v>
      </c>
      <c r="H77" s="377">
        <f>F77*'92'!$C$20/100</f>
        <v>132.10614248147928</v>
      </c>
      <c r="I77" s="377">
        <f>E77*матер1!$F$32</f>
        <v>26.812523005066897</v>
      </c>
      <c r="J77" s="377">
        <f t="shared" si="7"/>
        <v>0.60451312142756053</v>
      </c>
    </row>
    <row r="78" spans="1:10" s="380" customFormat="1" ht="10.5" x14ac:dyDescent="0.2">
      <c r="A78" s="381">
        <v>76</v>
      </c>
      <c r="B78" s="382" t="s">
        <v>406</v>
      </c>
      <c r="C78" s="384">
        <v>561.1</v>
      </c>
      <c r="D78" s="375">
        <f>[1]Лист1!$S$125</f>
        <v>0</v>
      </c>
      <c r="E78" s="379">
        <f t="shared" si="4"/>
        <v>0</v>
      </c>
      <c r="F78" s="377">
        <f t="shared" si="5"/>
        <v>0</v>
      </c>
      <c r="G78" s="377">
        <f t="shared" si="6"/>
        <v>0</v>
      </c>
      <c r="H78" s="377">
        <f>F78*'92'!$C$20/100</f>
        <v>0</v>
      </c>
      <c r="I78" s="377">
        <f>E78*матер1!$F$32</f>
        <v>0</v>
      </c>
      <c r="J78" s="377">
        <f t="shared" si="7"/>
        <v>0</v>
      </c>
    </row>
    <row r="79" spans="1:10" s="380" customFormat="1" ht="10.5" x14ac:dyDescent="0.2">
      <c r="A79" s="381">
        <v>77</v>
      </c>
      <c r="B79" s="382" t="s">
        <v>407</v>
      </c>
      <c r="C79" s="384">
        <v>780.4</v>
      </c>
      <c r="D79" s="375">
        <v>635</v>
      </c>
      <c r="E79" s="379">
        <f t="shared" si="4"/>
        <v>7.6469171483622339E-2</v>
      </c>
      <c r="F79" s="377">
        <f t="shared" si="5"/>
        <v>512.49638728323691</v>
      </c>
      <c r="G79" s="377">
        <f t="shared" si="6"/>
        <v>112.74920520231211</v>
      </c>
      <c r="H79" s="377">
        <f>F79*'92'!$C$20/100</f>
        <v>101.92879766189472</v>
      </c>
      <c r="I79" s="377">
        <f>E79*матер1!$F$32</f>
        <v>20.687669633314073</v>
      </c>
      <c r="J79" s="377">
        <f t="shared" si="7"/>
        <v>0.95830607352736763</v>
      </c>
    </row>
    <row r="80" spans="1:10" s="380" customFormat="1" ht="10.5" x14ac:dyDescent="0.2">
      <c r="A80" s="381">
        <v>78</v>
      </c>
      <c r="B80" s="382" t="s">
        <v>408</v>
      </c>
      <c r="C80" s="384">
        <v>1890.1</v>
      </c>
      <c r="D80" s="375">
        <f>[1]Лист1!$S$128</f>
        <v>943</v>
      </c>
      <c r="E80" s="379">
        <f t="shared" si="4"/>
        <v>0.11355973025048167</v>
      </c>
      <c r="F80" s="377">
        <f t="shared" si="5"/>
        <v>761.07731213872819</v>
      </c>
      <c r="G80" s="377">
        <f t="shared" si="6"/>
        <v>167.43700867052019</v>
      </c>
      <c r="H80" s="377">
        <f>F80*'92'!$C$20/100</f>
        <v>151.36827747270348</v>
      </c>
      <c r="I80" s="377">
        <f>E80*матер1!$F$32</f>
        <v>30.722003880653808</v>
      </c>
      <c r="J80" s="377">
        <f t="shared" si="7"/>
        <v>0.58759039318692441</v>
      </c>
    </row>
    <row r="81" spans="1:10" s="380" customFormat="1" ht="10.5" x14ac:dyDescent="0.2">
      <c r="A81" s="381">
        <v>79</v>
      </c>
      <c r="B81" s="382" t="s">
        <v>409</v>
      </c>
      <c r="C81" s="384">
        <v>1734.5</v>
      </c>
      <c r="D81" s="375">
        <f>[1]Лист1!$S$129</f>
        <v>1128</v>
      </c>
      <c r="E81" s="379">
        <f t="shared" si="4"/>
        <v>0.1358381502890173</v>
      </c>
      <c r="F81" s="377">
        <f t="shared" si="5"/>
        <v>910.38728323699399</v>
      </c>
      <c r="G81" s="377">
        <f t="shared" si="6"/>
        <v>200.28520231213869</v>
      </c>
      <c r="H81" s="377">
        <f>F81*'92'!$C$20/100</f>
        <v>181.06406891750743</v>
      </c>
      <c r="I81" s="377">
        <f>E81*матер1!$F$32</f>
        <v>36.749120230516958</v>
      </c>
      <c r="J81" s="377">
        <f t="shared" si="7"/>
        <v>0.76591852101306268</v>
      </c>
    </row>
    <row r="82" spans="1:10" s="380" customFormat="1" ht="10.5" x14ac:dyDescent="0.2">
      <c r="A82" s="381">
        <v>80</v>
      </c>
      <c r="B82" s="382" t="s">
        <v>410</v>
      </c>
      <c r="C82" s="384">
        <v>1565.58</v>
      </c>
      <c r="D82" s="375">
        <f>[1]Лист1!$S$130</f>
        <v>744.25</v>
      </c>
      <c r="E82" s="379">
        <f t="shared" si="4"/>
        <v>8.9625481695568388E-2</v>
      </c>
      <c r="F82" s="377">
        <f t="shared" si="5"/>
        <v>600.6699783236993</v>
      </c>
      <c r="G82" s="377">
        <f t="shared" si="6"/>
        <v>132.14739523121386</v>
      </c>
      <c r="H82" s="377">
        <f>F82*'92'!$C$20/100</f>
        <v>119.46536639348841</v>
      </c>
      <c r="I82" s="377">
        <f>E82*матер1!$F$32</f>
        <v>24.246926180462989</v>
      </c>
      <c r="J82" s="377">
        <f t="shared" si="7"/>
        <v>0.55987536001281601</v>
      </c>
    </row>
    <row r="83" spans="1:10" s="380" customFormat="1" ht="10.5" x14ac:dyDescent="0.2">
      <c r="A83" s="381">
        <v>81</v>
      </c>
      <c r="B83" s="382" t="s">
        <v>411</v>
      </c>
      <c r="C83" s="384">
        <v>2043.8</v>
      </c>
      <c r="D83" s="375">
        <f>[1]Лист1!$S$11</f>
        <v>881.8</v>
      </c>
      <c r="E83" s="379">
        <f t="shared" si="4"/>
        <v>0.10618978805394988</v>
      </c>
      <c r="F83" s="377">
        <f t="shared" si="5"/>
        <v>711.68395953757204</v>
      </c>
      <c r="G83" s="377">
        <f t="shared" si="6"/>
        <v>156.57047109826584</v>
      </c>
      <c r="H83" s="377">
        <f>F83*'92'!$C$20/100</f>
        <v>141.54458862717914</v>
      </c>
      <c r="I83" s="377">
        <f>E83*матер1!$F$32</f>
        <v>28.728168634104485</v>
      </c>
      <c r="J83" s="377">
        <f t="shared" si="7"/>
        <v>0.50813542807374579</v>
      </c>
    </row>
    <row r="84" spans="1:10" s="380" customFormat="1" ht="10.5" x14ac:dyDescent="0.2">
      <c r="A84" s="381">
        <v>82</v>
      </c>
      <c r="B84" s="382" t="s">
        <v>412</v>
      </c>
      <c r="C84" s="384">
        <v>1277.5999999999999</v>
      </c>
      <c r="D84" s="375">
        <v>1030</v>
      </c>
      <c r="E84" s="379">
        <f t="shared" si="4"/>
        <v>0.12403660886319844</v>
      </c>
      <c r="F84" s="377">
        <f t="shared" si="5"/>
        <v>831.2933526011559</v>
      </c>
      <c r="G84" s="377">
        <f t="shared" si="6"/>
        <v>182.88453757225432</v>
      </c>
      <c r="H84" s="377">
        <f>F84*'92'!$C$20/100</f>
        <v>165.33332534134101</v>
      </c>
      <c r="I84" s="377">
        <f>E84*матер1!$F$32</f>
        <v>33.556377515454322</v>
      </c>
      <c r="J84" s="377">
        <f t="shared" si="7"/>
        <v>0.94948934958532072</v>
      </c>
    </row>
    <row r="85" spans="1:10" s="380" customFormat="1" ht="10.5" x14ac:dyDescent="0.2">
      <c r="A85" s="381">
        <v>83</v>
      </c>
      <c r="B85" s="382" t="s">
        <v>413</v>
      </c>
      <c r="C85" s="384">
        <v>1281.1500000000001</v>
      </c>
      <c r="D85" s="375">
        <v>1035</v>
      </c>
      <c r="E85" s="379">
        <f t="shared" si="4"/>
        <v>0.12463872832369939</v>
      </c>
      <c r="F85" s="377">
        <f t="shared" si="5"/>
        <v>835.32875722543326</v>
      </c>
      <c r="G85" s="377">
        <f t="shared" si="6"/>
        <v>183.77232658959531</v>
      </c>
      <c r="H85" s="377">
        <f>F85*'92'!$C$20/100</f>
        <v>166.13591429930867</v>
      </c>
      <c r="I85" s="377">
        <f>E85*матер1!$F$32</f>
        <v>33.719272551937109</v>
      </c>
      <c r="J85" s="377">
        <f t="shared" si="7"/>
        <v>0.95145476381865846</v>
      </c>
    </row>
    <row r="86" spans="1:10" s="380" customFormat="1" ht="10.5" x14ac:dyDescent="0.2">
      <c r="A86" s="381">
        <v>84</v>
      </c>
      <c r="B86" s="382" t="s">
        <v>414</v>
      </c>
      <c r="C86" s="384">
        <v>1492.3</v>
      </c>
      <c r="D86" s="375">
        <f>[1]Лист1!$S$14</f>
        <v>529</v>
      </c>
      <c r="E86" s="379">
        <f t="shared" si="4"/>
        <v>6.370423892100191E-2</v>
      </c>
      <c r="F86" s="377">
        <f t="shared" si="5"/>
        <v>426.94580924855478</v>
      </c>
      <c r="G86" s="377">
        <f t="shared" si="6"/>
        <v>93.928078034682059</v>
      </c>
      <c r="H86" s="377">
        <f>F86*'92'!$C$20/100</f>
        <v>84.913911752979985</v>
      </c>
      <c r="I86" s="377">
        <f>E86*матер1!$F$32</f>
        <v>17.234294859878965</v>
      </c>
      <c r="J86" s="377">
        <f t="shared" si="7"/>
        <v>0.4174911840086416</v>
      </c>
    </row>
    <row r="87" spans="1:10" s="380" customFormat="1" ht="10.5" x14ac:dyDescent="0.2">
      <c r="A87" s="381">
        <v>85</v>
      </c>
      <c r="B87" s="382" t="s">
        <v>415</v>
      </c>
      <c r="C87" s="384">
        <v>4130.75</v>
      </c>
      <c r="D87" s="375">
        <f>[1]Лист1!$S$15</f>
        <v>1896.4</v>
      </c>
      <c r="E87" s="379">
        <f t="shared" si="4"/>
        <v>0.22837186897880535</v>
      </c>
      <c r="F87" s="377">
        <f t="shared" si="5"/>
        <v>1530.5482658959534</v>
      </c>
      <c r="G87" s="377">
        <f t="shared" si="6"/>
        <v>336.72061849710974</v>
      </c>
      <c r="H87" s="377">
        <f>F87*'92'!$C$20/100</f>
        <v>304.4059399779797</v>
      </c>
      <c r="I87" s="377">
        <f>E87*матер1!$F$32</f>
        <v>61.782829437191815</v>
      </c>
      <c r="J87" s="377">
        <f t="shared" si="7"/>
        <v>0.54069058979803541</v>
      </c>
    </row>
    <row r="88" spans="1:10" s="380" customFormat="1" ht="10.5" x14ac:dyDescent="0.2">
      <c r="A88" s="381">
        <v>86</v>
      </c>
      <c r="B88" s="382" t="s">
        <v>416</v>
      </c>
      <c r="C88" s="384">
        <v>3262.1</v>
      </c>
      <c r="D88" s="375">
        <f>[1]Лист1!$S$16</f>
        <v>1687</v>
      </c>
      <c r="E88" s="379">
        <f t="shared" si="4"/>
        <v>0.203155105973025</v>
      </c>
      <c r="F88" s="377">
        <f t="shared" si="5"/>
        <v>1361.5455202312135</v>
      </c>
      <c r="G88" s="377">
        <f t="shared" si="6"/>
        <v>299.54001445086692</v>
      </c>
      <c r="H88" s="377">
        <f>F88*'92'!$C$20/100</f>
        <v>270.79351441829351</v>
      </c>
      <c r="I88" s="377">
        <f>E88*матер1!$F$32</f>
        <v>54.960785309292653</v>
      </c>
      <c r="J88" s="377">
        <f t="shared" si="7"/>
        <v>0.60906772766305961</v>
      </c>
    </row>
    <row r="89" spans="1:10" s="380" customFormat="1" ht="10.5" x14ac:dyDescent="0.2">
      <c r="A89" s="381">
        <v>87</v>
      </c>
      <c r="B89" s="382" t="s">
        <v>417</v>
      </c>
      <c r="C89" s="384">
        <v>1516.8</v>
      </c>
      <c r="D89" s="375">
        <f>[1]Лист1!$S$26</f>
        <v>1177</v>
      </c>
      <c r="E89" s="379">
        <f t="shared" si="4"/>
        <v>0.14173892100192675</v>
      </c>
      <c r="F89" s="377">
        <f t="shared" si="5"/>
        <v>949.9342485549131</v>
      </c>
      <c r="G89" s="377">
        <f t="shared" si="6"/>
        <v>208.98553468208087</v>
      </c>
      <c r="H89" s="377">
        <f>F89*'92'!$C$20/100</f>
        <v>188.92944070559068</v>
      </c>
      <c r="I89" s="377">
        <f>E89*матер1!$F$32</f>
        <v>38.345491588048283</v>
      </c>
      <c r="J89" s="377">
        <f t="shared" si="7"/>
        <v>0.91389419536565997</v>
      </c>
    </row>
    <row r="90" spans="1:10" s="380" customFormat="1" ht="10.5" x14ac:dyDescent="0.2">
      <c r="A90" s="381">
        <v>88</v>
      </c>
      <c r="B90" s="382" t="s">
        <v>418</v>
      </c>
      <c r="C90" s="384">
        <v>752.42</v>
      </c>
      <c r="D90" s="375">
        <f>[1]Лист1!$S$29</f>
        <v>401</v>
      </c>
      <c r="E90" s="379">
        <f t="shared" si="4"/>
        <v>4.8289980732177253E-2</v>
      </c>
      <c r="F90" s="377">
        <f t="shared" si="5"/>
        <v>323.63945086705195</v>
      </c>
      <c r="G90" s="377">
        <f t="shared" si="6"/>
        <v>71.20067919075143</v>
      </c>
      <c r="H90" s="377">
        <f>F90*'92'!$C$20/100</f>
        <v>64.367634429007524</v>
      </c>
      <c r="I90" s="377">
        <f>E90*матер1!$F$32</f>
        <v>13.064181925919595</v>
      </c>
      <c r="J90" s="377">
        <f t="shared" si="7"/>
        <v>0.62767064460371935</v>
      </c>
    </row>
    <row r="91" spans="1:10" s="380" customFormat="1" ht="10.5" x14ac:dyDescent="0.2">
      <c r="A91" s="381">
        <v>89</v>
      </c>
      <c r="B91" s="382" t="s">
        <v>419</v>
      </c>
      <c r="C91" s="384">
        <v>771.7</v>
      </c>
      <c r="D91" s="375">
        <f>[1]Лист1!$S$30</f>
        <v>383</v>
      </c>
      <c r="E91" s="379">
        <f t="shared" si="4"/>
        <v>4.6122350674373785E-2</v>
      </c>
      <c r="F91" s="377">
        <f t="shared" si="5"/>
        <v>309.11199421965313</v>
      </c>
      <c r="G91" s="377">
        <f t="shared" si="6"/>
        <v>68.004638728323684</v>
      </c>
      <c r="H91" s="377">
        <f>F91*'92'!$C$20/100</f>
        <v>61.478314180323899</v>
      </c>
      <c r="I91" s="377">
        <f>E91*матер1!$F$32</f>
        <v>12.477759794581557</v>
      </c>
      <c r="J91" s="377">
        <f t="shared" si="7"/>
        <v>0.5845182155279024</v>
      </c>
    </row>
    <row r="92" spans="1:10" s="380" customFormat="1" ht="10.5" x14ac:dyDescent="0.2">
      <c r="A92" s="381">
        <v>90</v>
      </c>
      <c r="B92" s="382" t="s">
        <v>420</v>
      </c>
      <c r="C92" s="384">
        <v>1545</v>
      </c>
      <c r="D92" s="375">
        <v>1270</v>
      </c>
      <c r="E92" s="379">
        <f t="shared" si="4"/>
        <v>0.15293834296724468</v>
      </c>
      <c r="F92" s="377">
        <f t="shared" si="5"/>
        <v>1024.9927745664738</v>
      </c>
      <c r="G92" s="377">
        <f t="shared" si="6"/>
        <v>225.49841040462422</v>
      </c>
      <c r="H92" s="377">
        <f>F92*'92'!$C$20/100</f>
        <v>203.85759532378944</v>
      </c>
      <c r="I92" s="377">
        <f>E92*матер1!$F$32</f>
        <v>41.375339266628146</v>
      </c>
      <c r="J92" s="377">
        <f t="shared" si="7"/>
        <v>0.96810622625340803</v>
      </c>
    </row>
    <row r="93" spans="1:10" s="380" customFormat="1" ht="10.5" x14ac:dyDescent="0.2">
      <c r="A93" s="381">
        <v>91</v>
      </c>
      <c r="B93" s="382" t="s">
        <v>421</v>
      </c>
      <c r="C93" s="384">
        <v>769.7</v>
      </c>
      <c r="D93" s="375">
        <v>620</v>
      </c>
      <c r="E93" s="379">
        <f t="shared" si="4"/>
        <v>7.4662813102119446E-2</v>
      </c>
      <c r="F93" s="377">
        <f t="shared" si="5"/>
        <v>500.39017341040454</v>
      </c>
      <c r="G93" s="377">
        <f t="shared" si="6"/>
        <v>110.08583815028901</v>
      </c>
      <c r="H93" s="377">
        <f>F93*'92'!$C$20/100</f>
        <v>99.521030787991691</v>
      </c>
      <c r="I93" s="377">
        <f>E93*матер1!$F$32</f>
        <v>20.198984523865708</v>
      </c>
      <c r="J93" s="377">
        <f t="shared" si="7"/>
        <v>0.94867614248739895</v>
      </c>
    </row>
    <row r="94" spans="1:10" s="380" customFormat="1" ht="10.5" x14ac:dyDescent="0.2">
      <c r="A94" s="381">
        <v>92</v>
      </c>
      <c r="B94" s="382" t="s">
        <v>422</v>
      </c>
      <c r="C94" s="384">
        <v>776.9</v>
      </c>
      <c r="D94" s="375">
        <v>630</v>
      </c>
      <c r="E94" s="379">
        <f t="shared" si="4"/>
        <v>7.586705202312137E-2</v>
      </c>
      <c r="F94" s="377">
        <f t="shared" si="5"/>
        <v>508.46098265895944</v>
      </c>
      <c r="G94" s="377">
        <f t="shared" si="6"/>
        <v>111.86141618497108</v>
      </c>
      <c r="H94" s="377">
        <f>F94*'92'!$C$20/100</f>
        <v>101.12620870392703</v>
      </c>
      <c r="I94" s="377">
        <f>E94*матер1!$F$32</f>
        <v>20.524774596831282</v>
      </c>
      <c r="J94" s="377">
        <f t="shared" si="7"/>
        <v>0.95504361197668808</v>
      </c>
    </row>
    <row r="95" spans="1:10" s="380" customFormat="1" ht="10.5" x14ac:dyDescent="0.2">
      <c r="A95" s="381">
        <v>93</v>
      </c>
      <c r="B95" s="382" t="s">
        <v>423</v>
      </c>
      <c r="C95" s="384">
        <v>1935.6</v>
      </c>
      <c r="D95" s="375">
        <f>[1]Лист1!$S$57</f>
        <v>673.6</v>
      </c>
      <c r="E95" s="379">
        <f t="shared" si="4"/>
        <v>8.111753371868978E-2</v>
      </c>
      <c r="F95" s="377">
        <f t="shared" si="5"/>
        <v>543.64971098265892</v>
      </c>
      <c r="G95" s="377">
        <f t="shared" si="6"/>
        <v>119.60293641618496</v>
      </c>
      <c r="H95" s="377">
        <f>F95*'92'!$C$20/100</f>
        <v>108.12478441740517</v>
      </c>
      <c r="I95" s="377">
        <f>E95*матер1!$F$32</f>
        <v>21.945219314961196</v>
      </c>
      <c r="J95" s="377">
        <f t="shared" si="7"/>
        <v>0.40985877822443184</v>
      </c>
    </row>
    <row r="96" spans="1:10" s="380" customFormat="1" ht="10.5" x14ac:dyDescent="0.2">
      <c r="A96" s="381">
        <v>94</v>
      </c>
      <c r="B96" s="382" t="s">
        <v>424</v>
      </c>
      <c r="C96" s="384">
        <v>1513.72</v>
      </c>
      <c r="D96" s="375">
        <v>1220</v>
      </c>
      <c r="E96" s="379">
        <f t="shared" si="4"/>
        <v>0.14691714836223504</v>
      </c>
      <c r="F96" s="377">
        <f t="shared" si="5"/>
        <v>984.6387283236993</v>
      </c>
      <c r="G96" s="377">
        <f t="shared" si="6"/>
        <v>216.62052023121385</v>
      </c>
      <c r="H96" s="377">
        <f>F96*'92'!$C$20/100</f>
        <v>195.8317057441127</v>
      </c>
      <c r="I96" s="377">
        <f>E96*матер1!$F$32</f>
        <v>39.746388901800266</v>
      </c>
      <c r="J96" s="377">
        <f t="shared" si="7"/>
        <v>0.9492094596099846</v>
      </c>
    </row>
    <row r="97" spans="1:10" s="380" customFormat="1" ht="10.5" x14ac:dyDescent="0.2">
      <c r="A97" s="381">
        <v>95</v>
      </c>
      <c r="B97" s="382" t="s">
        <v>425</v>
      </c>
      <c r="C97" s="384">
        <v>1500.3</v>
      </c>
      <c r="D97" s="375">
        <v>1179</v>
      </c>
      <c r="E97" s="379">
        <f t="shared" si="4"/>
        <v>0.14197976878612714</v>
      </c>
      <c r="F97" s="377">
        <f t="shared" si="5"/>
        <v>951.54841040462406</v>
      </c>
      <c r="G97" s="377">
        <f t="shared" si="6"/>
        <v>209.34065028901728</v>
      </c>
      <c r="H97" s="377">
        <f>F97*'92'!$C$20/100</f>
        <v>189.25047628877772</v>
      </c>
      <c r="I97" s="377">
        <f>E97*матер1!$F$32</f>
        <v>38.410649602641399</v>
      </c>
      <c r="J97" s="377">
        <f t="shared" si="7"/>
        <v>0.92551502138576314</v>
      </c>
    </row>
    <row r="98" spans="1:10" s="380" customFormat="1" ht="10.5" x14ac:dyDescent="0.2">
      <c r="A98" s="381">
        <v>96</v>
      </c>
      <c r="B98" s="382" t="s">
        <v>426</v>
      </c>
      <c r="C98" s="384">
        <v>735.9</v>
      </c>
      <c r="D98" s="375">
        <v>600</v>
      </c>
      <c r="E98" s="379">
        <f t="shared" si="4"/>
        <v>7.2254335260115585E-2</v>
      </c>
      <c r="F98" s="377">
        <f t="shared" si="5"/>
        <v>484.24855491329464</v>
      </c>
      <c r="G98" s="377">
        <f t="shared" si="6"/>
        <v>106.53468208092481</v>
      </c>
      <c r="H98" s="377">
        <f>F98*'92'!$C$20/100</f>
        <v>96.310674956120963</v>
      </c>
      <c r="I98" s="377">
        <f>E98*матер1!$F$32</f>
        <v>19.547404377934555</v>
      </c>
      <c r="J98" s="377">
        <f t="shared" si="7"/>
        <v>0.96024095166228418</v>
      </c>
    </row>
    <row r="99" spans="1:10" s="380" customFormat="1" ht="10.5" x14ac:dyDescent="0.2">
      <c r="A99" s="381">
        <v>97</v>
      </c>
      <c r="B99" s="382" t="s">
        <v>427</v>
      </c>
      <c r="C99" s="384">
        <v>757.7</v>
      </c>
      <c r="D99" s="375">
        <v>610</v>
      </c>
      <c r="E99" s="379">
        <f t="shared" si="4"/>
        <v>7.3458574181117522E-2</v>
      </c>
      <c r="F99" s="377">
        <f t="shared" si="5"/>
        <v>492.31936416184965</v>
      </c>
      <c r="G99" s="377">
        <f t="shared" si="6"/>
        <v>108.31026011560692</v>
      </c>
      <c r="H99" s="377">
        <f>F99*'92'!$C$20/100</f>
        <v>97.915852872056348</v>
      </c>
      <c r="I99" s="377">
        <f>E99*матер1!$F$32</f>
        <v>19.873194450900133</v>
      </c>
      <c r="J99" s="377">
        <f t="shared" si="7"/>
        <v>0.94815714874015167</v>
      </c>
    </row>
    <row r="100" spans="1:10" s="380" customFormat="1" ht="10.5" x14ac:dyDescent="0.2">
      <c r="A100" s="381">
        <v>98</v>
      </c>
      <c r="B100" s="382" t="s">
        <v>428</v>
      </c>
      <c r="C100" s="384">
        <v>1915.15</v>
      </c>
      <c r="D100" s="375">
        <f>[1]Лист1!$S$153</f>
        <v>1009</v>
      </c>
      <c r="E100" s="379">
        <f t="shared" si="4"/>
        <v>0.12150770712909438</v>
      </c>
      <c r="F100" s="377">
        <f t="shared" si="5"/>
        <v>814.34465317919057</v>
      </c>
      <c r="G100" s="377">
        <f t="shared" si="6"/>
        <v>179.15582369942192</v>
      </c>
      <c r="H100" s="377">
        <f>F100*'92'!$C$20/100</f>
        <v>161.9624517178768</v>
      </c>
      <c r="I100" s="377">
        <f>E100*матер1!$F$32</f>
        <v>32.872218362226612</v>
      </c>
      <c r="J100" s="377">
        <f t="shared" si="7"/>
        <v>0.62049194421257647</v>
      </c>
    </row>
    <row r="101" spans="1:10" s="380" customFormat="1" ht="10.5" x14ac:dyDescent="0.2">
      <c r="A101" s="381">
        <v>99</v>
      </c>
      <c r="B101" s="382" t="s">
        <v>429</v>
      </c>
      <c r="C101" s="384">
        <v>1544.5</v>
      </c>
      <c r="D101" s="375">
        <f>[1]Лист1!$S$157</f>
        <v>1170</v>
      </c>
      <c r="E101" s="379">
        <f t="shared" si="4"/>
        <v>0.14089595375722541</v>
      </c>
      <c r="F101" s="377">
        <f t="shared" si="5"/>
        <v>944.28468208092465</v>
      </c>
      <c r="G101" s="377">
        <f t="shared" si="6"/>
        <v>207.74263005780344</v>
      </c>
      <c r="H101" s="377">
        <f>F101*'92'!$C$20/100</f>
        <v>187.80581616443592</v>
      </c>
      <c r="I101" s="377">
        <f>E101*матер1!$F$32</f>
        <v>38.117438536972386</v>
      </c>
      <c r="J101" s="377">
        <f t="shared" si="7"/>
        <v>0.89216611643906552</v>
      </c>
    </row>
    <row r="102" spans="1:10" s="380" customFormat="1" ht="10.5" x14ac:dyDescent="0.2">
      <c r="A102" s="381">
        <v>100</v>
      </c>
      <c r="B102" s="382" t="s">
        <v>430</v>
      </c>
      <c r="C102" s="384">
        <v>1552.3</v>
      </c>
      <c r="D102" s="375">
        <f>[1]Лист1!$S$158</f>
        <v>1024</v>
      </c>
      <c r="E102" s="379">
        <f t="shared" si="4"/>
        <v>0.12331406551059727</v>
      </c>
      <c r="F102" s="377">
        <f t="shared" si="5"/>
        <v>826.45086705202289</v>
      </c>
      <c r="G102" s="377">
        <f t="shared" si="6"/>
        <v>181.81919075144503</v>
      </c>
      <c r="H102" s="377">
        <f>F102*'92'!$C$20/100</f>
        <v>164.3702185917798</v>
      </c>
      <c r="I102" s="377">
        <f>E102*матер1!$F$32</f>
        <v>33.360903471674973</v>
      </c>
      <c r="J102" s="377">
        <f t="shared" si="7"/>
        <v>0.77691243952001721</v>
      </c>
    </row>
    <row r="103" spans="1:10" s="380" customFormat="1" ht="10.5" x14ac:dyDescent="0.2">
      <c r="A103" s="381">
        <v>101</v>
      </c>
      <c r="B103" s="382" t="s">
        <v>431</v>
      </c>
      <c r="C103" s="384">
        <v>1287.0999999999999</v>
      </c>
      <c r="D103" s="375">
        <f>[1]Лист1!$S$126</f>
        <v>891</v>
      </c>
      <c r="E103" s="379">
        <f t="shared" si="4"/>
        <v>0.10729768786127165</v>
      </c>
      <c r="F103" s="377">
        <f t="shared" si="5"/>
        <v>719.10910404624258</v>
      </c>
      <c r="G103" s="377">
        <f t="shared" si="6"/>
        <v>158.20400289017337</v>
      </c>
      <c r="H103" s="377">
        <f>F103*'92'!$C$20/100</f>
        <v>143.02135230983967</v>
      </c>
      <c r="I103" s="377">
        <f>E103*матер1!$F$32</f>
        <v>29.027895501232816</v>
      </c>
      <c r="J103" s="377">
        <f t="shared" si="7"/>
        <v>0.8152920167411144</v>
      </c>
    </row>
    <row r="104" spans="1:10" s="380" customFormat="1" ht="10.5" x14ac:dyDescent="0.2">
      <c r="A104" s="381">
        <v>102</v>
      </c>
      <c r="B104" s="382" t="s">
        <v>432</v>
      </c>
      <c r="C104" s="384">
        <v>3473.9</v>
      </c>
      <c r="D104" s="375">
        <f>[1]Лист1!$S$21</f>
        <v>1015</v>
      </c>
      <c r="E104" s="379">
        <f t="shared" si="4"/>
        <v>0.12223025048169554</v>
      </c>
      <c r="F104" s="377">
        <f t="shared" si="5"/>
        <v>819.18713872832348</v>
      </c>
      <c r="G104" s="377">
        <f t="shared" si="6"/>
        <v>180.22117052023117</v>
      </c>
      <c r="H104" s="377">
        <f>F104*'92'!$C$20/100</f>
        <v>162.92555846743798</v>
      </c>
      <c r="I104" s="377">
        <f>E104*матер1!$F$32</f>
        <v>33.067692406005953</v>
      </c>
      <c r="J104" s="377">
        <f t="shared" si="7"/>
        <v>0.34410937566481431</v>
      </c>
    </row>
    <row r="105" spans="1:10" s="380" customFormat="1" ht="10.5" x14ac:dyDescent="0.2">
      <c r="A105" s="381">
        <v>103</v>
      </c>
      <c r="B105" s="382" t="s">
        <v>433</v>
      </c>
      <c r="C105" s="384">
        <v>1838.18</v>
      </c>
      <c r="D105" s="375">
        <f>[1]Лист1!$S$5</f>
        <v>703</v>
      </c>
      <c r="E105" s="379">
        <f t="shared" si="4"/>
        <v>8.4657996146435432E-2</v>
      </c>
      <c r="F105" s="377">
        <f t="shared" si="5"/>
        <v>567.37789017341026</v>
      </c>
      <c r="G105" s="377">
        <f t="shared" si="6"/>
        <v>124.82313583815026</v>
      </c>
      <c r="H105" s="377">
        <f>F105*'92'!$C$20/100</f>
        <v>112.84400749025508</v>
      </c>
      <c r="I105" s="377">
        <f>E105*матер1!$F$32</f>
        <v>22.903042129479985</v>
      </c>
      <c r="J105" s="377">
        <f t="shared" si="7"/>
        <v>0.45041730169585981</v>
      </c>
    </row>
    <row r="106" spans="1:10" s="380" customFormat="1" ht="10.5" x14ac:dyDescent="0.2">
      <c r="A106" s="381">
        <v>104</v>
      </c>
      <c r="B106" s="382" t="s">
        <v>434</v>
      </c>
      <c r="C106" s="384">
        <v>4517.6000000000004</v>
      </c>
      <c r="D106" s="375">
        <f>[1]Лист1!$S$7</f>
        <v>2030.3</v>
      </c>
      <c r="E106" s="379">
        <f t="shared" si="4"/>
        <v>0.24449662813102113</v>
      </c>
      <c r="F106" s="377">
        <f t="shared" si="5"/>
        <v>1638.6164017341036</v>
      </c>
      <c r="G106" s="377">
        <f t="shared" si="6"/>
        <v>360.49560838150285</v>
      </c>
      <c r="H106" s="377">
        <f>F106*'92'!$C$20/100</f>
        <v>325.89927227235404</v>
      </c>
      <c r="I106" s="377">
        <f>E106*матер1!$F$32</f>
        <v>66.145158514200872</v>
      </c>
      <c r="J106" s="377">
        <f t="shared" si="7"/>
        <v>0.52929795486589371</v>
      </c>
    </row>
    <row r="107" spans="1:10" s="380" customFormat="1" ht="10.5" x14ac:dyDescent="0.2">
      <c r="A107" s="381">
        <v>105</v>
      </c>
      <c r="B107" s="382" t="s">
        <v>435</v>
      </c>
      <c r="C107" s="384">
        <v>4524.9399999999996</v>
      </c>
      <c r="D107" s="375">
        <f>[1]Лист1!$S$8</f>
        <v>2380.3000000000002</v>
      </c>
      <c r="E107" s="379">
        <f t="shared" si="4"/>
        <v>0.28664499036608859</v>
      </c>
      <c r="F107" s="377">
        <f t="shared" si="5"/>
        <v>1921.0947254335258</v>
      </c>
      <c r="G107" s="377">
        <f t="shared" si="6"/>
        <v>422.64083959537567</v>
      </c>
      <c r="H107" s="377">
        <f>F107*'92'!$C$20/100</f>
        <v>382.08049933009136</v>
      </c>
      <c r="I107" s="377">
        <f>E107*матер1!$F$32</f>
        <v>77.547811067996037</v>
      </c>
      <c r="J107" s="377">
        <f t="shared" si="7"/>
        <v>0.61953614311504435</v>
      </c>
    </row>
    <row r="108" spans="1:10" s="380" customFormat="1" ht="10.5" x14ac:dyDescent="0.2">
      <c r="A108" s="381">
        <v>106</v>
      </c>
      <c r="B108" s="382" t="s">
        <v>436</v>
      </c>
      <c r="C108" s="384">
        <v>4742.2700000000004</v>
      </c>
      <c r="D108" s="375">
        <f>[1]Лист1!$S$9</f>
        <v>3404.3</v>
      </c>
      <c r="E108" s="379">
        <f t="shared" si="4"/>
        <v>0.40995905587668585</v>
      </c>
      <c r="F108" s="377">
        <f t="shared" si="5"/>
        <v>2747.5455924855487</v>
      </c>
      <c r="G108" s="377">
        <f t="shared" si="6"/>
        <v>604.46003034682076</v>
      </c>
      <c r="H108" s="377">
        <f>F108*'92'!$C$20/100</f>
        <v>546.45071792187116</v>
      </c>
      <c r="I108" s="377">
        <f>E108*матер1!$F$32</f>
        <v>110.90871453967101</v>
      </c>
      <c r="J108" s="377">
        <f t="shared" si="7"/>
        <v>0.84545271679889822</v>
      </c>
    </row>
    <row r="109" spans="1:10" s="380" customFormat="1" ht="10.5" x14ac:dyDescent="0.2">
      <c r="A109" s="381">
        <v>107</v>
      </c>
      <c r="B109" s="382" t="s">
        <v>437</v>
      </c>
      <c r="C109" s="384">
        <v>2538.3000000000002</v>
      </c>
      <c r="D109" s="375">
        <v>2080</v>
      </c>
      <c r="E109" s="379">
        <f t="shared" si="4"/>
        <v>0.25048169556840072</v>
      </c>
      <c r="F109" s="377">
        <f t="shared" si="5"/>
        <v>1678.7283236994217</v>
      </c>
      <c r="G109" s="377">
        <f t="shared" si="6"/>
        <v>369.32023121387277</v>
      </c>
      <c r="H109" s="377">
        <f>F109*'92'!$C$20/100</f>
        <v>333.87700651455276</v>
      </c>
      <c r="I109" s="377">
        <f>E109*матер1!$F$32</f>
        <v>67.764335176839793</v>
      </c>
      <c r="J109" s="377">
        <f t="shared" si="7"/>
        <v>0.96509076807496619</v>
      </c>
    </row>
    <row r="110" spans="1:10" s="380" customFormat="1" ht="10.5" x14ac:dyDescent="0.2">
      <c r="A110" s="381">
        <v>108</v>
      </c>
      <c r="B110" s="382" t="s">
        <v>438</v>
      </c>
      <c r="C110" s="384">
        <v>4452.8999999999996</v>
      </c>
      <c r="D110" s="375">
        <f>[1]Лист1!$S$13</f>
        <v>2172</v>
      </c>
      <c r="E110" s="379">
        <f t="shared" si="4"/>
        <v>0.26156069364161844</v>
      </c>
      <c r="F110" s="377">
        <f t="shared" si="5"/>
        <v>1752.9797687861267</v>
      </c>
      <c r="G110" s="377">
        <f t="shared" si="6"/>
        <v>385.65554913294784</v>
      </c>
      <c r="H110" s="377">
        <f>F110*'92'!$C$20/100</f>
        <v>348.64464334115792</v>
      </c>
      <c r="I110" s="377">
        <f>E110*матер1!$F$32</f>
        <v>70.761603848123087</v>
      </c>
      <c r="J110" s="377">
        <f t="shared" si="7"/>
        <v>0.57446642976674889</v>
      </c>
    </row>
    <row r="111" spans="1:10" s="380" customFormat="1" ht="10.5" x14ac:dyDescent="0.2">
      <c r="A111" s="381">
        <v>109</v>
      </c>
      <c r="B111" s="382" t="s">
        <v>439</v>
      </c>
      <c r="C111" s="384">
        <v>1573.08</v>
      </c>
      <c r="D111" s="375">
        <f>[1]Лист1!$S$23</f>
        <v>753.8</v>
      </c>
      <c r="E111" s="379">
        <f t="shared" si="4"/>
        <v>9.0775529865125215E-2</v>
      </c>
      <c r="F111" s="377">
        <f t="shared" si="5"/>
        <v>608.3776011560692</v>
      </c>
      <c r="G111" s="377">
        <f t="shared" si="6"/>
        <v>133.84307225433523</v>
      </c>
      <c r="H111" s="377">
        <f>F111*'92'!$C$20/100</f>
        <v>120.99831130320666</v>
      </c>
      <c r="I111" s="377">
        <f>E111*матер1!$F$32</f>
        <v>24.558055700145111</v>
      </c>
      <c r="J111" s="377">
        <f t="shared" si="7"/>
        <v>0.56435593893111358</v>
      </c>
    </row>
    <row r="112" spans="1:10" s="380" customFormat="1" ht="10.5" x14ac:dyDescent="0.2">
      <c r="A112" s="381">
        <v>110</v>
      </c>
      <c r="B112" s="382" t="s">
        <v>440</v>
      </c>
      <c r="C112" s="384">
        <v>3168.45</v>
      </c>
      <c r="D112" s="375">
        <v>939</v>
      </c>
      <c r="E112" s="379">
        <f t="shared" si="4"/>
        <v>0.1130780346820809</v>
      </c>
      <c r="F112" s="377">
        <f t="shared" si="5"/>
        <v>757.84898843930614</v>
      </c>
      <c r="G112" s="377">
        <f t="shared" si="6"/>
        <v>166.72677745664737</v>
      </c>
      <c r="H112" s="377">
        <f>F112*'92'!$C$20/100</f>
        <v>150.72620630632935</v>
      </c>
      <c r="I112" s="377">
        <f>E112*матер1!$F$32</f>
        <v>30.591687851467579</v>
      </c>
      <c r="J112" s="377">
        <f t="shared" si="7"/>
        <v>0.34903301616050447</v>
      </c>
    </row>
    <row r="113" spans="1:10" s="380" customFormat="1" ht="10.5" x14ac:dyDescent="0.2">
      <c r="A113" s="381">
        <v>111</v>
      </c>
      <c r="B113" s="382" t="s">
        <v>441</v>
      </c>
      <c r="C113" s="384">
        <v>3182.6</v>
      </c>
      <c r="D113" s="375">
        <f>[1]Лист1!$S$28</f>
        <v>939.2</v>
      </c>
      <c r="E113" s="379">
        <f t="shared" si="4"/>
        <v>0.11310211946050094</v>
      </c>
      <c r="F113" s="377">
        <f t="shared" si="5"/>
        <v>758.01040462427727</v>
      </c>
      <c r="G113" s="377">
        <f t="shared" si="6"/>
        <v>166.762289017341</v>
      </c>
      <c r="H113" s="377">
        <f>F113*'92'!$C$20/100</f>
        <v>150.75830986464803</v>
      </c>
      <c r="I113" s="377">
        <f>E113*матер1!$F$32</f>
        <v>30.598203652926891</v>
      </c>
      <c r="J113" s="377">
        <f t="shared" si="7"/>
        <v>0.34755520868446965</v>
      </c>
    </row>
    <row r="114" spans="1:10" s="380" customFormat="1" ht="10.5" x14ac:dyDescent="0.2">
      <c r="A114" s="381">
        <v>112</v>
      </c>
      <c r="B114" s="382" t="s">
        <v>442</v>
      </c>
      <c r="C114" s="384">
        <v>2283.1999999999998</v>
      </c>
      <c r="D114" s="375">
        <f>[1]Лист1!$S$33</f>
        <v>700</v>
      </c>
      <c r="E114" s="379">
        <f t="shared" si="4"/>
        <v>8.4296724470134851E-2</v>
      </c>
      <c r="F114" s="377">
        <f t="shared" si="5"/>
        <v>564.95664739884376</v>
      </c>
      <c r="G114" s="377">
        <f t="shared" si="6"/>
        <v>124.29046242774562</v>
      </c>
      <c r="H114" s="377">
        <f>F114*'92'!$C$20/100</f>
        <v>112.36245411547446</v>
      </c>
      <c r="I114" s="377">
        <f>E114*матер1!$F$32</f>
        <v>22.805305107590314</v>
      </c>
      <c r="J114" s="377">
        <f t="shared" si="7"/>
        <v>0.36107869177017093</v>
      </c>
    </row>
    <row r="115" spans="1:10" s="380" customFormat="1" ht="10.5" x14ac:dyDescent="0.2">
      <c r="A115" s="381">
        <v>113</v>
      </c>
      <c r="B115" s="382" t="s">
        <v>443</v>
      </c>
      <c r="C115" s="384">
        <v>1091.7</v>
      </c>
      <c r="D115" s="375">
        <v>900</v>
      </c>
      <c r="E115" s="379">
        <f t="shared" si="4"/>
        <v>0.10838150289017338</v>
      </c>
      <c r="F115" s="377">
        <f t="shared" si="5"/>
        <v>726.37283236994199</v>
      </c>
      <c r="G115" s="377">
        <f t="shared" si="6"/>
        <v>159.80202312138724</v>
      </c>
      <c r="H115" s="377">
        <f>F115*'92'!$C$20/100</f>
        <v>144.46601243418147</v>
      </c>
      <c r="I115" s="377">
        <f>E115*матер1!$F$32</f>
        <v>29.321106566901832</v>
      </c>
      <c r="J115" s="377">
        <f t="shared" si="7"/>
        <v>0.97092788723313406</v>
      </c>
    </row>
    <row r="116" spans="1:10" s="380" customFormat="1" ht="10.5" x14ac:dyDescent="0.2">
      <c r="A116" s="381">
        <v>114</v>
      </c>
      <c r="B116" s="382" t="s">
        <v>444</v>
      </c>
      <c r="C116" s="384">
        <v>1733.3</v>
      </c>
      <c r="D116" s="375">
        <f>[1]Лист1!$S$34</f>
        <v>1126.8</v>
      </c>
      <c r="E116" s="379">
        <f t="shared" si="4"/>
        <v>0.13569364161849706</v>
      </c>
      <c r="F116" s="377">
        <f t="shared" si="5"/>
        <v>909.41878612716732</v>
      </c>
      <c r="G116" s="377">
        <f t="shared" si="6"/>
        <v>200.07213294797683</v>
      </c>
      <c r="H116" s="377">
        <f>F116*'92'!$C$20/100</f>
        <v>180.87144756759517</v>
      </c>
      <c r="I116" s="377">
        <f>E116*матер1!$F$32</f>
        <v>36.710025421761088</v>
      </c>
      <c r="J116" s="377">
        <f t="shared" si="7"/>
        <v>0.76563341144897046</v>
      </c>
    </row>
    <row r="117" spans="1:10" s="380" customFormat="1" ht="10.5" x14ac:dyDescent="0.2">
      <c r="A117" s="381">
        <v>115</v>
      </c>
      <c r="B117" s="382" t="s">
        <v>445</v>
      </c>
      <c r="C117" s="384">
        <v>1752.82</v>
      </c>
      <c r="D117" s="375">
        <f>[1]Лист1!$S$35</f>
        <v>1126.8</v>
      </c>
      <c r="E117" s="379">
        <f t="shared" si="4"/>
        <v>0.13569364161849706</v>
      </c>
      <c r="F117" s="377">
        <f t="shared" si="5"/>
        <v>909.41878612716732</v>
      </c>
      <c r="G117" s="377">
        <f t="shared" si="6"/>
        <v>200.07213294797683</v>
      </c>
      <c r="H117" s="377">
        <f>F117*'92'!$C$20/100</f>
        <v>180.87144756759517</v>
      </c>
      <c r="I117" s="377">
        <f>E117*матер1!$F$32</f>
        <v>36.710025421761088</v>
      </c>
      <c r="J117" s="377">
        <f t="shared" si="7"/>
        <v>0.7571070572360542</v>
      </c>
    </row>
    <row r="118" spans="1:10" s="380" customFormat="1" ht="10.5" x14ac:dyDescent="0.2">
      <c r="A118" s="381">
        <v>116</v>
      </c>
      <c r="B118" s="382" t="s">
        <v>446</v>
      </c>
      <c r="C118" s="384">
        <v>3688.59</v>
      </c>
      <c r="D118" s="375">
        <f>[1]Лист1!$S$43</f>
        <v>1512.8</v>
      </c>
      <c r="E118" s="379">
        <f t="shared" si="4"/>
        <v>0.18217726396917144</v>
      </c>
      <c r="F118" s="377">
        <f t="shared" si="5"/>
        <v>1220.9520231213869</v>
      </c>
      <c r="G118" s="377">
        <f t="shared" si="6"/>
        <v>268.60944508670514</v>
      </c>
      <c r="H118" s="377">
        <f>F118*'92'!$C$20/100</f>
        <v>242.83131512269966</v>
      </c>
      <c r="I118" s="377">
        <f>E118*матер1!$F$32</f>
        <v>49.285522238232325</v>
      </c>
      <c r="J118" s="377">
        <f t="shared" si="7"/>
        <v>0.48302421943588847</v>
      </c>
    </row>
    <row r="119" spans="1:10" s="380" customFormat="1" ht="10.5" x14ac:dyDescent="0.2">
      <c r="A119" s="381">
        <v>117</v>
      </c>
      <c r="B119" s="382" t="s">
        <v>447</v>
      </c>
      <c r="C119" s="384">
        <v>3868.13</v>
      </c>
      <c r="D119" s="375">
        <f>[1]Лист1!$S$44</f>
        <v>1090.9000000000001</v>
      </c>
      <c r="E119" s="379">
        <f t="shared" si="4"/>
        <v>0.13137042389210019</v>
      </c>
      <c r="F119" s="377">
        <f t="shared" si="5"/>
        <v>880.44458092485547</v>
      </c>
      <c r="G119" s="377">
        <f t="shared" si="6"/>
        <v>193.69780780346821</v>
      </c>
      <c r="H119" s="377">
        <f>F119*'92'!$C$20/100</f>
        <v>175.10885884938733</v>
      </c>
      <c r="I119" s="377">
        <f>E119*матер1!$F$32</f>
        <v>35.54043905981468</v>
      </c>
      <c r="J119" s="377">
        <f t="shared" si="7"/>
        <v>0.33214801121925208</v>
      </c>
    </row>
    <row r="120" spans="1:10" s="380" customFormat="1" ht="10.5" x14ac:dyDescent="0.2">
      <c r="A120" s="381">
        <v>118</v>
      </c>
      <c r="B120" s="382" t="s">
        <v>448</v>
      </c>
      <c r="C120" s="384">
        <v>2821.38</v>
      </c>
      <c r="D120" s="375">
        <f>[1]Лист1!$S$45</f>
        <v>1492</v>
      </c>
      <c r="E120" s="379">
        <f t="shared" si="4"/>
        <v>0.17967244701348745</v>
      </c>
      <c r="F120" s="377">
        <f t="shared" si="5"/>
        <v>1204.1647398843929</v>
      </c>
      <c r="G120" s="377">
        <f t="shared" si="6"/>
        <v>264.91624277456646</v>
      </c>
      <c r="H120" s="377">
        <f>F120*'92'!$C$20/100</f>
        <v>239.4925450575542</v>
      </c>
      <c r="I120" s="377">
        <f>E120*матер1!$F$32</f>
        <v>48.607878886463929</v>
      </c>
      <c r="J120" s="377">
        <f t="shared" si="7"/>
        <v>0.6228091950049186</v>
      </c>
    </row>
    <row r="121" spans="1:10" s="380" customFormat="1" ht="10.5" x14ac:dyDescent="0.2">
      <c r="A121" s="381">
        <v>119</v>
      </c>
      <c r="B121" s="382" t="s">
        <v>449</v>
      </c>
      <c r="C121" s="384">
        <v>4277.29</v>
      </c>
      <c r="D121" s="375">
        <f>[1]Лист1!$S$47</f>
        <v>1124.5</v>
      </c>
      <c r="E121" s="379">
        <f t="shared" ref="E121:E160" si="8">D121/$E$163</f>
        <v>0.13541666666666663</v>
      </c>
      <c r="F121" s="377">
        <f t="shared" ref="F121:F160" si="9">E121*$F$163</f>
        <v>907.56249999999977</v>
      </c>
      <c r="G121" s="377">
        <f t="shared" si="6"/>
        <v>199.66374999999996</v>
      </c>
      <c r="H121" s="377">
        <f>F121*'92'!$C$20/100</f>
        <v>180.50225664693008</v>
      </c>
      <c r="I121" s="377">
        <f>E121*матер1!$F$32</f>
        <v>36.635093704979013</v>
      </c>
      <c r="J121" s="377">
        <f t="shared" si="7"/>
        <v>0.30962679648840946</v>
      </c>
    </row>
    <row r="122" spans="1:10" s="380" customFormat="1" ht="10.5" x14ac:dyDescent="0.2">
      <c r="A122" s="381">
        <v>120</v>
      </c>
      <c r="B122" s="382" t="s">
        <v>450</v>
      </c>
      <c r="C122" s="384">
        <v>2171.3000000000002</v>
      </c>
      <c r="D122" s="375">
        <v>1780</v>
      </c>
      <c r="E122" s="379">
        <f t="shared" si="8"/>
        <v>0.21435452793834292</v>
      </c>
      <c r="F122" s="377">
        <f t="shared" si="9"/>
        <v>1436.6040462427743</v>
      </c>
      <c r="G122" s="377">
        <f t="shared" si="6"/>
        <v>316.05289017341033</v>
      </c>
      <c r="H122" s="377">
        <f>F122*'92'!$C$20/100</f>
        <v>285.7216690364923</v>
      </c>
      <c r="I122" s="377">
        <f>E122*матер1!$F$32</f>
        <v>57.990632987872516</v>
      </c>
      <c r="J122" s="377">
        <f t="shared" si="7"/>
        <v>0.96549036910631847</v>
      </c>
    </row>
    <row r="123" spans="1:10" s="380" customFormat="1" ht="10.5" x14ac:dyDescent="0.2">
      <c r="A123" s="381">
        <v>121</v>
      </c>
      <c r="B123" s="382" t="s">
        <v>451</v>
      </c>
      <c r="C123" s="384">
        <v>5707.1</v>
      </c>
      <c r="D123" s="375">
        <f>[1]Лист1!$S$48</f>
        <v>903</v>
      </c>
      <c r="E123" s="379">
        <f t="shared" si="8"/>
        <v>0.10874277456647397</v>
      </c>
      <c r="F123" s="377">
        <f t="shared" si="9"/>
        <v>728.7940751445085</v>
      </c>
      <c r="G123" s="377">
        <f t="shared" si="6"/>
        <v>160.33469653179188</v>
      </c>
      <c r="H123" s="377">
        <f>F123*'92'!$C$20/100</f>
        <v>144.94756580896208</v>
      </c>
      <c r="I123" s="377">
        <f>E123*матер1!$F$32</f>
        <v>29.418843588791507</v>
      </c>
      <c r="J123" s="377">
        <f t="shared" si="7"/>
        <v>0.18634598676631808</v>
      </c>
    </row>
    <row r="124" spans="1:10" s="380" customFormat="1" ht="10.5" x14ac:dyDescent="0.2">
      <c r="A124" s="381">
        <v>122</v>
      </c>
      <c r="B124" s="382" t="s">
        <v>452</v>
      </c>
      <c r="C124" s="384">
        <v>1727.35</v>
      </c>
      <c r="D124" s="375">
        <f>[1]Лист1!$S$53</f>
        <v>996.7</v>
      </c>
      <c r="E124" s="379">
        <f t="shared" si="8"/>
        <v>0.12002649325626202</v>
      </c>
      <c r="F124" s="377">
        <f t="shared" si="9"/>
        <v>804.41755780346807</v>
      </c>
      <c r="G124" s="377">
        <f t="shared" si="6"/>
        <v>176.97186271676298</v>
      </c>
      <c r="H124" s="377">
        <f>F124*'92'!$C$20/100</f>
        <v>159.98808288127631</v>
      </c>
      <c r="I124" s="377">
        <f>E124*матер1!$F$32</f>
        <v>32.471496572478955</v>
      </c>
      <c r="J124" s="377">
        <f t="shared" si="7"/>
        <v>0.67956638780443246</v>
      </c>
    </row>
    <row r="125" spans="1:10" s="403" customFormat="1" ht="10.5" x14ac:dyDescent="0.2">
      <c r="A125" s="398">
        <v>123</v>
      </c>
      <c r="B125" s="399" t="s">
        <v>453</v>
      </c>
      <c r="C125" s="384">
        <v>2522.5500000000002</v>
      </c>
      <c r="D125" s="400">
        <v>1686</v>
      </c>
      <c r="E125" s="401">
        <f t="shared" si="8"/>
        <v>0.20303468208092482</v>
      </c>
      <c r="F125" s="402">
        <f t="shared" si="9"/>
        <v>1360.738439306358</v>
      </c>
      <c r="G125" s="402">
        <f t="shared" si="6"/>
        <v>299.36245664739874</v>
      </c>
      <c r="H125" s="402">
        <f>F125*'92'!$C$20/100</f>
        <v>270.63299662669999</v>
      </c>
      <c r="I125" s="402">
        <f>E125*матер1!$F$32</f>
        <v>54.928206301996099</v>
      </c>
      <c r="J125" s="402">
        <f t="shared" si="7"/>
        <v>0.78716461472813326</v>
      </c>
    </row>
    <row r="126" spans="1:10" s="403" customFormat="1" ht="10.5" x14ac:dyDescent="0.2">
      <c r="A126" s="398">
        <v>124</v>
      </c>
      <c r="B126" s="399" t="s">
        <v>454</v>
      </c>
      <c r="C126" s="384">
        <v>2516.6999999999998</v>
      </c>
      <c r="D126" s="400">
        <f>[1]Лист1!$S$55</f>
        <v>1686</v>
      </c>
      <c r="E126" s="401">
        <f t="shared" si="8"/>
        <v>0.20303468208092482</v>
      </c>
      <c r="F126" s="402">
        <f t="shared" si="9"/>
        <v>1360.738439306358</v>
      </c>
      <c r="G126" s="402">
        <f t="shared" si="6"/>
        <v>299.36245664739874</v>
      </c>
      <c r="H126" s="402">
        <f>F126*'92'!$C$20/100</f>
        <v>270.63299662669999</v>
      </c>
      <c r="I126" s="402">
        <f>E126*матер1!$F$32</f>
        <v>54.928206301996099</v>
      </c>
      <c r="J126" s="402">
        <f t="shared" si="7"/>
        <v>0.78899435724657407</v>
      </c>
    </row>
    <row r="127" spans="1:10" s="403" customFormat="1" ht="10.5" x14ac:dyDescent="0.2">
      <c r="A127" s="398">
        <v>125</v>
      </c>
      <c r="B127" s="399" t="s">
        <v>455</v>
      </c>
      <c r="C127" s="384">
        <v>1774.47</v>
      </c>
      <c r="D127" s="400">
        <f>[1]Лист1!$S$56</f>
        <v>1086.7</v>
      </c>
      <c r="E127" s="401">
        <f t="shared" si="8"/>
        <v>0.13086464354527935</v>
      </c>
      <c r="F127" s="402">
        <f t="shared" si="9"/>
        <v>877.05484104046218</v>
      </c>
      <c r="G127" s="402">
        <f t="shared" si="6"/>
        <v>192.95206502890167</v>
      </c>
      <c r="H127" s="402">
        <f>F127*'92'!$C$20/100</f>
        <v>174.43468412469443</v>
      </c>
      <c r="I127" s="402">
        <f>E127*матер1!$F$32</f>
        <v>35.403607229169133</v>
      </c>
      <c r="J127" s="402">
        <f t="shared" si="7"/>
        <v>0.72125490846462748</v>
      </c>
    </row>
    <row r="128" spans="1:10" s="403" customFormat="1" ht="10.5" x14ac:dyDescent="0.2">
      <c r="A128" s="398">
        <v>126</v>
      </c>
      <c r="B128" s="399" t="s">
        <v>456</v>
      </c>
      <c r="C128" s="384">
        <v>1727.7</v>
      </c>
      <c r="D128" s="400">
        <f>[1]Лист1!$S$49</f>
        <v>624</v>
      </c>
      <c r="E128" s="401">
        <f t="shared" si="8"/>
        <v>7.5144508670520221E-2</v>
      </c>
      <c r="F128" s="402">
        <f t="shared" si="9"/>
        <v>503.61849710982654</v>
      </c>
      <c r="G128" s="402">
        <f t="shared" si="6"/>
        <v>110.79606936416184</v>
      </c>
      <c r="H128" s="402">
        <f>F128*'92'!$C$20/100</f>
        <v>100.16310195436583</v>
      </c>
      <c r="I128" s="402">
        <f>E128*матер1!$F$32</f>
        <v>20.32930055305194</v>
      </c>
      <c r="J128" s="402">
        <f t="shared" si="7"/>
        <v>0.42536723330520693</v>
      </c>
    </row>
    <row r="129" spans="1:10" s="380" customFormat="1" ht="10.5" x14ac:dyDescent="0.2">
      <c r="A129" s="381">
        <v>127</v>
      </c>
      <c r="B129" s="382" t="s">
        <v>457</v>
      </c>
      <c r="C129" s="384">
        <v>3216.3</v>
      </c>
      <c r="D129" s="375">
        <f>[1]Лист1!$S$58</f>
        <v>632</v>
      </c>
      <c r="E129" s="379">
        <f t="shared" si="8"/>
        <v>7.6107899807321758E-2</v>
      </c>
      <c r="F129" s="377">
        <f t="shared" si="9"/>
        <v>510.07514450867041</v>
      </c>
      <c r="G129" s="377">
        <f t="shared" si="6"/>
        <v>112.21653179190749</v>
      </c>
      <c r="H129" s="377">
        <f>F129*'92'!$C$20/100</f>
        <v>101.4472442871141</v>
      </c>
      <c r="I129" s="377">
        <f>E129*матер1!$F$32</f>
        <v>20.589932611424398</v>
      </c>
      <c r="J129" s="377">
        <f t="shared" si="7"/>
        <v>0.23142395087495457</v>
      </c>
    </row>
    <row r="130" spans="1:10" s="380" customFormat="1" ht="10.5" x14ac:dyDescent="0.2">
      <c r="A130" s="381">
        <v>128</v>
      </c>
      <c r="B130" s="382" t="s">
        <v>458</v>
      </c>
      <c r="C130" s="384">
        <v>3895.1</v>
      </c>
      <c r="D130" s="375">
        <f>[1]Лист1!$S$59</f>
        <v>802</v>
      </c>
      <c r="E130" s="379">
        <f t="shared" si="8"/>
        <v>9.6579961464354505E-2</v>
      </c>
      <c r="F130" s="377">
        <f t="shared" si="9"/>
        <v>647.2789017341039</v>
      </c>
      <c r="G130" s="377">
        <f t="shared" si="6"/>
        <v>142.40135838150286</v>
      </c>
      <c r="H130" s="377">
        <f>F130*'92'!$C$20/100</f>
        <v>128.73526885801505</v>
      </c>
      <c r="I130" s="377">
        <f>E130*матер1!$F$32</f>
        <v>26.12836385183919</v>
      </c>
      <c r="J130" s="377">
        <f t="shared" si="7"/>
        <v>0.24249541547725628</v>
      </c>
    </row>
    <row r="131" spans="1:10" s="380" customFormat="1" ht="10.5" x14ac:dyDescent="0.2">
      <c r="A131" s="381">
        <v>129</v>
      </c>
      <c r="B131" s="382" t="s">
        <v>459</v>
      </c>
      <c r="C131" s="384">
        <v>4002.8</v>
      </c>
      <c r="D131" s="375">
        <f>[1]Лист1!$S$60</f>
        <v>1183.5</v>
      </c>
      <c r="E131" s="379">
        <f t="shared" si="8"/>
        <v>0.14252167630057799</v>
      </c>
      <c r="F131" s="377">
        <f t="shared" si="9"/>
        <v>955.18027456647371</v>
      </c>
      <c r="G131" s="377">
        <f t="shared" si="6"/>
        <v>210.13966040462424</v>
      </c>
      <c r="H131" s="377">
        <f>F131*'92'!$C$20/100</f>
        <v>189.97280635094864</v>
      </c>
      <c r="I131" s="377">
        <f>E131*матер1!$F$32</f>
        <v>38.557255135475906</v>
      </c>
      <c r="J131" s="377">
        <f t="shared" si="7"/>
        <v>0.34821874599218616</v>
      </c>
    </row>
    <row r="132" spans="1:10" s="380" customFormat="1" ht="10.5" x14ac:dyDescent="0.2">
      <c r="A132" s="381">
        <v>130</v>
      </c>
      <c r="B132" s="382" t="s">
        <v>460</v>
      </c>
      <c r="C132" s="384">
        <v>3852.63</v>
      </c>
      <c r="D132" s="375">
        <f>[1]Лист1!$S$63</f>
        <v>1265</v>
      </c>
      <c r="E132" s="379">
        <f t="shared" si="8"/>
        <v>0.1523362235067437</v>
      </c>
      <c r="F132" s="377">
        <f t="shared" si="9"/>
        <v>1020.9573699421962</v>
      </c>
      <c r="G132" s="377">
        <f t="shared" ref="G132:G160" si="10">F132*22/100</f>
        <v>224.61062138728317</v>
      </c>
      <c r="H132" s="377">
        <f>F132*'92'!$C$20/100</f>
        <v>203.05500636582173</v>
      </c>
      <c r="I132" s="377">
        <f>E132*матер1!$F$32</f>
        <v>41.212444230145351</v>
      </c>
      <c r="J132" s="377">
        <f t="shared" ref="J132:J160" si="11">(F132+G132+H132+I132)/C132</f>
        <v>0.3867060792044516</v>
      </c>
    </row>
    <row r="133" spans="1:10" s="380" customFormat="1" ht="10.5" x14ac:dyDescent="0.2">
      <c r="A133" s="381">
        <v>131</v>
      </c>
      <c r="B133" s="382" t="s">
        <v>461</v>
      </c>
      <c r="C133" s="384">
        <v>3560.4</v>
      </c>
      <c r="D133" s="375">
        <f>[1]Лист1!$S$66</f>
        <v>1554</v>
      </c>
      <c r="E133" s="379">
        <f t="shared" si="8"/>
        <v>0.18713872832369938</v>
      </c>
      <c r="F133" s="377">
        <f t="shared" si="9"/>
        <v>1254.2037572254333</v>
      </c>
      <c r="G133" s="377">
        <f t="shared" si="10"/>
        <v>275.92482658959534</v>
      </c>
      <c r="H133" s="377">
        <f>F133*'92'!$C$20/100</f>
        <v>249.44464813635335</v>
      </c>
      <c r="I133" s="377">
        <f>E133*матер1!$F$32</f>
        <v>50.6277773388505</v>
      </c>
      <c r="J133" s="377">
        <f t="shared" si="11"/>
        <v>0.51404364939058322</v>
      </c>
    </row>
    <row r="134" spans="1:10" s="380" customFormat="1" ht="10.5" x14ac:dyDescent="0.2">
      <c r="A134" s="381">
        <v>132</v>
      </c>
      <c r="B134" s="382" t="s">
        <v>462</v>
      </c>
      <c r="C134" s="384">
        <v>944.7</v>
      </c>
      <c r="D134" s="375">
        <f>[1]Лист1!$S$72</f>
        <v>381</v>
      </c>
      <c r="E134" s="379">
        <f t="shared" si="8"/>
        <v>4.5881502890173398E-2</v>
      </c>
      <c r="F134" s="377">
        <f t="shared" si="9"/>
        <v>307.4978323699421</v>
      </c>
      <c r="G134" s="377">
        <f t="shared" si="10"/>
        <v>67.649523121387261</v>
      </c>
      <c r="H134" s="377">
        <f>F134*'92'!$C$20/100</f>
        <v>61.157278597136816</v>
      </c>
      <c r="I134" s="377">
        <f>E134*матер1!$F$32</f>
        <v>12.412601779988442</v>
      </c>
      <c r="J134" s="377">
        <f t="shared" si="11"/>
        <v>0.47498384235043356</v>
      </c>
    </row>
    <row r="135" spans="1:10" s="380" customFormat="1" ht="10.5" x14ac:dyDescent="0.2">
      <c r="A135" s="381">
        <v>133</v>
      </c>
      <c r="B135" s="382" t="s">
        <v>463</v>
      </c>
      <c r="C135" s="384">
        <v>2428.5</v>
      </c>
      <c r="D135" s="375">
        <f>[1]Лист1!$S$73</f>
        <v>869.6</v>
      </c>
      <c r="E135" s="379">
        <f t="shared" si="8"/>
        <v>0.10472061657032754</v>
      </c>
      <c r="F135" s="377">
        <f t="shared" si="9"/>
        <v>701.83757225433521</v>
      </c>
      <c r="G135" s="377">
        <f t="shared" si="10"/>
        <v>154.40426589595373</v>
      </c>
      <c r="H135" s="377">
        <f>F135*'92'!$C$20/100</f>
        <v>139.58627156973805</v>
      </c>
      <c r="I135" s="377">
        <f>E135*матер1!$F$32</f>
        <v>28.330704745086482</v>
      </c>
      <c r="J135" s="377">
        <f t="shared" si="11"/>
        <v>0.4217248566873022</v>
      </c>
    </row>
    <row r="136" spans="1:10" s="380" customFormat="1" ht="10.5" x14ac:dyDescent="0.2">
      <c r="A136" s="381">
        <v>134</v>
      </c>
      <c r="B136" s="382" t="s">
        <v>464</v>
      </c>
      <c r="C136" s="384">
        <v>4861.91</v>
      </c>
      <c r="D136" s="375">
        <f>[1]Лист1!$S$100</f>
        <v>2114</v>
      </c>
      <c r="E136" s="379">
        <f t="shared" si="8"/>
        <v>0.25457610789980728</v>
      </c>
      <c r="F136" s="377">
        <f t="shared" si="9"/>
        <v>1706.1690751445085</v>
      </c>
      <c r="G136" s="377">
        <f t="shared" si="10"/>
        <v>375.35719653179183</v>
      </c>
      <c r="H136" s="377">
        <f>F136*'92'!$C$20/100</f>
        <v>339.33461142873296</v>
      </c>
      <c r="I136" s="377">
        <f>E136*матер1!$F$32</f>
        <v>68.87202142492275</v>
      </c>
      <c r="J136" s="377">
        <f t="shared" si="11"/>
        <v>0.5120894678284782</v>
      </c>
    </row>
    <row r="137" spans="1:10" s="380" customFormat="1" ht="10.5" x14ac:dyDescent="0.2">
      <c r="A137" s="381">
        <v>135</v>
      </c>
      <c r="B137" s="382" t="s">
        <v>465</v>
      </c>
      <c r="C137" s="384">
        <v>3078.77</v>
      </c>
      <c r="D137" s="375">
        <f>[1]Лист1!$S$102</f>
        <v>2235</v>
      </c>
      <c r="E137" s="379">
        <f t="shared" si="8"/>
        <v>0.26914739884393057</v>
      </c>
      <c r="F137" s="377">
        <f t="shared" si="9"/>
        <v>1803.8258670520227</v>
      </c>
      <c r="G137" s="377">
        <f t="shared" si="10"/>
        <v>396.84169075144496</v>
      </c>
      <c r="H137" s="377">
        <f>F137*'92'!$C$20/100</f>
        <v>358.75726421155065</v>
      </c>
      <c r="I137" s="377">
        <f>E137*матер1!$F$32</f>
        <v>72.814081307806219</v>
      </c>
      <c r="J137" s="377">
        <f t="shared" si="11"/>
        <v>0.85496445116810416</v>
      </c>
    </row>
    <row r="138" spans="1:10" s="380" customFormat="1" ht="10.5" x14ac:dyDescent="0.2">
      <c r="A138" s="381">
        <v>136</v>
      </c>
      <c r="B138" s="382" t="s">
        <v>466</v>
      </c>
      <c r="C138" s="384">
        <v>3188.68</v>
      </c>
      <c r="D138" s="375">
        <v>2600</v>
      </c>
      <c r="E138" s="379">
        <f t="shared" si="8"/>
        <v>0.31310211946050087</v>
      </c>
      <c r="F138" s="377">
        <f t="shared" si="9"/>
        <v>2098.4104046242769</v>
      </c>
      <c r="G138" s="377">
        <f t="shared" si="10"/>
        <v>461.65028901734092</v>
      </c>
      <c r="H138" s="377">
        <f>F138*'92'!$C$20/100</f>
        <v>417.34625814319094</v>
      </c>
      <c r="I138" s="377">
        <f>E138*матер1!$F$32</f>
        <v>84.705418971049738</v>
      </c>
      <c r="J138" s="377">
        <f t="shared" si="11"/>
        <v>0.96030720259036928</v>
      </c>
    </row>
    <row r="139" spans="1:10" s="380" customFormat="1" ht="10.5" x14ac:dyDescent="0.2">
      <c r="A139" s="381">
        <v>137</v>
      </c>
      <c r="B139" s="382" t="s">
        <v>467</v>
      </c>
      <c r="C139" s="384">
        <v>2782.65</v>
      </c>
      <c r="D139" s="375">
        <f>[1]Лист1!$S$104</f>
        <v>1544.6</v>
      </c>
      <c r="E139" s="379">
        <f t="shared" si="8"/>
        <v>0.18600674373795756</v>
      </c>
      <c r="F139" s="377">
        <f t="shared" si="9"/>
        <v>1246.6171965317915</v>
      </c>
      <c r="G139" s="377">
        <f t="shared" si="10"/>
        <v>274.25578323699415</v>
      </c>
      <c r="H139" s="377">
        <f>F139*'92'!$C$20/100</f>
        <v>247.93578089537408</v>
      </c>
      <c r="I139" s="377">
        <f>E139*матер1!$F$32</f>
        <v>50.321534670262849</v>
      </c>
      <c r="J139" s="377">
        <f t="shared" si="11"/>
        <v>0.65374024592903257</v>
      </c>
    </row>
    <row r="140" spans="1:10" s="380" customFormat="1" ht="10.5" x14ac:dyDescent="0.2">
      <c r="A140" s="381">
        <v>138</v>
      </c>
      <c r="B140" s="382" t="s">
        <v>468</v>
      </c>
      <c r="C140" s="384">
        <v>2258.6</v>
      </c>
      <c r="D140" s="375">
        <f>[1]Лист1!$S$107</f>
        <v>1317</v>
      </c>
      <c r="E140" s="379">
        <f t="shared" si="8"/>
        <v>0.15859826589595372</v>
      </c>
      <c r="F140" s="377">
        <f t="shared" si="9"/>
        <v>1062.9255780346818</v>
      </c>
      <c r="G140" s="377">
        <f t="shared" si="10"/>
        <v>233.84362716762999</v>
      </c>
      <c r="H140" s="377">
        <f>F140*'92'!$C$20/100</f>
        <v>211.40193152868557</v>
      </c>
      <c r="I140" s="377">
        <f>E140*матер1!$F$32</f>
        <v>42.906552609566347</v>
      </c>
      <c r="J140" s="377">
        <f t="shared" si="11"/>
        <v>0.68674297765897618</v>
      </c>
    </row>
    <row r="141" spans="1:10" s="380" customFormat="1" ht="10.5" x14ac:dyDescent="0.2">
      <c r="A141" s="381">
        <v>139</v>
      </c>
      <c r="B141" s="382" t="s">
        <v>469</v>
      </c>
      <c r="C141" s="384">
        <v>1910</v>
      </c>
      <c r="D141" s="375">
        <f>[1]Лист1!$S$110</f>
        <v>1335.7</v>
      </c>
      <c r="E141" s="379">
        <f t="shared" si="8"/>
        <v>0.16085019267822734</v>
      </c>
      <c r="F141" s="377">
        <f t="shared" si="9"/>
        <v>1078.0179913294796</v>
      </c>
      <c r="G141" s="377">
        <f t="shared" si="10"/>
        <v>237.16395809248553</v>
      </c>
      <c r="H141" s="377">
        <f>F141*'92'!$C$20/100</f>
        <v>214.40361423148468</v>
      </c>
      <c r="I141" s="377">
        <f>E141*матер1!$F$32</f>
        <v>43.515780046011976</v>
      </c>
      <c r="J141" s="377">
        <f t="shared" si="11"/>
        <v>0.82361326895259779</v>
      </c>
    </row>
    <row r="142" spans="1:10" s="380" customFormat="1" ht="10.5" x14ac:dyDescent="0.2">
      <c r="A142" s="381">
        <v>140</v>
      </c>
      <c r="B142" s="382" t="s">
        <v>470</v>
      </c>
      <c r="C142" s="384">
        <v>2522.5</v>
      </c>
      <c r="D142" s="375">
        <f>[1]Лист1!$S$112</f>
        <v>1686.3</v>
      </c>
      <c r="E142" s="379">
        <f t="shared" si="8"/>
        <v>0.20307080924855486</v>
      </c>
      <c r="F142" s="377">
        <f t="shared" si="9"/>
        <v>1360.9805635838147</v>
      </c>
      <c r="G142" s="377">
        <f t="shared" si="10"/>
        <v>299.41572398843925</v>
      </c>
      <c r="H142" s="377">
        <f>F142*'92'!$C$20/100</f>
        <v>270.68115196417801</v>
      </c>
      <c r="I142" s="377">
        <f>E142*матер1!$F$32</f>
        <v>54.937980004185064</v>
      </c>
      <c r="J142" s="377">
        <f t="shared" si="11"/>
        <v>0.78732028524900577</v>
      </c>
    </row>
    <row r="143" spans="1:10" s="380" customFormat="1" ht="10.5" x14ac:dyDescent="0.2">
      <c r="A143" s="381">
        <v>141</v>
      </c>
      <c r="B143" s="382" t="s">
        <v>471</v>
      </c>
      <c r="C143" s="384">
        <v>3459.82</v>
      </c>
      <c r="D143" s="375">
        <f>[1]Лист1!$S$113</f>
        <v>1813.3</v>
      </c>
      <c r="E143" s="379">
        <f t="shared" si="8"/>
        <v>0.21836464354527932</v>
      </c>
      <c r="F143" s="377">
        <f t="shared" si="9"/>
        <v>1463.4798410404619</v>
      </c>
      <c r="G143" s="377">
        <f t="shared" si="10"/>
        <v>321.96556502890161</v>
      </c>
      <c r="H143" s="377">
        <f>F143*'92'!$C$20/100</f>
        <v>291.06691149655694</v>
      </c>
      <c r="I143" s="377">
        <f>E143*матер1!$F$32</f>
        <v>59.075513930847876</v>
      </c>
      <c r="J143" s="377">
        <f t="shared" si="11"/>
        <v>0.61725402809879371</v>
      </c>
    </row>
    <row r="144" spans="1:10" s="380" customFormat="1" ht="10.5" x14ac:dyDescent="0.2">
      <c r="A144" s="381">
        <v>142</v>
      </c>
      <c r="B144" s="382" t="s">
        <v>472</v>
      </c>
      <c r="C144" s="384">
        <v>1752.03</v>
      </c>
      <c r="D144" s="375">
        <f>[1]Лист1!$S$117</f>
        <v>793</v>
      </c>
      <c r="E144" s="379">
        <f t="shared" si="8"/>
        <v>9.5496146435452775E-2</v>
      </c>
      <c r="F144" s="377">
        <f t="shared" si="9"/>
        <v>640.01517341040449</v>
      </c>
      <c r="G144" s="377">
        <f t="shared" si="10"/>
        <v>140.80333815028899</v>
      </c>
      <c r="H144" s="377">
        <f>F144*'92'!$C$20/100</f>
        <v>127.29060873367324</v>
      </c>
      <c r="I144" s="377">
        <f>E144*матер1!$F$32</f>
        <v>25.83515278617017</v>
      </c>
      <c r="J144" s="377">
        <f t="shared" si="11"/>
        <v>0.53306408741890088</v>
      </c>
    </row>
    <row r="145" spans="1:10" s="380" customFormat="1" ht="10.5" x14ac:dyDescent="0.2">
      <c r="A145" s="381">
        <v>143</v>
      </c>
      <c r="B145" s="382" t="s">
        <v>473</v>
      </c>
      <c r="C145" s="384">
        <v>4953.7</v>
      </c>
      <c r="D145" s="375">
        <f>[1]Лист1!$S$118</f>
        <v>2398.1999999999998</v>
      </c>
      <c r="E145" s="379">
        <f t="shared" si="8"/>
        <v>0.28880057803468201</v>
      </c>
      <c r="F145" s="377">
        <f t="shared" si="9"/>
        <v>1935.5414739884388</v>
      </c>
      <c r="G145" s="377">
        <f t="shared" si="10"/>
        <v>425.81912427745658</v>
      </c>
      <c r="H145" s="377">
        <f>F145*'92'!$C$20/100</f>
        <v>384.95376779961555</v>
      </c>
      <c r="I145" s="377">
        <f>E145*матер1!$F$32</f>
        <v>78.130975298604412</v>
      </c>
      <c r="J145" s="377">
        <f t="shared" si="11"/>
        <v>0.57016883165393861</v>
      </c>
    </row>
    <row r="146" spans="1:10" s="380" customFormat="1" ht="10.5" x14ac:dyDescent="0.2">
      <c r="A146" s="381">
        <v>144</v>
      </c>
      <c r="B146" s="382" t="s">
        <v>474</v>
      </c>
      <c r="C146" s="384">
        <v>1706.17</v>
      </c>
      <c r="D146" s="375">
        <f>[1]Лист1!$S$133</f>
        <v>1116</v>
      </c>
      <c r="E146" s="379">
        <f t="shared" si="8"/>
        <v>0.134393063583815</v>
      </c>
      <c r="F146" s="377">
        <f t="shared" si="9"/>
        <v>900.70231213872819</v>
      </c>
      <c r="G146" s="377">
        <f t="shared" si="10"/>
        <v>198.15450867052019</v>
      </c>
      <c r="H146" s="377">
        <f>F146*'92'!$C$20/100</f>
        <v>179.13785541838504</v>
      </c>
      <c r="I146" s="377">
        <f>E146*матер1!$F$32</f>
        <v>36.358172142958274</v>
      </c>
      <c r="J146" s="377">
        <f t="shared" si="11"/>
        <v>0.77035280679568363</v>
      </c>
    </row>
    <row r="147" spans="1:10" s="380" customFormat="1" ht="10.5" x14ac:dyDescent="0.2">
      <c r="A147" s="381">
        <v>145</v>
      </c>
      <c r="B147" s="382" t="s">
        <v>475</v>
      </c>
      <c r="C147" s="384">
        <v>1135.3399999999999</v>
      </c>
      <c r="D147" s="375">
        <f>[1]Лист1!$S$134</f>
        <v>770.9</v>
      </c>
      <c r="E147" s="379">
        <f t="shared" si="8"/>
        <v>9.2834778420038511E-2</v>
      </c>
      <c r="F147" s="377">
        <f t="shared" si="9"/>
        <v>622.17868497109805</v>
      </c>
      <c r="G147" s="377">
        <f t="shared" si="10"/>
        <v>136.87931069364157</v>
      </c>
      <c r="H147" s="377">
        <f>F147*'92'!$C$20/100</f>
        <v>123.7431655394561</v>
      </c>
      <c r="I147" s="377">
        <f>E147*матер1!$F$32</f>
        <v>25.115156724916247</v>
      </c>
      <c r="J147" s="377">
        <f t="shared" si="11"/>
        <v>0.79968671757280807</v>
      </c>
    </row>
    <row r="148" spans="1:10" s="380" customFormat="1" ht="10.5" x14ac:dyDescent="0.2">
      <c r="A148" s="381">
        <v>146</v>
      </c>
      <c r="B148" s="382" t="s">
        <v>476</v>
      </c>
      <c r="C148" s="384">
        <v>1716.28</v>
      </c>
      <c r="D148" s="375">
        <f>[1]Лист1!$S$135</f>
        <v>827</v>
      </c>
      <c r="E148" s="379">
        <f t="shared" si="8"/>
        <v>9.9590558766859322E-2</v>
      </c>
      <c r="F148" s="377">
        <f t="shared" si="9"/>
        <v>667.45592485549116</v>
      </c>
      <c r="G148" s="377">
        <f t="shared" si="10"/>
        <v>146.84030346820805</v>
      </c>
      <c r="H148" s="377">
        <f>F148*'92'!$C$20/100</f>
        <v>132.74821364785342</v>
      </c>
      <c r="I148" s="377">
        <f>E148*матер1!$F$32</f>
        <v>26.942839034253129</v>
      </c>
      <c r="J148" s="377">
        <f t="shared" si="11"/>
        <v>0.56749905668411083</v>
      </c>
    </row>
    <row r="149" spans="1:10" s="380" customFormat="1" ht="10.5" x14ac:dyDescent="0.2">
      <c r="A149" s="381">
        <v>147</v>
      </c>
      <c r="B149" s="382" t="s">
        <v>477</v>
      </c>
      <c r="C149" s="384">
        <v>2696.17</v>
      </c>
      <c r="D149" s="375">
        <f>[1]Лист1!$S$136</f>
        <v>1386</v>
      </c>
      <c r="E149" s="379">
        <f t="shared" si="8"/>
        <v>0.16690751445086702</v>
      </c>
      <c r="F149" s="377">
        <f t="shared" si="9"/>
        <v>1118.6141618497109</v>
      </c>
      <c r="G149" s="377">
        <f t="shared" si="10"/>
        <v>246.09511560693639</v>
      </c>
      <c r="H149" s="377">
        <f>F149*'92'!$C$20/100</f>
        <v>222.4776591486395</v>
      </c>
      <c r="I149" s="377">
        <f>E149*матер1!$F$32</f>
        <v>45.154504113028821</v>
      </c>
      <c r="J149" s="377">
        <f t="shared" si="11"/>
        <v>0.60542971723530625</v>
      </c>
    </row>
    <row r="150" spans="1:10" s="380" customFormat="1" ht="10.5" x14ac:dyDescent="0.2">
      <c r="A150" s="381">
        <v>148</v>
      </c>
      <c r="B150" s="382" t="s">
        <v>478</v>
      </c>
      <c r="C150" s="384">
        <v>1747.74</v>
      </c>
      <c r="D150" s="375">
        <f>[1]Лист1!$S$145</f>
        <v>1019.3</v>
      </c>
      <c r="E150" s="379">
        <f t="shared" si="8"/>
        <v>0.12274807321772636</v>
      </c>
      <c r="F150" s="377">
        <f t="shared" si="9"/>
        <v>822.65758670520211</v>
      </c>
      <c r="G150" s="377">
        <f t="shared" si="10"/>
        <v>180.98466907514444</v>
      </c>
      <c r="H150" s="377">
        <f>F150*'92'!$C$20/100</f>
        <v>163.6157849712902</v>
      </c>
      <c r="I150" s="377">
        <f>E150*матер1!$F$32</f>
        <v>33.207782137381152</v>
      </c>
      <c r="J150" s="377">
        <f t="shared" si="11"/>
        <v>0.68686751055020656</v>
      </c>
    </row>
    <row r="151" spans="1:10" s="380" customFormat="1" ht="10.5" x14ac:dyDescent="0.2">
      <c r="A151" s="381">
        <v>149</v>
      </c>
      <c r="B151" s="382" t="s">
        <v>479</v>
      </c>
      <c r="C151" s="384">
        <v>1129.0999999999999</v>
      </c>
      <c r="D151" s="375">
        <f>[1]Лист1!$S$149</f>
        <v>585</v>
      </c>
      <c r="E151" s="379">
        <f t="shared" si="8"/>
        <v>7.0447976878612706E-2</v>
      </c>
      <c r="F151" s="377">
        <f t="shared" si="9"/>
        <v>472.14234104046233</v>
      </c>
      <c r="G151" s="377">
        <f t="shared" si="10"/>
        <v>103.87131502890172</v>
      </c>
      <c r="H151" s="377">
        <f>F151*'92'!$C$20/100</f>
        <v>93.902908082217962</v>
      </c>
      <c r="I151" s="377">
        <f>E151*матер1!$F$32</f>
        <v>19.058719268486193</v>
      </c>
      <c r="J151" s="377">
        <f t="shared" si="11"/>
        <v>0.61019863911085681</v>
      </c>
    </row>
    <row r="152" spans="1:10" s="380" customFormat="1" ht="10.5" x14ac:dyDescent="0.2">
      <c r="A152" s="381">
        <v>150</v>
      </c>
      <c r="B152" s="382" t="s">
        <v>480</v>
      </c>
      <c r="C152" s="384">
        <v>1724</v>
      </c>
      <c r="D152" s="375">
        <v>1420</v>
      </c>
      <c r="E152" s="379">
        <f t="shared" si="8"/>
        <v>0.17100192678227358</v>
      </c>
      <c r="F152" s="377">
        <f t="shared" si="9"/>
        <v>1146.0549132947974</v>
      </c>
      <c r="G152" s="377">
        <f t="shared" si="10"/>
        <v>252.13208092485544</v>
      </c>
      <c r="H152" s="377">
        <f>F152*'92'!$C$20/100</f>
        <v>227.93526406281967</v>
      </c>
      <c r="I152" s="377">
        <f>E152*матер1!$F$32</f>
        <v>46.262190361111784</v>
      </c>
      <c r="J152" s="377">
        <f t="shared" si="11"/>
        <v>0.97006058506008375</v>
      </c>
    </row>
    <row r="153" spans="1:10" s="380" customFormat="1" ht="10.5" x14ac:dyDescent="0.2">
      <c r="A153" s="381">
        <v>151</v>
      </c>
      <c r="B153" s="382" t="s">
        <v>481</v>
      </c>
      <c r="C153" s="384">
        <v>1775.1</v>
      </c>
      <c r="D153" s="375">
        <f>[1]Лист1!$S$156</f>
        <v>1159</v>
      </c>
      <c r="E153" s="379">
        <f t="shared" si="8"/>
        <v>0.13957129094412329</v>
      </c>
      <c r="F153" s="377">
        <f t="shared" si="9"/>
        <v>935.40679190751428</v>
      </c>
      <c r="G153" s="377">
        <f t="shared" si="10"/>
        <v>205.78949421965314</v>
      </c>
      <c r="H153" s="377">
        <f>F153*'92'!$C$20/100</f>
        <v>186.04012045690703</v>
      </c>
      <c r="I153" s="377">
        <f>E153*матер1!$F$32</f>
        <v>37.75906945671025</v>
      </c>
      <c r="J153" s="377">
        <f t="shared" si="11"/>
        <v>0.76896821364474388</v>
      </c>
    </row>
    <row r="154" spans="1:10" s="380" customFormat="1" ht="10.5" x14ac:dyDescent="0.2">
      <c r="A154" s="381">
        <v>152</v>
      </c>
      <c r="B154" s="382" t="s">
        <v>482</v>
      </c>
      <c r="C154" s="384">
        <v>3140.4</v>
      </c>
      <c r="D154" s="375">
        <v>550</v>
      </c>
      <c r="E154" s="379">
        <f t="shared" si="8"/>
        <v>6.6233140655105965E-2</v>
      </c>
      <c r="F154" s="377">
        <f t="shared" si="9"/>
        <v>443.89450867052017</v>
      </c>
      <c r="G154" s="377">
        <f t="shared" si="10"/>
        <v>97.656791907514432</v>
      </c>
      <c r="H154" s="377">
        <f>F154*'92'!$C$20/100</f>
        <v>88.284785376444233</v>
      </c>
      <c r="I154" s="377">
        <f>E154*матер1!$F$32</f>
        <v>17.918454013106679</v>
      </c>
      <c r="J154" s="377">
        <f t="shared" si="11"/>
        <v>0.20626497897324719</v>
      </c>
    </row>
    <row r="155" spans="1:10" s="380" customFormat="1" ht="10.5" x14ac:dyDescent="0.2">
      <c r="A155" s="381">
        <v>153</v>
      </c>
      <c r="B155" s="382" t="s">
        <v>483</v>
      </c>
      <c r="C155" s="384">
        <v>6074.77</v>
      </c>
      <c r="D155" s="375">
        <f>[1]Лист1!$S$46</f>
        <v>1093</v>
      </c>
      <c r="E155" s="379">
        <f t="shared" si="8"/>
        <v>0.13162331406551056</v>
      </c>
      <c r="F155" s="377">
        <f t="shared" si="9"/>
        <v>882.13945086705178</v>
      </c>
      <c r="G155" s="377">
        <f t="shared" si="10"/>
        <v>194.07067919075141</v>
      </c>
      <c r="H155" s="377">
        <f>F155*'92'!$C$20/100</f>
        <v>175.44594621173371</v>
      </c>
      <c r="I155" s="377">
        <f>E155*матер1!$F$32</f>
        <v>35.608854975137447</v>
      </c>
      <c r="J155" s="377">
        <f t="shared" si="11"/>
        <v>0.2119034846166479</v>
      </c>
    </row>
    <row r="156" spans="1:10" s="380" customFormat="1" ht="10.5" x14ac:dyDescent="0.2">
      <c r="A156" s="381">
        <v>154</v>
      </c>
      <c r="B156" s="382" t="s">
        <v>484</v>
      </c>
      <c r="C156" s="384">
        <v>1960.16</v>
      </c>
      <c r="D156" s="375">
        <f>[1]Лист1!$S$84</f>
        <v>632</v>
      </c>
      <c r="E156" s="379">
        <f t="shared" si="8"/>
        <v>7.6107899807321758E-2</v>
      </c>
      <c r="F156" s="377">
        <f t="shared" si="9"/>
        <v>510.07514450867041</v>
      </c>
      <c r="G156" s="377">
        <f t="shared" si="10"/>
        <v>112.21653179190749</v>
      </c>
      <c r="H156" s="377">
        <f>F156*'92'!$C$20/100</f>
        <v>101.4472442871141</v>
      </c>
      <c r="I156" s="377">
        <f>E156*матер1!$F$32</f>
        <v>20.589932611424398</v>
      </c>
      <c r="J156" s="377">
        <f t="shared" si="11"/>
        <v>0.37972862072438801</v>
      </c>
    </row>
    <row r="157" spans="1:10" s="380" customFormat="1" ht="10.5" x14ac:dyDescent="0.2">
      <c r="A157" s="381">
        <v>155</v>
      </c>
      <c r="B157" s="382" t="s">
        <v>485</v>
      </c>
      <c r="C157" s="384">
        <v>5972.33</v>
      </c>
      <c r="D157" s="375">
        <f>[1]Лист1!$S$85</f>
        <v>3324.7</v>
      </c>
      <c r="E157" s="379">
        <f t="shared" si="8"/>
        <v>0.40037331406551047</v>
      </c>
      <c r="F157" s="377">
        <f t="shared" si="9"/>
        <v>2683.3019508670513</v>
      </c>
      <c r="G157" s="377">
        <f t="shared" si="10"/>
        <v>590.32642919075124</v>
      </c>
      <c r="H157" s="377">
        <f>F157*'92'!$C$20/100</f>
        <v>533.67350171102566</v>
      </c>
      <c r="I157" s="377">
        <f>E157*матер1!$F$32</f>
        <v>108.31542555886502</v>
      </c>
      <c r="J157" s="377">
        <f t="shared" si="11"/>
        <v>0.65562641503863539</v>
      </c>
    </row>
    <row r="158" spans="1:10" s="403" customFormat="1" ht="10.5" x14ac:dyDescent="0.2">
      <c r="A158" s="398">
        <v>156</v>
      </c>
      <c r="B158" s="399" t="s">
        <v>486</v>
      </c>
      <c r="C158" s="384">
        <v>2589.9</v>
      </c>
      <c r="D158" s="400">
        <v>632</v>
      </c>
      <c r="E158" s="401">
        <f t="shared" si="8"/>
        <v>7.6107899807321758E-2</v>
      </c>
      <c r="F158" s="402">
        <f t="shared" si="9"/>
        <v>510.07514450867041</v>
      </c>
      <c r="G158" s="402">
        <f t="shared" si="10"/>
        <v>112.21653179190749</v>
      </c>
      <c r="H158" s="402">
        <f>F158*'92'!$C$20/100</f>
        <v>101.4472442871141</v>
      </c>
      <c r="I158" s="402">
        <f>E158*матер1!$F$32</f>
        <v>20.589932611424398</v>
      </c>
      <c r="J158" s="402">
        <f t="shared" si="11"/>
        <v>0.28739675400560499</v>
      </c>
    </row>
    <row r="159" spans="1:10" s="403" customFormat="1" ht="10.5" x14ac:dyDescent="0.2">
      <c r="A159" s="398">
        <v>157</v>
      </c>
      <c r="B159" s="399" t="s">
        <v>487</v>
      </c>
      <c r="C159" s="384">
        <v>3904.03</v>
      </c>
      <c r="D159" s="400">
        <f>[1]Лист1!$S$111</f>
        <v>924</v>
      </c>
      <c r="E159" s="401">
        <f t="shared" si="8"/>
        <v>0.11127167630057801</v>
      </c>
      <c r="F159" s="402">
        <f t="shared" si="9"/>
        <v>745.74277456647383</v>
      </c>
      <c r="G159" s="402">
        <f t="shared" si="10"/>
        <v>164.06341040462422</v>
      </c>
      <c r="H159" s="402">
        <f>F159*'92'!$C$20/100</f>
        <v>148.31843943242632</v>
      </c>
      <c r="I159" s="402">
        <f>E159*матер1!$F$32</f>
        <v>30.103002742019214</v>
      </c>
      <c r="J159" s="402">
        <f t="shared" si="11"/>
        <v>0.27874468873075858</v>
      </c>
    </row>
    <row r="160" spans="1:10" s="380" customFormat="1" ht="10.5" x14ac:dyDescent="0.2">
      <c r="A160" s="381">
        <v>158</v>
      </c>
      <c r="B160" s="382" t="s">
        <v>488</v>
      </c>
      <c r="C160" s="384">
        <v>3894.85</v>
      </c>
      <c r="D160" s="375">
        <f>[1]Лист1!$S$132</f>
        <v>1143</v>
      </c>
      <c r="E160" s="379">
        <f t="shared" si="8"/>
        <v>0.13764450867052019</v>
      </c>
      <c r="F160" s="377">
        <f t="shared" si="9"/>
        <v>922.49349710982631</v>
      </c>
      <c r="G160" s="377">
        <f t="shared" si="10"/>
        <v>202.94856936416178</v>
      </c>
      <c r="H160" s="377">
        <f>F160*'92'!$C$20/100</f>
        <v>183.47183579141046</v>
      </c>
      <c r="I160" s="377">
        <f>E160*матер1!$F$32</f>
        <v>37.237805339965327</v>
      </c>
      <c r="J160" s="377">
        <f t="shared" si="11"/>
        <v>0.34562350478333281</v>
      </c>
    </row>
    <row r="161" spans="1:21" s="390" customFormat="1" ht="10.5" x14ac:dyDescent="0.2">
      <c r="A161" s="385">
        <v>159</v>
      </c>
      <c r="B161" s="386" t="s">
        <v>137</v>
      </c>
      <c r="C161" s="387">
        <f>SUM(C3:C160)</f>
        <v>264830.12</v>
      </c>
      <c r="D161" s="388">
        <f>SUM(D3:D160)</f>
        <v>140050.45000000001</v>
      </c>
      <c r="E161" s="389">
        <f>матер1!D4</f>
        <v>16.865420279383429</v>
      </c>
      <c r="F161" s="387">
        <f>E161*ЗП!K48</f>
        <v>113032.04671242773</v>
      </c>
      <c r="G161" s="387">
        <f>F161*22/100</f>
        <v>24867.050276734102</v>
      </c>
      <c r="H161" s="387">
        <f>F161*'92'!$C$20/100</f>
        <v>22480.588945680793</v>
      </c>
      <c r="I161" s="387">
        <f>матер1!F31/12</f>
        <v>4562.7046324361754</v>
      </c>
      <c r="J161" s="387">
        <f>(F161+G161+H161+I161)/C161</f>
        <v>0.62282338038920504</v>
      </c>
    </row>
    <row r="162" spans="1:21" s="380" customFormat="1" ht="10.5" x14ac:dyDescent="0.2">
      <c r="A162" s="391"/>
      <c r="B162" s="392"/>
      <c r="C162" s="393"/>
      <c r="D162" s="394"/>
      <c r="E162" s="395"/>
      <c r="F162" s="393"/>
      <c r="G162" s="393"/>
      <c r="H162" s="393"/>
      <c r="I162" s="391"/>
      <c r="J162" s="393"/>
    </row>
    <row r="163" spans="1:21" s="380" customFormat="1" ht="10.5" x14ac:dyDescent="0.2">
      <c r="A163" s="391"/>
      <c r="B163" s="392"/>
      <c r="C163" s="393"/>
      <c r="D163" s="394"/>
      <c r="E163" s="396">
        <f>D161/E161</f>
        <v>8304.0000000000018</v>
      </c>
      <c r="F163" s="396">
        <f>F161/E161</f>
        <v>6702</v>
      </c>
      <c r="G163" s="393"/>
      <c r="H163" s="391"/>
      <c r="I163" s="393"/>
      <c r="J163" s="393"/>
    </row>
    <row r="164" spans="1:21" s="380" customFormat="1" ht="10.5" x14ac:dyDescent="0.2">
      <c r="A164" s="391"/>
      <c r="B164" s="392"/>
      <c r="C164" s="397"/>
      <c r="D164" s="394"/>
      <c r="E164" s="395"/>
      <c r="F164" s="393"/>
      <c r="G164" s="393"/>
      <c r="H164" s="391"/>
      <c r="I164" s="391"/>
      <c r="J164" s="393"/>
    </row>
    <row r="165" spans="1:21" s="81" customFormat="1" ht="15.75" customHeight="1" x14ac:dyDescent="0.2">
      <c r="A165" s="353"/>
      <c r="B165" s="276" t="s">
        <v>234</v>
      </c>
      <c r="C165" s="352"/>
      <c r="D165" s="352"/>
      <c r="E165" s="509" t="s">
        <v>648</v>
      </c>
      <c r="F165" s="509"/>
      <c r="G165" s="277"/>
      <c r="H165" s="510"/>
      <c r="I165" s="510"/>
      <c r="J165" s="510"/>
      <c r="K165" s="352"/>
      <c r="L165" s="245"/>
      <c r="M165" s="245"/>
      <c r="N165" s="105"/>
      <c r="O165" s="105"/>
      <c r="P165" s="105"/>
      <c r="Q165" s="105"/>
      <c r="R165" s="105"/>
      <c r="S165" s="245"/>
      <c r="T165" s="245"/>
      <c r="U165" s="105"/>
    </row>
  </sheetData>
  <mergeCells count="3">
    <mergeCell ref="A1:J1"/>
    <mergeCell ref="E165:F165"/>
    <mergeCell ref="H165:J165"/>
  </mergeCells>
  <phoneticPr fontId="2" type="noConversion"/>
  <pageMargins left="0.78740157480314965" right="0" top="0.27559055118110237" bottom="0.2362204724409449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D14" sqref="D14"/>
    </sheetView>
  </sheetViews>
  <sheetFormatPr defaultRowHeight="10.5" x14ac:dyDescent="0.2"/>
  <cols>
    <col min="2" max="2" width="34.85546875" customWidth="1"/>
    <col min="4" max="4" width="9.140625" style="280"/>
    <col min="6" max="6" width="18.85546875" customWidth="1"/>
  </cols>
  <sheetData>
    <row r="1" spans="1:6" ht="57.75" customHeight="1" x14ac:dyDescent="0.2">
      <c r="A1" s="505" t="s">
        <v>607</v>
      </c>
      <c r="B1" s="505"/>
      <c r="C1" s="505"/>
      <c r="D1" s="505"/>
      <c r="E1" s="505"/>
      <c r="F1" s="505"/>
    </row>
    <row r="2" spans="1:6" ht="12.75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37" t="s">
        <v>96</v>
      </c>
      <c r="F2" s="36" t="s">
        <v>97</v>
      </c>
    </row>
    <row r="3" spans="1:6" ht="12.75" x14ac:dyDescent="0.2">
      <c r="A3" s="67" t="s">
        <v>99</v>
      </c>
      <c r="B3" s="60" t="s">
        <v>330</v>
      </c>
      <c r="C3" s="37" t="s">
        <v>98</v>
      </c>
      <c r="D3" s="36">
        <f>сіль!D161</f>
        <v>54361.749999999993</v>
      </c>
      <c r="E3" s="37"/>
      <c r="F3" s="36"/>
    </row>
    <row r="4" spans="1:6" ht="12.75" x14ac:dyDescent="0.2">
      <c r="A4" s="68" t="s">
        <v>2</v>
      </c>
      <c r="B4" s="48" t="s">
        <v>93</v>
      </c>
      <c r="C4" s="37" t="s">
        <v>98</v>
      </c>
      <c r="D4" s="64">
        <f>D3</f>
        <v>54361.749999999993</v>
      </c>
      <c r="E4" s="37"/>
      <c r="F4" s="36"/>
    </row>
    <row r="5" spans="1:6" ht="38.25" x14ac:dyDescent="0.2">
      <c r="A5" s="67" t="s">
        <v>3</v>
      </c>
      <c r="B5" s="60" t="s">
        <v>102</v>
      </c>
      <c r="C5" s="37" t="s">
        <v>101</v>
      </c>
      <c r="D5" s="36">
        <v>0.3</v>
      </c>
      <c r="E5" s="36"/>
      <c r="F5" s="36">
        <f>(D4*D5/F8)/100</f>
        <v>0.98196802745664724</v>
      </c>
    </row>
    <row r="6" spans="1:6" ht="12.75" x14ac:dyDescent="0.2">
      <c r="A6" s="68" t="s">
        <v>4</v>
      </c>
      <c r="B6" s="63" t="s">
        <v>111</v>
      </c>
      <c r="C6" s="37" t="s">
        <v>103</v>
      </c>
      <c r="D6" s="36"/>
      <c r="E6" s="37">
        <f>D4*D5/100</f>
        <v>163.08524999999997</v>
      </c>
      <c r="F6" s="64">
        <f>(F7/F9)/F8</f>
        <v>726.3728323699421</v>
      </c>
    </row>
    <row r="7" spans="1:6" ht="12.75" x14ac:dyDescent="0.2">
      <c r="A7" s="67" t="s">
        <v>104</v>
      </c>
      <c r="B7" s="50" t="s">
        <v>105</v>
      </c>
      <c r="C7" s="37" t="s">
        <v>103</v>
      </c>
      <c r="D7" s="36"/>
      <c r="E7" s="37"/>
      <c r="F7" s="36">
        <f>ЗП!N48</f>
        <v>120636</v>
      </c>
    </row>
    <row r="8" spans="1:6" ht="12.75" x14ac:dyDescent="0.2">
      <c r="A8" s="67" t="s">
        <v>106</v>
      </c>
      <c r="B8" s="50" t="s">
        <v>16</v>
      </c>
      <c r="C8" s="37" t="s">
        <v>107</v>
      </c>
      <c r="D8" s="36"/>
      <c r="E8" s="37"/>
      <c r="F8" s="36">
        <f>'[2]ЗП НОВ в-во'!D15</f>
        <v>166.08</v>
      </c>
    </row>
    <row r="9" spans="1:6" ht="12.75" x14ac:dyDescent="0.2">
      <c r="A9" s="67" t="s">
        <v>108</v>
      </c>
      <c r="B9" s="50" t="s">
        <v>109</v>
      </c>
      <c r="C9" s="37" t="s">
        <v>110</v>
      </c>
      <c r="D9" s="36"/>
      <c r="E9" s="37"/>
      <c r="F9" s="36">
        <v>1</v>
      </c>
    </row>
    <row r="10" spans="1:6" ht="12.75" x14ac:dyDescent="0.2">
      <c r="A10" s="68" t="s">
        <v>5</v>
      </c>
      <c r="B10" s="63" t="s">
        <v>115</v>
      </c>
      <c r="C10" s="37"/>
      <c r="D10" s="36"/>
      <c r="E10" s="37"/>
      <c r="F10" s="64">
        <f>F11+F12</f>
        <v>15372</v>
      </c>
    </row>
    <row r="11" spans="1:6" ht="12.75" x14ac:dyDescent="0.2">
      <c r="A11" s="67" t="s">
        <v>112</v>
      </c>
      <c r="B11" s="65" t="s">
        <v>300</v>
      </c>
      <c r="C11" s="66" t="s">
        <v>301</v>
      </c>
      <c r="D11" s="75">
        <v>40</v>
      </c>
      <c r="E11" s="37">
        <v>135.72</v>
      </c>
      <c r="F11" s="36">
        <f>D11*E11</f>
        <v>5428.8</v>
      </c>
    </row>
    <row r="12" spans="1:6" ht="12.75" x14ac:dyDescent="0.2">
      <c r="A12" s="67" t="s">
        <v>113</v>
      </c>
      <c r="B12" s="65" t="s">
        <v>302</v>
      </c>
      <c r="C12" s="66" t="s">
        <v>303</v>
      </c>
      <c r="D12" s="75">
        <v>48</v>
      </c>
      <c r="E12" s="37">
        <v>207.15</v>
      </c>
      <c r="F12" s="36">
        <f>D12*E12</f>
        <v>9943.2000000000007</v>
      </c>
    </row>
    <row r="13" spans="1:6" ht="12.75" x14ac:dyDescent="0.2">
      <c r="A13" s="68" t="s">
        <v>6</v>
      </c>
      <c r="B13" s="63" t="s">
        <v>134</v>
      </c>
      <c r="C13" s="37"/>
      <c r="D13" s="36"/>
      <c r="E13" s="37"/>
      <c r="F13" s="64">
        <f>SUM(F14:F20)</f>
        <v>2344.94</v>
      </c>
    </row>
    <row r="14" spans="1:6" ht="12.75" x14ac:dyDescent="0.2">
      <c r="A14" s="67" t="s">
        <v>203</v>
      </c>
      <c r="B14" s="485" t="s">
        <v>135</v>
      </c>
      <c r="C14" s="66" t="s">
        <v>120</v>
      </c>
      <c r="D14" s="93">
        <f>1*6</f>
        <v>6</v>
      </c>
      <c r="E14" s="37">
        <v>17</v>
      </c>
      <c r="F14" s="36">
        <f t="shared" ref="F14:F20" si="0">D14*E14</f>
        <v>102</v>
      </c>
    </row>
    <row r="15" spans="1:6" ht="12.75" x14ac:dyDescent="0.2">
      <c r="A15" s="67" t="s">
        <v>204</v>
      </c>
      <c r="B15" s="482" t="s">
        <v>632</v>
      </c>
      <c r="C15" s="66" t="s">
        <v>120</v>
      </c>
      <c r="D15" s="75">
        <v>1</v>
      </c>
      <c r="E15" s="483">
        <v>490</v>
      </c>
      <c r="F15" s="36">
        <f t="shared" si="0"/>
        <v>490</v>
      </c>
    </row>
    <row r="16" spans="1:6" ht="12.75" x14ac:dyDescent="0.2">
      <c r="A16" s="67" t="s">
        <v>205</v>
      </c>
      <c r="B16" s="482" t="s">
        <v>630</v>
      </c>
      <c r="C16" s="66" t="s">
        <v>120</v>
      </c>
      <c r="D16" s="75">
        <v>1</v>
      </c>
      <c r="E16" s="483">
        <v>468</v>
      </c>
      <c r="F16" s="36">
        <f t="shared" si="0"/>
        <v>468</v>
      </c>
    </row>
    <row r="17" spans="1:23" ht="12.75" x14ac:dyDescent="0.2">
      <c r="A17" s="67" t="s">
        <v>206</v>
      </c>
      <c r="B17" s="485" t="s">
        <v>136</v>
      </c>
      <c r="C17" s="66" t="s">
        <v>120</v>
      </c>
      <c r="D17" s="75">
        <v>1</v>
      </c>
      <c r="E17" s="37">
        <v>175</v>
      </c>
      <c r="F17" s="36">
        <f t="shared" si="0"/>
        <v>175</v>
      </c>
    </row>
    <row r="18" spans="1:23" ht="12.75" x14ac:dyDescent="0.2">
      <c r="A18" s="67" t="s">
        <v>207</v>
      </c>
      <c r="B18" s="485" t="s">
        <v>631</v>
      </c>
      <c r="C18" s="66" t="s">
        <v>120</v>
      </c>
      <c r="D18" s="75">
        <v>1</v>
      </c>
      <c r="E18" s="483">
        <v>276</v>
      </c>
      <c r="F18" s="36">
        <f t="shared" si="0"/>
        <v>276</v>
      </c>
    </row>
    <row r="19" spans="1:23" ht="12.75" x14ac:dyDescent="0.2">
      <c r="A19" s="67" t="s">
        <v>208</v>
      </c>
      <c r="B19" s="482" t="s">
        <v>633</v>
      </c>
      <c r="C19" s="66" t="s">
        <v>120</v>
      </c>
      <c r="D19" s="75">
        <v>1</v>
      </c>
      <c r="E19" s="483">
        <v>562.94000000000005</v>
      </c>
      <c r="F19" s="36">
        <f t="shared" si="0"/>
        <v>562.94000000000005</v>
      </c>
    </row>
    <row r="20" spans="1:23" ht="12.75" x14ac:dyDescent="0.2">
      <c r="A20" s="67" t="s">
        <v>209</v>
      </c>
      <c r="B20" s="482" t="s">
        <v>634</v>
      </c>
      <c r="C20" s="66" t="s">
        <v>120</v>
      </c>
      <c r="D20" s="75">
        <v>1</v>
      </c>
      <c r="E20" s="484">
        <v>271</v>
      </c>
      <c r="F20" s="36">
        <f t="shared" si="0"/>
        <v>271</v>
      </c>
    </row>
    <row r="21" spans="1:23" ht="12.75" x14ac:dyDescent="0.2">
      <c r="A21" s="68" t="s">
        <v>7</v>
      </c>
      <c r="B21" s="63" t="s">
        <v>114</v>
      </c>
      <c r="C21" s="37" t="s">
        <v>103</v>
      </c>
      <c r="D21" s="36"/>
      <c r="E21" s="37"/>
      <c r="F21" s="36">
        <f>F22/F5/12</f>
        <v>1503.5231549143775</v>
      </c>
    </row>
    <row r="22" spans="1:23" ht="12.75" x14ac:dyDescent="0.2">
      <c r="A22" s="68" t="s">
        <v>8</v>
      </c>
      <c r="B22" s="63" t="s">
        <v>137</v>
      </c>
      <c r="C22" s="37" t="s">
        <v>103</v>
      </c>
      <c r="D22" s="36"/>
      <c r="E22" s="37"/>
      <c r="F22" s="64">
        <f>F13+F10</f>
        <v>17716.939999999999</v>
      </c>
    </row>
    <row r="23" spans="1:23" ht="12.75" x14ac:dyDescent="0.2">
      <c r="A23" s="62"/>
      <c r="B23" s="32"/>
      <c r="C23" s="31"/>
      <c r="D23" s="236"/>
      <c r="E23" s="31"/>
      <c r="F23" s="236"/>
    </row>
    <row r="24" spans="1:23" ht="12.75" x14ac:dyDescent="0.2">
      <c r="A24" s="62"/>
      <c r="B24" s="32"/>
      <c r="C24" s="31"/>
      <c r="D24" s="236"/>
      <c r="E24" s="31"/>
      <c r="F24" s="236"/>
    </row>
    <row r="25" spans="1:23" s="370" customFormat="1" ht="15.75" customHeight="1" x14ac:dyDescent="0.2">
      <c r="A25" s="363"/>
      <c r="B25" s="364" t="s">
        <v>234</v>
      </c>
      <c r="C25" s="365"/>
      <c r="D25" s="365"/>
      <c r="E25" s="511" t="s">
        <v>604</v>
      </c>
      <c r="F25" s="511"/>
      <c r="G25" s="366"/>
      <c r="H25" s="503"/>
      <c r="I25" s="503"/>
      <c r="J25" s="503"/>
      <c r="K25" s="503"/>
      <c r="L25" s="503"/>
      <c r="M25" s="365"/>
      <c r="N25" s="368"/>
      <c r="O25" s="368"/>
      <c r="P25" s="369"/>
      <c r="Q25" s="369"/>
      <c r="R25" s="369"/>
      <c r="S25" s="369"/>
      <c r="T25" s="369"/>
      <c r="U25" s="368"/>
      <c r="V25" s="368"/>
      <c r="W25" s="369"/>
    </row>
  </sheetData>
  <mergeCells count="3">
    <mergeCell ref="A1:F1"/>
    <mergeCell ref="E25:F25"/>
    <mergeCell ref="H25:L25"/>
  </mergeCells>
  <pageMargins left="0.78740157480314965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opLeftCell="A133" zoomScale="130" zoomScaleNormal="130" workbookViewId="0">
      <selection activeCell="E165" sqref="E165:F165"/>
    </sheetView>
  </sheetViews>
  <sheetFormatPr defaultRowHeight="10.5" x14ac:dyDescent="0.2"/>
  <cols>
    <col min="1" max="1" width="4" customWidth="1"/>
    <col min="2" max="2" width="16.7109375" style="2" customWidth="1"/>
    <col min="3" max="3" width="9.28515625" customWidth="1"/>
    <col min="4" max="4" width="11.42578125" style="2" bestFit="1" customWidth="1"/>
    <col min="5" max="5" width="7" bestFit="1" customWidth="1"/>
    <col min="6" max="6" width="8" bestFit="1" customWidth="1"/>
    <col min="7" max="7" width="6.140625" bestFit="1" customWidth="1"/>
    <col min="8" max="8" width="7" bestFit="1" customWidth="1"/>
    <col min="9" max="9" width="8" bestFit="1" customWidth="1"/>
    <col min="10" max="10" width="11" bestFit="1" customWidth="1"/>
  </cols>
  <sheetData>
    <row r="1" spans="1:10" ht="42" customHeight="1" x14ac:dyDescent="0.2">
      <c r="A1" s="508" t="s">
        <v>594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380" customFormat="1" ht="42" x14ac:dyDescent="0.2">
      <c r="A2" s="375" t="s">
        <v>1</v>
      </c>
      <c r="B2" s="376" t="s">
        <v>0</v>
      </c>
      <c r="C2" s="377" t="s">
        <v>72</v>
      </c>
      <c r="D2" s="402" t="s">
        <v>299</v>
      </c>
      <c r="E2" s="379" t="s">
        <v>79</v>
      </c>
      <c r="F2" s="377" t="s">
        <v>80</v>
      </c>
      <c r="G2" s="377" t="s">
        <v>276</v>
      </c>
      <c r="H2" s="375" t="s">
        <v>75</v>
      </c>
      <c r="I2" s="375" t="s">
        <v>81</v>
      </c>
      <c r="J2" s="377" t="s">
        <v>82</v>
      </c>
    </row>
    <row r="3" spans="1:10" s="380" customFormat="1" x14ac:dyDescent="0.2">
      <c r="A3" s="381">
        <v>1</v>
      </c>
      <c r="B3" s="382" t="s">
        <v>331</v>
      </c>
      <c r="C3" s="383">
        <v>394.86</v>
      </c>
      <c r="D3" s="377">
        <v>171.5</v>
      </c>
      <c r="E3" s="379">
        <f t="shared" ref="E3:E21" si="0">D3/$E$163</f>
        <v>3.0979046242774568E-3</v>
      </c>
      <c r="F3" s="377">
        <f t="shared" ref="F3:F21" si="1">E3*$F$163</f>
        <v>20.762156791907515</v>
      </c>
      <c r="G3" s="377">
        <f>F3*22/100</f>
        <v>4.5676744942196539</v>
      </c>
      <c r="H3" s="377">
        <f>F3*'[3]92'!$C$20/100</f>
        <v>7.2576033602403944</v>
      </c>
      <c r="I3" s="377">
        <f>E3*мат.сіль!$F$21</f>
        <v>4.6577713343174816</v>
      </c>
      <c r="J3" s="377">
        <f>(F3+G3+H3+I3)/C3</f>
        <v>9.4325092388910098E-2</v>
      </c>
    </row>
    <row r="4" spans="1:10" s="380" customFormat="1" x14ac:dyDescent="0.2">
      <c r="A4" s="381">
        <v>2</v>
      </c>
      <c r="B4" s="382" t="s">
        <v>332</v>
      </c>
      <c r="C4" s="384">
        <v>326.89999999999998</v>
      </c>
      <c r="D4" s="377">
        <v>331</v>
      </c>
      <c r="E4" s="379">
        <f t="shared" si="0"/>
        <v>5.9790462427745661E-3</v>
      </c>
      <c r="F4" s="377">
        <f t="shared" si="1"/>
        <v>40.071567919075143</v>
      </c>
      <c r="G4" s="377">
        <f t="shared" ref="G4:G161" si="2">F4*22/100</f>
        <v>8.815744942196531</v>
      </c>
      <c r="H4" s="377">
        <f>F4*'[3]92'!$C$20/100</f>
        <v>14.007386077198662</v>
      </c>
      <c r="I4" s="377">
        <f>E4*мат.сіль!$F$21</f>
        <v>8.9896344703153712</v>
      </c>
      <c r="J4" s="377">
        <f t="shared" ref="J4:J67" si="3">(F4+G4+H4+I4)/C4</f>
        <v>0.21989701256893762</v>
      </c>
    </row>
    <row r="5" spans="1:10" s="380" customFormat="1" x14ac:dyDescent="0.2">
      <c r="A5" s="381">
        <v>3</v>
      </c>
      <c r="B5" s="382" t="s">
        <v>333</v>
      </c>
      <c r="C5" s="384">
        <v>490.6</v>
      </c>
      <c r="D5" s="377">
        <v>105</v>
      </c>
      <c r="E5" s="379">
        <f t="shared" si="0"/>
        <v>1.8966763005780346E-3</v>
      </c>
      <c r="F5" s="377">
        <f t="shared" si="1"/>
        <v>12.711524566473988</v>
      </c>
      <c r="G5" s="377">
        <f t="shared" si="2"/>
        <v>2.7965354046242776</v>
      </c>
      <c r="H5" s="377">
        <f>F5*'[3]92'!$C$20/100</f>
        <v>4.4434306287186089</v>
      </c>
      <c r="I5" s="377">
        <f>E5*мат.сіль!$F$21</f>
        <v>2.8516967352964167</v>
      </c>
      <c r="J5" s="377">
        <f t="shared" si="3"/>
        <v>4.6480202476790237E-2</v>
      </c>
    </row>
    <row r="6" spans="1:10" s="380" customFormat="1" x14ac:dyDescent="0.2">
      <c r="A6" s="381">
        <v>4</v>
      </c>
      <c r="B6" s="382" t="s">
        <v>334</v>
      </c>
      <c r="C6" s="384">
        <v>341.5</v>
      </c>
      <c r="D6" s="377">
        <v>116.2</v>
      </c>
      <c r="E6" s="379">
        <f t="shared" si="0"/>
        <v>2.0989884393063586E-3</v>
      </c>
      <c r="F6" s="377">
        <f t="shared" si="1"/>
        <v>14.067420520231215</v>
      </c>
      <c r="G6" s="377">
        <f t="shared" si="2"/>
        <v>3.0948325144508675</v>
      </c>
      <c r="H6" s="377">
        <f>F6*'[3]92'!$C$20/100</f>
        <v>4.9173965624485945</v>
      </c>
      <c r="I6" s="377">
        <f>E6*мат.сіль!$F$21</f>
        <v>3.1558777203947019</v>
      </c>
      <c r="J6" s="377">
        <f t="shared" si="3"/>
        <v>7.3896126844876661E-2</v>
      </c>
    </row>
    <row r="7" spans="1:10" s="380" customFormat="1" x14ac:dyDescent="0.2">
      <c r="A7" s="381">
        <v>5</v>
      </c>
      <c r="B7" s="382" t="s">
        <v>335</v>
      </c>
      <c r="C7" s="384">
        <v>375.1</v>
      </c>
      <c r="D7" s="377">
        <v>90</v>
      </c>
      <c r="E7" s="379">
        <f t="shared" si="0"/>
        <v>1.6257225433526012E-3</v>
      </c>
      <c r="F7" s="377">
        <f t="shared" si="1"/>
        <v>10.895592485549134</v>
      </c>
      <c r="G7" s="377">
        <f t="shared" si="2"/>
        <v>2.3970303468208094</v>
      </c>
      <c r="H7" s="377">
        <f>F7*'[3]92'!$C$20/100</f>
        <v>3.8086548246159508</v>
      </c>
      <c r="I7" s="377">
        <f>E7*мат.сіль!$F$21</f>
        <v>2.4443114873969289</v>
      </c>
      <c r="J7" s="377">
        <f t="shared" si="3"/>
        <v>5.2107675671508459E-2</v>
      </c>
    </row>
    <row r="8" spans="1:10" s="380" customFormat="1" x14ac:dyDescent="0.2">
      <c r="A8" s="381">
        <v>6</v>
      </c>
      <c r="B8" s="382" t="s">
        <v>336</v>
      </c>
      <c r="C8" s="384">
        <v>386.23</v>
      </c>
      <c r="D8" s="377">
        <v>175</v>
      </c>
      <c r="E8" s="379">
        <f t="shared" si="0"/>
        <v>3.161127167630058E-3</v>
      </c>
      <c r="F8" s="377">
        <f t="shared" si="1"/>
        <v>21.185874277456648</v>
      </c>
      <c r="G8" s="377">
        <f t="shared" si="2"/>
        <v>4.6608923410404621</v>
      </c>
      <c r="H8" s="377">
        <f>F8*'[3]92'!$C$20/100</f>
        <v>7.4057177145310149</v>
      </c>
      <c r="I8" s="377">
        <f>E8*мат.сіль!$F$21</f>
        <v>4.7528278921606955</v>
      </c>
      <c r="J8" s="377">
        <f t="shared" si="3"/>
        <v>9.8400725539675368E-2</v>
      </c>
    </row>
    <row r="9" spans="1:10" s="380" customFormat="1" x14ac:dyDescent="0.2">
      <c r="A9" s="381">
        <v>7</v>
      </c>
      <c r="B9" s="382" t="s">
        <v>337</v>
      </c>
      <c r="C9" s="384">
        <v>917</v>
      </c>
      <c r="D9" s="377">
        <v>658</v>
      </c>
      <c r="E9" s="379">
        <f t="shared" si="0"/>
        <v>1.1885838150289017E-2</v>
      </c>
      <c r="F9" s="377">
        <f t="shared" si="1"/>
        <v>79.658887283236993</v>
      </c>
      <c r="G9" s="377">
        <f t="shared" si="2"/>
        <v>17.524955202312139</v>
      </c>
      <c r="H9" s="377">
        <f>F9*'[3]92'!$C$20/100</f>
        <v>27.845498606636614</v>
      </c>
      <c r="I9" s="377">
        <f>E9*мат.сіль!$F$21</f>
        <v>17.870632874524212</v>
      </c>
      <c r="J9" s="377">
        <f t="shared" si="3"/>
        <v>0.15583421370415479</v>
      </c>
    </row>
    <row r="10" spans="1:10" s="380" customFormat="1" x14ac:dyDescent="0.2">
      <c r="A10" s="381">
        <v>8</v>
      </c>
      <c r="B10" s="382" t="s">
        <v>338</v>
      </c>
      <c r="C10" s="384">
        <v>354.4</v>
      </c>
      <c r="D10" s="377">
        <v>311</v>
      </c>
      <c r="E10" s="379">
        <f t="shared" si="0"/>
        <v>5.6177745664739882E-3</v>
      </c>
      <c r="F10" s="377">
        <f t="shared" si="1"/>
        <v>37.65032514450867</v>
      </c>
      <c r="G10" s="377">
        <f t="shared" si="2"/>
        <v>8.2830715317919079</v>
      </c>
      <c r="H10" s="377">
        <f>F10*'[3]92'!$C$20/100</f>
        <v>13.161018338395117</v>
      </c>
      <c r="I10" s="377">
        <f>E10*мат.сіль!$F$21</f>
        <v>8.4464541397827197</v>
      </c>
      <c r="J10" s="377">
        <f t="shared" si="3"/>
        <v>0.19057807323498424</v>
      </c>
    </row>
    <row r="11" spans="1:10" s="380" customFormat="1" x14ac:dyDescent="0.2">
      <c r="A11" s="381">
        <v>9</v>
      </c>
      <c r="B11" s="382" t="s">
        <v>339</v>
      </c>
      <c r="C11" s="384">
        <v>634.4</v>
      </c>
      <c r="D11" s="377">
        <v>264.3</v>
      </c>
      <c r="E11" s="379">
        <f t="shared" si="0"/>
        <v>4.7742052023121385E-3</v>
      </c>
      <c r="F11" s="377">
        <f t="shared" si="1"/>
        <v>31.996723265895952</v>
      </c>
      <c r="G11" s="377">
        <f t="shared" si="2"/>
        <v>7.0392791184971086</v>
      </c>
      <c r="H11" s="377">
        <f>F11*'[3]92'!$C$20/100</f>
        <v>11.184749668288841</v>
      </c>
      <c r="I11" s="377">
        <f>E11*мат.сіль!$F$21</f>
        <v>7.1781280679889807</v>
      </c>
      <c r="J11" s="377">
        <f t="shared" si="3"/>
        <v>9.0477427680754854E-2</v>
      </c>
    </row>
    <row r="12" spans="1:10" s="380" customFormat="1" x14ac:dyDescent="0.2">
      <c r="A12" s="381">
        <v>10</v>
      </c>
      <c r="B12" s="382" t="s">
        <v>340</v>
      </c>
      <c r="C12" s="384">
        <v>637.20000000000005</v>
      </c>
      <c r="D12" s="377">
        <v>212.1</v>
      </c>
      <c r="E12" s="379">
        <f t="shared" si="0"/>
        <v>3.8312861271676299E-3</v>
      </c>
      <c r="F12" s="377">
        <f t="shared" si="1"/>
        <v>25.677279624277457</v>
      </c>
      <c r="G12" s="377">
        <f t="shared" si="2"/>
        <v>5.6490015173410404</v>
      </c>
      <c r="H12" s="377">
        <f>F12*'[3]92'!$C$20/100</f>
        <v>8.9757298700115911</v>
      </c>
      <c r="I12" s="377">
        <f>E12*мат.сіль!$F$21</f>
        <v>5.7604274052987616</v>
      </c>
      <c r="J12" s="377">
        <f t="shared" si="3"/>
        <v>7.2288823629831842E-2</v>
      </c>
    </row>
    <row r="13" spans="1:10" s="380" customFormat="1" x14ac:dyDescent="0.2">
      <c r="A13" s="381">
        <v>11</v>
      </c>
      <c r="B13" s="382" t="s">
        <v>341</v>
      </c>
      <c r="C13" s="384">
        <v>463.8</v>
      </c>
      <c r="D13" s="377">
        <v>94.5</v>
      </c>
      <c r="E13" s="379">
        <f t="shared" si="0"/>
        <v>1.7070086705202312E-3</v>
      </c>
      <c r="F13" s="377">
        <f t="shared" si="1"/>
        <v>11.44037210982659</v>
      </c>
      <c r="G13" s="377">
        <f t="shared" si="2"/>
        <v>2.5168818641618498</v>
      </c>
      <c r="H13" s="377">
        <f>F13*'[3]92'!$C$20/100</f>
        <v>3.9990875658467484</v>
      </c>
      <c r="I13" s="377">
        <f>E13*мат.сіль!$F$21</f>
        <v>2.566527061766775</v>
      </c>
      <c r="J13" s="377">
        <f t="shared" si="3"/>
        <v>4.4249393276416471E-2</v>
      </c>
    </row>
    <row r="14" spans="1:10" s="380" customFormat="1" x14ac:dyDescent="0.2">
      <c r="A14" s="381">
        <v>12</v>
      </c>
      <c r="B14" s="382" t="s">
        <v>342</v>
      </c>
      <c r="C14" s="384">
        <v>633.29999999999995</v>
      </c>
      <c r="D14" s="377">
        <v>156</v>
      </c>
      <c r="E14" s="379">
        <f t="shared" si="0"/>
        <v>2.8179190751445086E-3</v>
      </c>
      <c r="F14" s="377">
        <f t="shared" si="1"/>
        <v>18.885693641618495</v>
      </c>
      <c r="G14" s="377">
        <f t="shared" si="2"/>
        <v>4.1548526011560689</v>
      </c>
      <c r="H14" s="377">
        <f>F14*'[3]92'!$C$20/100</f>
        <v>6.6016683626676471</v>
      </c>
      <c r="I14" s="377">
        <f>E14*мат.сіль!$F$21</f>
        <v>4.2368065781546767</v>
      </c>
      <c r="J14" s="377">
        <f t="shared" si="3"/>
        <v>5.3496006921833088E-2</v>
      </c>
    </row>
    <row r="15" spans="1:10" s="380" customFormat="1" x14ac:dyDescent="0.2">
      <c r="A15" s="381">
        <v>13</v>
      </c>
      <c r="B15" s="382" t="s">
        <v>343</v>
      </c>
      <c r="C15" s="384">
        <v>379.5</v>
      </c>
      <c r="D15" s="377">
        <v>619.70000000000005</v>
      </c>
      <c r="E15" s="379">
        <f t="shared" si="0"/>
        <v>1.119400289017341E-2</v>
      </c>
      <c r="F15" s="377">
        <f t="shared" si="1"/>
        <v>75.022207369942194</v>
      </c>
      <c r="G15" s="377">
        <f t="shared" si="2"/>
        <v>16.504885621387281</v>
      </c>
      <c r="H15" s="377">
        <f>F15*'[3]92'!$C$20/100</f>
        <v>26.224704386827831</v>
      </c>
      <c r="I15" s="377">
        <f>E15*мат.сіль!$F$21</f>
        <v>16.830442541554188</v>
      </c>
      <c r="J15" s="377">
        <f t="shared" si="3"/>
        <v>0.35463040822058367</v>
      </c>
    </row>
    <row r="16" spans="1:10" s="380" customFormat="1" x14ac:dyDescent="0.2">
      <c r="A16" s="381">
        <v>14</v>
      </c>
      <c r="B16" s="382" t="s">
        <v>344</v>
      </c>
      <c r="C16" s="384">
        <v>916.4</v>
      </c>
      <c r="D16" s="375">
        <v>177</v>
      </c>
      <c r="E16" s="379">
        <f t="shared" si="0"/>
        <v>3.1972543352601157E-3</v>
      </c>
      <c r="F16" s="377">
        <f t="shared" si="1"/>
        <v>21.427998554913295</v>
      </c>
      <c r="G16" s="377">
        <f t="shared" si="2"/>
        <v>4.7141596820809246</v>
      </c>
      <c r="H16" s="377">
        <f>F16*'[3]92'!$C$20/100</f>
        <v>7.4903544884113691</v>
      </c>
      <c r="I16" s="377">
        <f>E16*мат.сіль!$F$21</f>
        <v>4.8071459252139599</v>
      </c>
      <c r="J16" s="377">
        <f t="shared" si="3"/>
        <v>4.194637565541199E-2</v>
      </c>
    </row>
    <row r="17" spans="1:10" s="380" customFormat="1" x14ac:dyDescent="0.2">
      <c r="A17" s="381">
        <v>15</v>
      </c>
      <c r="B17" s="382" t="s">
        <v>345</v>
      </c>
      <c r="C17" s="384">
        <v>922.1</v>
      </c>
      <c r="D17" s="375">
        <v>177</v>
      </c>
      <c r="E17" s="379">
        <f t="shared" si="0"/>
        <v>3.1972543352601157E-3</v>
      </c>
      <c r="F17" s="377">
        <f t="shared" si="1"/>
        <v>21.427998554913295</v>
      </c>
      <c r="G17" s="377">
        <f t="shared" si="2"/>
        <v>4.7141596820809246</v>
      </c>
      <c r="H17" s="377">
        <f>F17*'[3]92'!$C$20/100</f>
        <v>7.4903544884113691</v>
      </c>
      <c r="I17" s="377">
        <f>E17*мат.сіль!$F$21</f>
        <v>4.8071459252139599</v>
      </c>
      <c r="J17" s="377">
        <f t="shared" si="3"/>
        <v>4.1687082367009597E-2</v>
      </c>
    </row>
    <row r="18" spans="1:10" s="380" customFormat="1" x14ac:dyDescent="0.2">
      <c r="A18" s="381">
        <v>16</v>
      </c>
      <c r="B18" s="382" t="s">
        <v>346</v>
      </c>
      <c r="C18" s="384">
        <v>490.3</v>
      </c>
      <c r="D18" s="375">
        <v>53</v>
      </c>
      <c r="E18" s="379">
        <f t="shared" si="0"/>
        <v>9.5736994219653175E-4</v>
      </c>
      <c r="F18" s="377">
        <f t="shared" si="1"/>
        <v>6.4162933526011559</v>
      </c>
      <c r="G18" s="377">
        <f t="shared" si="2"/>
        <v>1.4115845375722542</v>
      </c>
      <c r="H18" s="377">
        <f>F18*'[3]92'!$C$20/100</f>
        <v>2.2428745078293932</v>
      </c>
      <c r="I18" s="377">
        <f>E18*мат.сіль!$F$21</f>
        <v>1.4394278759115247</v>
      </c>
      <c r="J18" s="377">
        <f t="shared" si="3"/>
        <v>2.3475790891116313E-2</v>
      </c>
    </row>
    <row r="19" spans="1:10" s="380" customFormat="1" x14ac:dyDescent="0.2">
      <c r="A19" s="381">
        <v>17</v>
      </c>
      <c r="B19" s="382" t="s">
        <v>347</v>
      </c>
      <c r="C19" s="384">
        <v>502.4</v>
      </c>
      <c r="D19" s="375">
        <v>53</v>
      </c>
      <c r="E19" s="379">
        <f t="shared" si="0"/>
        <v>9.5736994219653175E-4</v>
      </c>
      <c r="F19" s="377">
        <f t="shared" si="1"/>
        <v>6.4162933526011559</v>
      </c>
      <c r="G19" s="377">
        <f t="shared" si="2"/>
        <v>1.4115845375722542</v>
      </c>
      <c r="H19" s="377">
        <f>F19*'[3]92'!$C$20/100</f>
        <v>2.2428745078293932</v>
      </c>
      <c r="I19" s="377">
        <f>E19*мат.сіль!$F$21</f>
        <v>1.4394278759115247</v>
      </c>
      <c r="J19" s="377">
        <f t="shared" si="3"/>
        <v>2.2910390672600176E-2</v>
      </c>
    </row>
    <row r="20" spans="1:10" s="380" customFormat="1" x14ac:dyDescent="0.2">
      <c r="A20" s="381">
        <v>18</v>
      </c>
      <c r="B20" s="382" t="s">
        <v>348</v>
      </c>
      <c r="C20" s="384">
        <v>655.29999999999995</v>
      </c>
      <c r="D20" s="375">
        <v>55</v>
      </c>
      <c r="E20" s="379">
        <f t="shared" si="0"/>
        <v>9.9349710982658953E-4</v>
      </c>
      <c r="F20" s="377">
        <f t="shared" si="1"/>
        <v>6.6584176300578033</v>
      </c>
      <c r="G20" s="377">
        <f t="shared" si="2"/>
        <v>1.4648518786127167</v>
      </c>
      <c r="H20" s="377">
        <f>F20*'[3]92'!$C$20/100</f>
        <v>2.3275112817097479</v>
      </c>
      <c r="I20" s="377">
        <f>E20*мат.сіль!$F$21</f>
        <v>1.4937459089647898</v>
      </c>
      <c r="J20" s="377">
        <f t="shared" si="3"/>
        <v>1.822757011955602E-2</v>
      </c>
    </row>
    <row r="21" spans="1:10" s="380" customFormat="1" x14ac:dyDescent="0.2">
      <c r="A21" s="381">
        <v>19</v>
      </c>
      <c r="B21" s="382" t="s">
        <v>349</v>
      </c>
      <c r="C21" s="384">
        <v>663.8</v>
      </c>
      <c r="D21" s="375">
        <v>48</v>
      </c>
      <c r="E21" s="379">
        <f t="shared" si="0"/>
        <v>8.6705202312138728E-4</v>
      </c>
      <c r="F21" s="377">
        <f t="shared" si="1"/>
        <v>5.8109826589595377</v>
      </c>
      <c r="G21" s="377">
        <f t="shared" si="2"/>
        <v>1.2784161849710984</v>
      </c>
      <c r="H21" s="377">
        <f>F21*'[3]92'!$C$20/100</f>
        <v>2.0312825731285069</v>
      </c>
      <c r="I21" s="377">
        <f>E21*мат.сіль!$F$21</f>
        <v>1.303632793278362</v>
      </c>
      <c r="J21" s="377">
        <f t="shared" si="3"/>
        <v>1.570399850909537E-2</v>
      </c>
    </row>
    <row r="22" spans="1:10" s="380" customFormat="1" x14ac:dyDescent="0.2">
      <c r="A22" s="381">
        <v>20</v>
      </c>
      <c r="B22" s="382" t="s">
        <v>350</v>
      </c>
      <c r="C22" s="384">
        <v>679.3</v>
      </c>
      <c r="D22" s="375" t="s">
        <v>20</v>
      </c>
      <c r="E22" s="375" t="s">
        <v>20</v>
      </c>
      <c r="F22" s="375" t="s">
        <v>20</v>
      </c>
      <c r="G22" s="375" t="s">
        <v>20</v>
      </c>
      <c r="H22" s="375" t="s">
        <v>20</v>
      </c>
      <c r="I22" s="375" t="s">
        <v>20</v>
      </c>
      <c r="J22" s="375" t="s">
        <v>20</v>
      </c>
    </row>
    <row r="23" spans="1:10" s="380" customFormat="1" x14ac:dyDescent="0.2">
      <c r="A23" s="381">
        <v>21</v>
      </c>
      <c r="B23" s="382" t="s">
        <v>351</v>
      </c>
      <c r="C23" s="384">
        <v>828.8</v>
      </c>
      <c r="D23" s="375">
        <v>243</v>
      </c>
      <c r="E23" s="379">
        <f t="shared" ref="E23:E30" si="4">D23/$E$163</f>
        <v>4.3894508670520235E-3</v>
      </c>
      <c r="F23" s="377">
        <f t="shared" ref="F23:F30" si="5">E23*$F$163</f>
        <v>29.418099710982663</v>
      </c>
      <c r="G23" s="377">
        <f t="shared" si="2"/>
        <v>6.4719819364161859</v>
      </c>
      <c r="H23" s="377">
        <f>F23*'[3]92'!$C$20/100</f>
        <v>10.283368026463068</v>
      </c>
      <c r="I23" s="377">
        <f>E23*мат.сіль!$F$21</f>
        <v>6.5996410159717085</v>
      </c>
      <c r="J23" s="377">
        <f t="shared" si="3"/>
        <v>6.3674095909548298E-2</v>
      </c>
    </row>
    <row r="24" spans="1:10" s="380" customFormat="1" x14ac:dyDescent="0.2">
      <c r="A24" s="381">
        <v>22</v>
      </c>
      <c r="B24" s="382" t="s">
        <v>352</v>
      </c>
      <c r="C24" s="384">
        <v>1413.6</v>
      </c>
      <c r="D24" s="375">
        <v>291</v>
      </c>
      <c r="E24" s="379">
        <f t="shared" si="4"/>
        <v>5.2565028901734104E-3</v>
      </c>
      <c r="F24" s="377">
        <f t="shared" si="5"/>
        <v>35.229082369942198</v>
      </c>
      <c r="G24" s="377">
        <f t="shared" si="2"/>
        <v>7.7503981213872839</v>
      </c>
      <c r="H24" s="377">
        <f>F24*'[3]92'!$C$20/100</f>
        <v>12.314650599591573</v>
      </c>
      <c r="I24" s="377">
        <f>E24*мат.сіль!$F$21</f>
        <v>7.9032738092500701</v>
      </c>
      <c r="J24" s="377">
        <f t="shared" si="3"/>
        <v>4.4706709748281781E-2</v>
      </c>
    </row>
    <row r="25" spans="1:10" s="380" customFormat="1" x14ac:dyDescent="0.2">
      <c r="A25" s="381">
        <v>23</v>
      </c>
      <c r="B25" s="382" t="s">
        <v>353</v>
      </c>
      <c r="C25" s="384">
        <v>1478</v>
      </c>
      <c r="D25" s="375">
        <v>729</v>
      </c>
      <c r="E25" s="379">
        <f t="shared" si="4"/>
        <v>1.3168352601156069E-2</v>
      </c>
      <c r="F25" s="377">
        <f t="shared" si="5"/>
        <v>88.254299132947978</v>
      </c>
      <c r="G25" s="377">
        <f t="shared" si="2"/>
        <v>19.415945809248555</v>
      </c>
      <c r="H25" s="377">
        <f>F25*'[3]92'!$C$20/100</f>
        <v>30.850104079389197</v>
      </c>
      <c r="I25" s="377">
        <f>E25*мат.сіль!$F$21</f>
        <v>19.798923047915121</v>
      </c>
      <c r="J25" s="377">
        <f t="shared" si="3"/>
        <v>0.10711723414715889</v>
      </c>
    </row>
    <row r="26" spans="1:10" s="380" customFormat="1" x14ac:dyDescent="0.2">
      <c r="A26" s="381">
        <v>24</v>
      </c>
      <c r="B26" s="382" t="s">
        <v>354</v>
      </c>
      <c r="C26" s="384">
        <v>848.6</v>
      </c>
      <c r="D26" s="375">
        <v>237</v>
      </c>
      <c r="E26" s="379">
        <f t="shared" si="4"/>
        <v>4.2810693641618493E-3</v>
      </c>
      <c r="F26" s="377">
        <f t="shared" si="5"/>
        <v>28.691726878612712</v>
      </c>
      <c r="G26" s="377">
        <f t="shared" si="2"/>
        <v>6.3121799132947967</v>
      </c>
      <c r="H26" s="377">
        <f>F26*'[3]92'!$C$20/100</f>
        <v>10.029457704822001</v>
      </c>
      <c r="I26" s="377">
        <f>E26*мат.сіль!$F$21</f>
        <v>6.4366869168119116</v>
      </c>
      <c r="J26" s="377">
        <f t="shared" si="3"/>
        <v>6.0652900558026662E-2</v>
      </c>
    </row>
    <row r="27" spans="1:10" s="380" customFormat="1" x14ac:dyDescent="0.2">
      <c r="A27" s="381">
        <v>25</v>
      </c>
      <c r="B27" s="382" t="s">
        <v>355</v>
      </c>
      <c r="C27" s="384">
        <v>834.8</v>
      </c>
      <c r="D27" s="459"/>
      <c r="E27" s="379">
        <f t="shared" si="4"/>
        <v>0</v>
      </c>
      <c r="F27" s="377">
        <f t="shared" si="5"/>
        <v>0</v>
      </c>
      <c r="G27" s="377">
        <f t="shared" si="2"/>
        <v>0</v>
      </c>
      <c r="H27" s="377">
        <f>F27*'[3]92'!$C$20/100</f>
        <v>0</v>
      </c>
      <c r="I27" s="377">
        <f>E27*мат.сіль!$F$21</f>
        <v>0</v>
      </c>
      <c r="J27" s="377">
        <f t="shared" si="3"/>
        <v>0</v>
      </c>
    </row>
    <row r="28" spans="1:10" s="380" customFormat="1" x14ac:dyDescent="0.2">
      <c r="A28" s="381">
        <v>26</v>
      </c>
      <c r="B28" s="382" t="s">
        <v>356</v>
      </c>
      <c r="C28" s="384">
        <v>848.8</v>
      </c>
      <c r="D28" s="375">
        <v>276</v>
      </c>
      <c r="E28" s="379">
        <f t="shared" si="4"/>
        <v>4.985549132947977E-3</v>
      </c>
      <c r="F28" s="377">
        <f t="shared" si="5"/>
        <v>33.413150289017345</v>
      </c>
      <c r="G28" s="377">
        <f t="shared" si="2"/>
        <v>7.3508930635838157</v>
      </c>
      <c r="H28" s="377">
        <f>F28*'[3]92'!$C$20/100</f>
        <v>11.679874795488917</v>
      </c>
      <c r="I28" s="377">
        <f>E28*мат.сіль!$F$21</f>
        <v>7.4958885613505819</v>
      </c>
      <c r="J28" s="377">
        <f t="shared" si="3"/>
        <v>7.0617114407917847E-2</v>
      </c>
    </row>
    <row r="29" spans="1:10" s="380" customFormat="1" x14ac:dyDescent="0.2">
      <c r="A29" s="381">
        <v>27</v>
      </c>
      <c r="B29" s="382" t="s">
        <v>357</v>
      </c>
      <c r="C29" s="384">
        <v>646.76</v>
      </c>
      <c r="D29" s="375">
        <v>95</v>
      </c>
      <c r="E29" s="379">
        <f t="shared" si="4"/>
        <v>1.7160404624277457E-3</v>
      </c>
      <c r="F29" s="377">
        <f t="shared" si="5"/>
        <v>11.500903179190752</v>
      </c>
      <c r="G29" s="377">
        <f t="shared" si="2"/>
        <v>2.5301986994219656</v>
      </c>
      <c r="H29" s="377">
        <f>F29*'[3]92'!$C$20/100</f>
        <v>4.0202467593168372</v>
      </c>
      <c r="I29" s="377">
        <f>E29*мат.сіль!$F$21</f>
        <v>2.5801065700300914</v>
      </c>
      <c r="J29" s="377">
        <f t="shared" si="3"/>
        <v>3.1899708095676368E-2</v>
      </c>
    </row>
    <row r="30" spans="1:10" s="380" customFormat="1" x14ac:dyDescent="0.2">
      <c r="A30" s="381">
        <v>28</v>
      </c>
      <c r="B30" s="382" t="s">
        <v>358</v>
      </c>
      <c r="C30" s="384">
        <v>638.20000000000005</v>
      </c>
      <c r="D30" s="375">
        <v>95</v>
      </c>
      <c r="E30" s="379">
        <f t="shared" si="4"/>
        <v>1.7160404624277457E-3</v>
      </c>
      <c r="F30" s="377">
        <f t="shared" si="5"/>
        <v>11.500903179190752</v>
      </c>
      <c r="G30" s="377">
        <f t="shared" si="2"/>
        <v>2.5301986994219656</v>
      </c>
      <c r="H30" s="377">
        <f>F30*'[3]92'!$C$20/100</f>
        <v>4.0202467593168372</v>
      </c>
      <c r="I30" s="377">
        <f>E30*мат.сіль!$F$21</f>
        <v>2.5801065700300914</v>
      </c>
      <c r="J30" s="377">
        <f t="shared" si="3"/>
        <v>3.2327570053211602E-2</v>
      </c>
    </row>
    <row r="31" spans="1:10" s="380" customFormat="1" x14ac:dyDescent="0.2">
      <c r="A31" s="381">
        <v>29</v>
      </c>
      <c r="B31" s="382" t="s">
        <v>359</v>
      </c>
      <c r="C31" s="384">
        <v>385.2</v>
      </c>
      <c r="D31" s="375" t="s">
        <v>20</v>
      </c>
      <c r="E31" s="375" t="s">
        <v>20</v>
      </c>
      <c r="F31" s="375" t="s">
        <v>20</v>
      </c>
      <c r="G31" s="375" t="s">
        <v>20</v>
      </c>
      <c r="H31" s="375" t="s">
        <v>20</v>
      </c>
      <c r="I31" s="375" t="s">
        <v>20</v>
      </c>
      <c r="J31" s="375" t="s">
        <v>20</v>
      </c>
    </row>
    <row r="32" spans="1:10" s="380" customFormat="1" x14ac:dyDescent="0.2">
      <c r="A32" s="381">
        <v>30</v>
      </c>
      <c r="B32" s="382" t="s">
        <v>360</v>
      </c>
      <c r="C32" s="384">
        <v>398.4</v>
      </c>
      <c r="D32" s="375" t="s">
        <v>20</v>
      </c>
      <c r="E32" s="375" t="s">
        <v>20</v>
      </c>
      <c r="F32" s="375" t="s">
        <v>20</v>
      </c>
      <c r="G32" s="375" t="s">
        <v>20</v>
      </c>
      <c r="H32" s="375" t="s">
        <v>20</v>
      </c>
      <c r="I32" s="375" t="s">
        <v>20</v>
      </c>
      <c r="J32" s="375" t="s">
        <v>20</v>
      </c>
    </row>
    <row r="33" spans="1:10" s="380" customFormat="1" x14ac:dyDescent="0.2">
      <c r="A33" s="381">
        <v>31</v>
      </c>
      <c r="B33" s="382" t="s">
        <v>361</v>
      </c>
      <c r="C33" s="384">
        <v>977.25</v>
      </c>
      <c r="D33" s="375" t="s">
        <v>20</v>
      </c>
      <c r="E33" s="375" t="s">
        <v>20</v>
      </c>
      <c r="F33" s="375" t="s">
        <v>20</v>
      </c>
      <c r="G33" s="375" t="s">
        <v>20</v>
      </c>
      <c r="H33" s="375" t="s">
        <v>20</v>
      </c>
      <c r="I33" s="375" t="s">
        <v>20</v>
      </c>
      <c r="J33" s="375" t="s">
        <v>20</v>
      </c>
    </row>
    <row r="34" spans="1:10" s="380" customFormat="1" x14ac:dyDescent="0.2">
      <c r="A34" s="381">
        <v>32</v>
      </c>
      <c r="B34" s="382" t="s">
        <v>362</v>
      </c>
      <c r="C34" s="384">
        <v>796.2</v>
      </c>
      <c r="D34" s="375" t="s">
        <v>20</v>
      </c>
      <c r="E34" s="375" t="s">
        <v>20</v>
      </c>
      <c r="F34" s="375" t="s">
        <v>20</v>
      </c>
      <c r="G34" s="375" t="s">
        <v>20</v>
      </c>
      <c r="H34" s="375" t="s">
        <v>20</v>
      </c>
      <c r="I34" s="375" t="s">
        <v>20</v>
      </c>
      <c r="J34" s="375" t="s">
        <v>20</v>
      </c>
    </row>
    <row r="35" spans="1:10" s="380" customFormat="1" x14ac:dyDescent="0.2">
      <c r="A35" s="381">
        <v>33</v>
      </c>
      <c r="B35" s="382" t="s">
        <v>363</v>
      </c>
      <c r="C35" s="384">
        <v>394.3</v>
      </c>
      <c r="D35" s="375">
        <v>543</v>
      </c>
      <c r="E35" s="379">
        <f>D35/$E$163</f>
        <v>9.8085260115606931E-3</v>
      </c>
      <c r="F35" s="377">
        <f>E35*$F$163</f>
        <v>65.73674132947977</v>
      </c>
      <c r="G35" s="377">
        <f t="shared" si="2"/>
        <v>14.46208309248555</v>
      </c>
      <c r="H35" s="377">
        <f>F35*'[3]92'!$C$20/100</f>
        <v>22.978884108516237</v>
      </c>
      <c r="I35" s="377">
        <f>E35*мат.сіль!$F$21</f>
        <v>14.747345973961469</v>
      </c>
      <c r="J35" s="377">
        <f t="shared" si="3"/>
        <v>0.29907444713274928</v>
      </c>
    </row>
    <row r="36" spans="1:10" s="380" customFormat="1" x14ac:dyDescent="0.2">
      <c r="A36" s="381">
        <v>34</v>
      </c>
      <c r="B36" s="382" t="s">
        <v>364</v>
      </c>
      <c r="C36" s="384">
        <v>462.9</v>
      </c>
      <c r="D36" s="375">
        <v>453</v>
      </c>
      <c r="E36" s="379">
        <f>D36/$E$163</f>
        <v>8.1828034682080927E-3</v>
      </c>
      <c r="F36" s="377">
        <f>E36*$F$163</f>
        <v>54.84114884393064</v>
      </c>
      <c r="G36" s="377">
        <f t="shared" si="2"/>
        <v>12.06505274566474</v>
      </c>
      <c r="H36" s="377">
        <f>F36*'[3]92'!$C$20/100</f>
        <v>19.170229283900287</v>
      </c>
      <c r="I36" s="377">
        <f>E36*мат.сіль!$F$21</f>
        <v>12.303034486564542</v>
      </c>
      <c r="J36" s="377">
        <f t="shared" si="3"/>
        <v>0.21252854906040228</v>
      </c>
    </row>
    <row r="37" spans="1:10" s="380" customFormat="1" x14ac:dyDescent="0.2">
      <c r="A37" s="381">
        <v>35</v>
      </c>
      <c r="B37" s="382" t="s">
        <v>365</v>
      </c>
      <c r="C37" s="384">
        <v>411.79</v>
      </c>
      <c r="D37" s="375">
        <v>364.5</v>
      </c>
      <c r="E37" s="379">
        <f>D37/$E$163</f>
        <v>6.5841763005780344E-3</v>
      </c>
      <c r="F37" s="377">
        <f>E37*$F$163</f>
        <v>44.127149566473989</v>
      </c>
      <c r="G37" s="377">
        <f t="shared" si="2"/>
        <v>9.7079729046242775</v>
      </c>
      <c r="H37" s="377">
        <f>F37*'[3]92'!$C$20/100</f>
        <v>15.425052039694599</v>
      </c>
      <c r="I37" s="377">
        <f>E37*мат.сіль!$F$21</f>
        <v>9.8994615239575605</v>
      </c>
      <c r="J37" s="377">
        <f t="shared" si="3"/>
        <v>0.19223302177019941</v>
      </c>
    </row>
    <row r="38" spans="1:10" s="380" customFormat="1" x14ac:dyDescent="0.2">
      <c r="A38" s="381">
        <v>36</v>
      </c>
      <c r="B38" s="382" t="s">
        <v>366</v>
      </c>
      <c r="C38" s="384">
        <v>674.2</v>
      </c>
      <c r="D38" s="375">
        <v>448</v>
      </c>
      <c r="E38" s="379">
        <f>D38/$E$163</f>
        <v>8.0924855491329474E-3</v>
      </c>
      <c r="F38" s="377">
        <f>E38*$F$163</f>
        <v>54.235838150289013</v>
      </c>
      <c r="G38" s="377">
        <f t="shared" si="2"/>
        <v>11.931884393063584</v>
      </c>
      <c r="H38" s="377">
        <f>F38*'[3]92'!$C$20/100</f>
        <v>18.958637349199396</v>
      </c>
      <c r="I38" s="377">
        <f>E38*мат.сіль!$F$21</f>
        <v>12.167239403931378</v>
      </c>
      <c r="J38" s="377">
        <f t="shared" si="3"/>
        <v>0.14430969934215865</v>
      </c>
    </row>
    <row r="39" spans="1:10" s="380" customFormat="1" x14ac:dyDescent="0.2">
      <c r="A39" s="381">
        <v>37</v>
      </c>
      <c r="B39" s="382" t="s">
        <v>367</v>
      </c>
      <c r="C39" s="384">
        <v>169</v>
      </c>
      <c r="D39" s="375" t="s">
        <v>20</v>
      </c>
      <c r="E39" s="375" t="s">
        <v>20</v>
      </c>
      <c r="F39" s="375" t="s">
        <v>20</v>
      </c>
      <c r="G39" s="375" t="s">
        <v>20</v>
      </c>
      <c r="H39" s="375" t="s">
        <v>20</v>
      </c>
      <c r="I39" s="375" t="s">
        <v>20</v>
      </c>
      <c r="J39" s="375" t="s">
        <v>20</v>
      </c>
    </row>
    <row r="40" spans="1:10" s="380" customFormat="1" x14ac:dyDescent="0.2">
      <c r="A40" s="381">
        <v>38</v>
      </c>
      <c r="B40" s="382" t="s">
        <v>368</v>
      </c>
      <c r="C40" s="384">
        <v>175.4</v>
      </c>
      <c r="D40" s="375" t="s">
        <v>20</v>
      </c>
      <c r="E40" s="375" t="s">
        <v>20</v>
      </c>
      <c r="F40" s="375" t="s">
        <v>20</v>
      </c>
      <c r="G40" s="375" t="s">
        <v>20</v>
      </c>
      <c r="H40" s="375" t="s">
        <v>20</v>
      </c>
      <c r="I40" s="375" t="s">
        <v>20</v>
      </c>
      <c r="J40" s="375" t="s">
        <v>20</v>
      </c>
    </row>
    <row r="41" spans="1:10" s="380" customFormat="1" x14ac:dyDescent="0.2">
      <c r="A41" s="381">
        <v>39</v>
      </c>
      <c r="B41" s="382" t="s">
        <v>369</v>
      </c>
      <c r="C41" s="384">
        <v>173.5</v>
      </c>
      <c r="D41" s="375" t="s">
        <v>20</v>
      </c>
      <c r="E41" s="375" t="s">
        <v>20</v>
      </c>
      <c r="F41" s="375" t="s">
        <v>20</v>
      </c>
      <c r="G41" s="375" t="s">
        <v>20</v>
      </c>
      <c r="H41" s="375" t="s">
        <v>20</v>
      </c>
      <c r="I41" s="375" t="s">
        <v>20</v>
      </c>
      <c r="J41" s="375" t="s">
        <v>20</v>
      </c>
    </row>
    <row r="42" spans="1:10" s="380" customFormat="1" x14ac:dyDescent="0.2">
      <c r="A42" s="381">
        <v>40</v>
      </c>
      <c r="B42" s="382" t="s">
        <v>370</v>
      </c>
      <c r="C42" s="384">
        <v>182</v>
      </c>
      <c r="D42" s="375" t="s">
        <v>20</v>
      </c>
      <c r="E42" s="375" t="s">
        <v>20</v>
      </c>
      <c r="F42" s="375" t="s">
        <v>20</v>
      </c>
      <c r="G42" s="375" t="s">
        <v>20</v>
      </c>
      <c r="H42" s="375" t="s">
        <v>20</v>
      </c>
      <c r="I42" s="375" t="s">
        <v>20</v>
      </c>
      <c r="J42" s="375" t="s">
        <v>20</v>
      </c>
    </row>
    <row r="43" spans="1:10" s="380" customFormat="1" x14ac:dyDescent="0.2">
      <c r="A43" s="381">
        <v>41</v>
      </c>
      <c r="B43" s="382" t="s">
        <v>371</v>
      </c>
      <c r="C43" s="384">
        <v>629.6</v>
      </c>
      <c r="D43" s="375">
        <v>161.4</v>
      </c>
      <c r="E43" s="379">
        <f>D43/$E$163</f>
        <v>2.915462427745665E-3</v>
      </c>
      <c r="F43" s="377">
        <f>E43*$F$163</f>
        <v>19.539429190751449</v>
      </c>
      <c r="G43" s="377">
        <f t="shared" si="2"/>
        <v>4.2986744219653188</v>
      </c>
      <c r="H43" s="377">
        <f>F43*'[3]92'!$C$20/100</f>
        <v>6.8301876521446054</v>
      </c>
      <c r="I43" s="377">
        <f>E43*мат.сіль!$F$21</f>
        <v>4.3834652673984928</v>
      </c>
      <c r="J43" s="377">
        <f t="shared" si="3"/>
        <v>5.5673056753907026E-2</v>
      </c>
    </row>
    <row r="44" spans="1:10" s="380" customFormat="1" x14ac:dyDescent="0.2">
      <c r="A44" s="381">
        <v>42</v>
      </c>
      <c r="B44" s="382" t="s">
        <v>372</v>
      </c>
      <c r="C44" s="384">
        <v>628.9</v>
      </c>
      <c r="D44" s="375">
        <v>173.1</v>
      </c>
      <c r="E44" s="379">
        <f t="shared" ref="E44:E56" si="6">D44/$E$163</f>
        <v>3.1268063583815026E-3</v>
      </c>
      <c r="F44" s="377">
        <f t="shared" ref="F44:F56" si="7">E44*$F$163</f>
        <v>20.955856213872831</v>
      </c>
      <c r="G44" s="377">
        <f t="shared" si="2"/>
        <v>4.6102883670520232</v>
      </c>
      <c r="H44" s="377">
        <f>F44*'[3]92'!$C$20/100</f>
        <v>7.3253127793446779</v>
      </c>
      <c r="I44" s="377">
        <f>E44*мат.сіль!$F$21</f>
        <v>4.7012257607600922</v>
      </c>
      <c r="J44" s="377">
        <f t="shared" si="3"/>
        <v>5.9775295151899548E-2</v>
      </c>
    </row>
    <row r="45" spans="1:10" s="380" customFormat="1" x14ac:dyDescent="0.2">
      <c r="A45" s="381">
        <v>43</v>
      </c>
      <c r="B45" s="382" t="s">
        <v>373</v>
      </c>
      <c r="C45" s="384">
        <v>509.3</v>
      </c>
      <c r="D45" s="375">
        <v>141</v>
      </c>
      <c r="E45" s="379">
        <f t="shared" si="6"/>
        <v>2.5469653179190752E-3</v>
      </c>
      <c r="F45" s="377">
        <f t="shared" si="7"/>
        <v>17.069761560693642</v>
      </c>
      <c r="G45" s="377">
        <f t="shared" si="2"/>
        <v>3.7553475433526011</v>
      </c>
      <c r="H45" s="377">
        <f>F45*'[3]92'!$C$20/100</f>
        <v>5.9668925585649895</v>
      </c>
      <c r="I45" s="377">
        <f>E45*мат.сіль!$F$21</f>
        <v>3.8294213302551885</v>
      </c>
      <c r="J45" s="377">
        <f t="shared" si="3"/>
        <v>6.0124529732704539E-2</v>
      </c>
    </row>
    <row r="46" spans="1:10" s="380" customFormat="1" x14ac:dyDescent="0.2">
      <c r="A46" s="381">
        <v>44</v>
      </c>
      <c r="B46" s="382" t="s">
        <v>374</v>
      </c>
      <c r="C46" s="384">
        <v>404.4</v>
      </c>
      <c r="D46" s="375">
        <v>67.900000000000006</v>
      </c>
      <c r="E46" s="379">
        <f t="shared" si="6"/>
        <v>1.2265173410404625E-3</v>
      </c>
      <c r="F46" s="377">
        <f t="shared" si="7"/>
        <v>8.2201192196531796</v>
      </c>
      <c r="G46" s="377">
        <f t="shared" si="2"/>
        <v>1.8084262283236996</v>
      </c>
      <c r="H46" s="377">
        <f>F46*'[3]92'!$C$20/100</f>
        <v>2.8734184732380341</v>
      </c>
      <c r="I46" s="377">
        <f>E46*мат.сіль!$F$21</f>
        <v>1.8440972221583496</v>
      </c>
      <c r="J46" s="377">
        <f t="shared" si="3"/>
        <v>3.6464048326837945E-2</v>
      </c>
    </row>
    <row r="47" spans="1:10" s="380" customFormat="1" x14ac:dyDescent="0.2">
      <c r="A47" s="381">
        <v>45</v>
      </c>
      <c r="B47" s="382" t="s">
        <v>375</v>
      </c>
      <c r="C47" s="384">
        <v>409.8</v>
      </c>
      <c r="D47" s="375">
        <v>326.10000000000002</v>
      </c>
      <c r="E47" s="379">
        <f t="shared" si="6"/>
        <v>5.8905346820809249E-3</v>
      </c>
      <c r="F47" s="377">
        <f t="shared" si="7"/>
        <v>39.478363439306356</v>
      </c>
      <c r="G47" s="377">
        <f t="shared" si="2"/>
        <v>8.6852399566473988</v>
      </c>
      <c r="H47" s="377">
        <f>F47*'[3]92'!$C$20/100</f>
        <v>13.800025981191792</v>
      </c>
      <c r="I47" s="377">
        <f>E47*мат.сіль!$F$21</f>
        <v>8.8565552893348727</v>
      </c>
      <c r="J47" s="377">
        <f t="shared" si="3"/>
        <v>0.17281645843455448</v>
      </c>
    </row>
    <row r="48" spans="1:10" s="380" customFormat="1" x14ac:dyDescent="0.2">
      <c r="A48" s="381">
        <v>46</v>
      </c>
      <c r="B48" s="382" t="s">
        <v>376</v>
      </c>
      <c r="C48" s="384">
        <v>374.7</v>
      </c>
      <c r="D48" s="375">
        <v>585</v>
      </c>
      <c r="E48" s="379">
        <f t="shared" si="6"/>
        <v>1.0567196531791908E-2</v>
      </c>
      <c r="F48" s="377">
        <f t="shared" si="7"/>
        <v>70.821351156069369</v>
      </c>
      <c r="G48" s="377">
        <f t="shared" si="2"/>
        <v>15.580697254335261</v>
      </c>
      <c r="H48" s="377">
        <f>F48*'[3]92'!$C$20/100</f>
        <v>24.756256360003682</v>
      </c>
      <c r="I48" s="377">
        <f>E48*мат.сіль!$F$21</f>
        <v>15.888024668080039</v>
      </c>
      <c r="J48" s="377">
        <f t="shared" si="3"/>
        <v>0.33906146100477275</v>
      </c>
    </row>
    <row r="49" spans="1:10" s="380" customFormat="1" x14ac:dyDescent="0.2">
      <c r="A49" s="381">
        <v>47</v>
      </c>
      <c r="B49" s="382" t="s">
        <v>377</v>
      </c>
      <c r="C49" s="384">
        <v>618.4</v>
      </c>
      <c r="D49" s="375">
        <v>228</v>
      </c>
      <c r="E49" s="379">
        <f t="shared" si="6"/>
        <v>4.1184971098265893E-3</v>
      </c>
      <c r="F49" s="377">
        <f t="shared" si="7"/>
        <v>27.602167630057803</v>
      </c>
      <c r="G49" s="377">
        <f t="shared" si="2"/>
        <v>6.0724768786127159</v>
      </c>
      <c r="H49" s="377">
        <f>F49*'[3]92'!$C$20/100</f>
        <v>9.6485922223604081</v>
      </c>
      <c r="I49" s="377">
        <f>E49*мат.сіль!$F$21</f>
        <v>6.1922557680722194</v>
      </c>
      <c r="J49" s="377">
        <f t="shared" si="3"/>
        <v>8.0070330690658387E-2</v>
      </c>
    </row>
    <row r="50" spans="1:10" s="380" customFormat="1" x14ac:dyDescent="0.2">
      <c r="A50" s="381">
        <v>48</v>
      </c>
      <c r="B50" s="382" t="s">
        <v>378</v>
      </c>
      <c r="C50" s="384">
        <v>1126.3</v>
      </c>
      <c r="D50" s="375">
        <v>103.8</v>
      </c>
      <c r="E50" s="379">
        <f t="shared" si="6"/>
        <v>1.8749999999999999E-3</v>
      </c>
      <c r="F50" s="377">
        <f t="shared" si="7"/>
        <v>12.56625</v>
      </c>
      <c r="G50" s="377">
        <f t="shared" si="2"/>
        <v>2.7645749999999998</v>
      </c>
      <c r="H50" s="377">
        <f>F50*'[3]92'!$C$20/100</f>
        <v>4.3926485643903961</v>
      </c>
      <c r="I50" s="377">
        <f>E50*мат.сіль!$F$21</f>
        <v>2.8191059154644575</v>
      </c>
      <c r="J50" s="377">
        <f t="shared" si="3"/>
        <v>2.0014720305295972E-2</v>
      </c>
    </row>
    <row r="51" spans="1:10" s="380" customFormat="1" x14ac:dyDescent="0.2">
      <c r="A51" s="381">
        <v>49</v>
      </c>
      <c r="B51" s="382" t="s">
        <v>379</v>
      </c>
      <c r="C51" s="384">
        <v>617</v>
      </c>
      <c r="D51" s="375">
        <v>178</v>
      </c>
      <c r="E51" s="379">
        <f t="shared" si="6"/>
        <v>3.2153179190751446E-3</v>
      </c>
      <c r="F51" s="377">
        <f t="shared" si="7"/>
        <v>21.549060693641618</v>
      </c>
      <c r="G51" s="377">
        <f t="shared" si="2"/>
        <v>4.7407933526011563</v>
      </c>
      <c r="H51" s="377">
        <f>F51*'[3]92'!$C$20/100</f>
        <v>7.5326728753515466</v>
      </c>
      <c r="I51" s="377">
        <f>E51*мат.сіль!$F$21</f>
        <v>4.8343049417405926</v>
      </c>
      <c r="J51" s="377">
        <f t="shared" si="3"/>
        <v>6.26528879470582E-2</v>
      </c>
    </row>
    <row r="52" spans="1:10" s="380" customFormat="1" x14ac:dyDescent="0.2">
      <c r="A52" s="381">
        <v>50</v>
      </c>
      <c r="B52" s="382" t="s">
        <v>380</v>
      </c>
      <c r="C52" s="384">
        <v>452</v>
      </c>
      <c r="D52" s="375">
        <v>64.8</v>
      </c>
      <c r="E52" s="379">
        <f t="shared" si="6"/>
        <v>1.1705202312138727E-3</v>
      </c>
      <c r="F52" s="377">
        <f t="shared" si="7"/>
        <v>7.8448265895953746</v>
      </c>
      <c r="G52" s="377">
        <f t="shared" si="2"/>
        <v>1.7258618497109826</v>
      </c>
      <c r="H52" s="377">
        <f>F52*'[3]92'!$C$20/100</f>
        <v>2.7422314737234843</v>
      </c>
      <c r="I52" s="377">
        <f>E52*мат.сіль!$F$21</f>
        <v>1.7599042709257886</v>
      </c>
      <c r="J52" s="377">
        <f t="shared" si="3"/>
        <v>3.1134566778662897E-2</v>
      </c>
    </row>
    <row r="53" spans="1:10" s="380" customFormat="1" x14ac:dyDescent="0.2">
      <c r="A53" s="381">
        <v>51</v>
      </c>
      <c r="B53" s="382" t="s">
        <v>381</v>
      </c>
      <c r="C53" s="384">
        <v>1245.5999999999999</v>
      </c>
      <c r="D53" s="375">
        <v>186.3</v>
      </c>
      <c r="E53" s="379">
        <f t="shared" si="6"/>
        <v>3.3652456647398844E-3</v>
      </c>
      <c r="F53" s="377">
        <f t="shared" si="7"/>
        <v>22.553876445086704</v>
      </c>
      <c r="G53" s="377">
        <f t="shared" si="2"/>
        <v>4.9618528179190751</v>
      </c>
      <c r="H53" s="377">
        <f>F53*'[3]92'!$C$20/100</f>
        <v>7.8839154869550176</v>
      </c>
      <c r="I53" s="377">
        <f>E53*мат.сіль!$F$21</f>
        <v>5.0597247789116429</v>
      </c>
      <c r="J53" s="377">
        <f t="shared" si="3"/>
        <v>3.2481831670578394E-2</v>
      </c>
    </row>
    <row r="54" spans="1:10" s="380" customFormat="1" x14ac:dyDescent="0.2">
      <c r="A54" s="381">
        <v>52</v>
      </c>
      <c r="B54" s="382" t="s">
        <v>382</v>
      </c>
      <c r="C54" s="384">
        <v>1275.5999999999999</v>
      </c>
      <c r="D54" s="375">
        <v>215.4</v>
      </c>
      <c r="E54" s="379">
        <f t="shared" si="6"/>
        <v>3.8908959537572257E-3</v>
      </c>
      <c r="F54" s="377">
        <f t="shared" si="7"/>
        <v>26.076784682080927</v>
      </c>
      <c r="G54" s="377">
        <f t="shared" si="2"/>
        <v>5.7368926300578043</v>
      </c>
      <c r="H54" s="377">
        <f>F54*'[3]92'!$C$20/100</f>
        <v>9.1153805469141744</v>
      </c>
      <c r="I54" s="377">
        <f>E54*мат.сіль!$F$21</f>
        <v>5.8500521598366495</v>
      </c>
      <c r="J54" s="377">
        <f t="shared" si="3"/>
        <v>3.6672240529076167E-2</v>
      </c>
    </row>
    <row r="55" spans="1:10" s="380" customFormat="1" x14ac:dyDescent="0.2">
      <c r="A55" s="381">
        <v>53</v>
      </c>
      <c r="B55" s="382" t="s">
        <v>383</v>
      </c>
      <c r="C55" s="384">
        <v>942.4</v>
      </c>
      <c r="D55" s="375" t="s">
        <v>20</v>
      </c>
      <c r="E55" s="375" t="s">
        <v>20</v>
      </c>
      <c r="F55" s="375" t="s">
        <v>20</v>
      </c>
      <c r="G55" s="375" t="s">
        <v>20</v>
      </c>
      <c r="H55" s="375" t="s">
        <v>20</v>
      </c>
      <c r="I55" s="375" t="s">
        <v>20</v>
      </c>
      <c r="J55" s="375" t="s">
        <v>20</v>
      </c>
    </row>
    <row r="56" spans="1:10" s="380" customFormat="1" x14ac:dyDescent="0.2">
      <c r="A56" s="381">
        <v>54</v>
      </c>
      <c r="B56" s="382" t="s">
        <v>384</v>
      </c>
      <c r="C56" s="384">
        <v>567.95000000000005</v>
      </c>
      <c r="D56" s="375">
        <v>12.5</v>
      </c>
      <c r="E56" s="379">
        <f t="shared" si="6"/>
        <v>2.2579479768786127E-4</v>
      </c>
      <c r="F56" s="377">
        <f t="shared" si="7"/>
        <v>1.5132767341040463</v>
      </c>
      <c r="G56" s="377">
        <f t="shared" si="2"/>
        <v>0.33292088150289018</v>
      </c>
      <c r="H56" s="377">
        <f>F56*'[3]92'!$C$20/100</f>
        <v>0.52897983675221538</v>
      </c>
      <c r="I56" s="377">
        <f>E56*мат.сіль!$F$21</f>
        <v>0.33948770658290678</v>
      </c>
      <c r="J56" s="377">
        <f t="shared" si="3"/>
        <v>4.7797608221534617E-3</v>
      </c>
    </row>
    <row r="57" spans="1:10" s="380" customFormat="1" x14ac:dyDescent="0.2">
      <c r="A57" s="381">
        <v>55</v>
      </c>
      <c r="B57" s="382" t="s">
        <v>385</v>
      </c>
      <c r="C57" s="384">
        <v>1119.5999999999999</v>
      </c>
      <c r="D57" s="375">
        <v>300</v>
      </c>
      <c r="E57" s="379">
        <f t="shared" ref="E57:E120" si="8">D57/$E$163</f>
        <v>5.4190751445086704E-3</v>
      </c>
      <c r="F57" s="377">
        <f t="shared" ref="F57:F120" si="9">E57*$F$163</f>
        <v>36.318641618497111</v>
      </c>
      <c r="G57" s="377">
        <f t="shared" si="2"/>
        <v>7.9901011560693647</v>
      </c>
      <c r="H57" s="377">
        <f>F57*'[3]92'!$C$20/100</f>
        <v>12.695516082053167</v>
      </c>
      <c r="I57" s="377">
        <f>E57*мат.сіль!$F$21</f>
        <v>8.1477049579897631</v>
      </c>
      <c r="J57" s="377">
        <f t="shared" si="3"/>
        <v>5.819217918418132E-2</v>
      </c>
    </row>
    <row r="58" spans="1:10" s="380" customFormat="1" x14ac:dyDescent="0.2">
      <c r="A58" s="381">
        <v>56</v>
      </c>
      <c r="B58" s="382" t="s">
        <v>386</v>
      </c>
      <c r="C58" s="384">
        <v>946.6</v>
      </c>
      <c r="D58" s="375">
        <v>300</v>
      </c>
      <c r="E58" s="379">
        <f t="shared" si="8"/>
        <v>5.4190751445086704E-3</v>
      </c>
      <c r="F58" s="377">
        <f t="shared" si="9"/>
        <v>36.318641618497111</v>
      </c>
      <c r="G58" s="377">
        <f t="shared" si="2"/>
        <v>7.9901011560693647</v>
      </c>
      <c r="H58" s="377">
        <f>F58*'[3]92'!$C$20/100</f>
        <v>12.695516082053167</v>
      </c>
      <c r="I58" s="377">
        <f>E58*мат.сіль!$F$21</f>
        <v>8.1477049579897631</v>
      </c>
      <c r="J58" s="377">
        <f t="shared" si="3"/>
        <v>6.882734398331862E-2</v>
      </c>
    </row>
    <row r="59" spans="1:10" s="380" customFormat="1" x14ac:dyDescent="0.2">
      <c r="A59" s="381">
        <v>57</v>
      </c>
      <c r="B59" s="382" t="s">
        <v>387</v>
      </c>
      <c r="C59" s="384">
        <v>1375.7</v>
      </c>
      <c r="D59" s="375">
        <v>177</v>
      </c>
      <c r="E59" s="379">
        <f t="shared" si="8"/>
        <v>3.1972543352601157E-3</v>
      </c>
      <c r="F59" s="377">
        <f t="shared" si="9"/>
        <v>21.427998554913295</v>
      </c>
      <c r="G59" s="377">
        <f t="shared" si="2"/>
        <v>4.7141596820809246</v>
      </c>
      <c r="H59" s="377">
        <f>F59*'[3]92'!$C$20/100</f>
        <v>7.4903544884113691</v>
      </c>
      <c r="I59" s="377">
        <f>E59*мат.сіль!$F$21</f>
        <v>4.8071459252139599</v>
      </c>
      <c r="J59" s="377">
        <f t="shared" si="3"/>
        <v>2.7941890419873189E-2</v>
      </c>
    </row>
    <row r="60" spans="1:10" s="380" customFormat="1" x14ac:dyDescent="0.2">
      <c r="A60" s="381">
        <v>58</v>
      </c>
      <c r="B60" s="382" t="s">
        <v>388</v>
      </c>
      <c r="C60" s="384">
        <v>1540.17</v>
      </c>
      <c r="D60" s="375">
        <v>616.70000000000005</v>
      </c>
      <c r="E60" s="379">
        <f t="shared" si="8"/>
        <v>1.1139812138728325E-2</v>
      </c>
      <c r="F60" s="377">
        <f t="shared" si="9"/>
        <v>74.659020953757235</v>
      </c>
      <c r="G60" s="377">
        <f t="shared" si="2"/>
        <v>16.424984609826591</v>
      </c>
      <c r="H60" s="377">
        <f>F60*'[3]92'!$C$20/100</f>
        <v>26.097749226007299</v>
      </c>
      <c r="I60" s="377">
        <f>E60*мат.сіль!$F$21</f>
        <v>16.748965491974289</v>
      </c>
      <c r="J60" s="377">
        <f t="shared" si="3"/>
        <v>8.695840087884156E-2</v>
      </c>
    </row>
    <row r="61" spans="1:10" s="380" customFormat="1" x14ac:dyDescent="0.2">
      <c r="A61" s="381">
        <v>59</v>
      </c>
      <c r="B61" s="382" t="s">
        <v>389</v>
      </c>
      <c r="C61" s="384">
        <v>1571.33</v>
      </c>
      <c r="D61" s="375">
        <v>616.70000000000005</v>
      </c>
      <c r="E61" s="379">
        <f t="shared" si="8"/>
        <v>1.1139812138728325E-2</v>
      </c>
      <c r="F61" s="377">
        <f t="shared" si="9"/>
        <v>74.659020953757235</v>
      </c>
      <c r="G61" s="377">
        <f t="shared" si="2"/>
        <v>16.424984609826591</v>
      </c>
      <c r="H61" s="377">
        <f>F61*'[3]92'!$C$20/100</f>
        <v>26.097749226007299</v>
      </c>
      <c r="I61" s="377">
        <f>E61*мат.сіль!$F$21</f>
        <v>16.748965491974289</v>
      </c>
      <c r="J61" s="377">
        <f t="shared" si="3"/>
        <v>8.5233986674705775E-2</v>
      </c>
    </row>
    <row r="62" spans="1:10" s="380" customFormat="1" x14ac:dyDescent="0.2">
      <c r="A62" s="381">
        <v>60</v>
      </c>
      <c r="B62" s="382" t="s">
        <v>390</v>
      </c>
      <c r="C62" s="384">
        <v>1686.29</v>
      </c>
      <c r="D62" s="375">
        <v>388</v>
      </c>
      <c r="E62" s="379">
        <f t="shared" si="8"/>
        <v>7.0086705202312138E-3</v>
      </c>
      <c r="F62" s="377">
        <f t="shared" si="9"/>
        <v>46.972109826589595</v>
      </c>
      <c r="G62" s="377">
        <f t="shared" si="2"/>
        <v>10.333864161849711</v>
      </c>
      <c r="H62" s="377">
        <f>F62*'[3]92'!$C$20/100</f>
        <v>16.419534132788765</v>
      </c>
      <c r="I62" s="377">
        <f>E62*мат.сіль!$F$21</f>
        <v>10.537698412333427</v>
      </c>
      <c r="J62" s="377">
        <f t="shared" si="3"/>
        <v>4.9969582060951263E-2</v>
      </c>
    </row>
    <row r="63" spans="1:10" s="380" customFormat="1" x14ac:dyDescent="0.2">
      <c r="A63" s="381">
        <v>61</v>
      </c>
      <c r="B63" s="382" t="s">
        <v>391</v>
      </c>
      <c r="C63" s="384">
        <v>454.2</v>
      </c>
      <c r="D63" s="375">
        <v>115.3</v>
      </c>
      <c r="E63" s="379">
        <f t="shared" si="8"/>
        <v>2.0827312138728322E-3</v>
      </c>
      <c r="F63" s="377">
        <f t="shared" si="9"/>
        <v>13.958464595375721</v>
      </c>
      <c r="G63" s="377">
        <f t="shared" si="2"/>
        <v>3.0708622109826589</v>
      </c>
      <c r="H63" s="377">
        <f>F63*'[3]92'!$C$20/100</f>
        <v>4.8793100142024342</v>
      </c>
      <c r="I63" s="377">
        <f>E63*мат.сіль!$F$21</f>
        <v>3.1314346055207318</v>
      </c>
      <c r="J63" s="377">
        <f t="shared" si="3"/>
        <v>5.5130055979924146E-2</v>
      </c>
    </row>
    <row r="64" spans="1:10" s="380" customFormat="1" x14ac:dyDescent="0.2">
      <c r="A64" s="381">
        <v>62</v>
      </c>
      <c r="B64" s="382" t="s">
        <v>392</v>
      </c>
      <c r="C64" s="384">
        <v>752.4</v>
      </c>
      <c r="D64" s="375">
        <v>438.9</v>
      </c>
      <c r="E64" s="379">
        <f t="shared" si="8"/>
        <v>7.9281069364161849E-3</v>
      </c>
      <c r="F64" s="377">
        <f t="shared" si="9"/>
        <v>53.134172687861273</v>
      </c>
      <c r="G64" s="377">
        <f t="shared" si="2"/>
        <v>11.689517991329481</v>
      </c>
      <c r="H64" s="377">
        <f>F64*'[3]92'!$C$20/100</f>
        <v>18.573540028043784</v>
      </c>
      <c r="I64" s="377">
        <f>E64*мат.сіль!$F$21</f>
        <v>11.920092353539022</v>
      </c>
      <c r="J64" s="377">
        <f t="shared" si="3"/>
        <v>0.12668437408396271</v>
      </c>
    </row>
    <row r="65" spans="1:10" s="380" customFormat="1" x14ac:dyDescent="0.2">
      <c r="A65" s="381">
        <v>63</v>
      </c>
      <c r="B65" s="382" t="s">
        <v>393</v>
      </c>
      <c r="C65" s="384">
        <v>956.4</v>
      </c>
      <c r="D65" s="375">
        <v>135</v>
      </c>
      <c r="E65" s="379">
        <f t="shared" si="8"/>
        <v>2.4385838150289018E-3</v>
      </c>
      <c r="F65" s="377">
        <f t="shared" si="9"/>
        <v>16.343388728323699</v>
      </c>
      <c r="G65" s="377">
        <f t="shared" si="2"/>
        <v>3.5955455202312141</v>
      </c>
      <c r="H65" s="377">
        <f>F65*'[3]92'!$C$20/100</f>
        <v>5.712982236923926</v>
      </c>
      <c r="I65" s="377">
        <f>E65*мат.сіль!$F$21</f>
        <v>3.6664672310953934</v>
      </c>
      <c r="J65" s="377">
        <f t="shared" si="3"/>
        <v>3.0654939059571555E-2</v>
      </c>
    </row>
    <row r="66" spans="1:10" s="380" customFormat="1" x14ac:dyDescent="0.2">
      <c r="A66" s="381">
        <v>64</v>
      </c>
      <c r="B66" s="382" t="s">
        <v>394</v>
      </c>
      <c r="C66" s="384">
        <v>955.5</v>
      </c>
      <c r="D66" s="375">
        <v>370.2</v>
      </c>
      <c r="E66" s="379">
        <f t="shared" si="8"/>
        <v>6.6871387283236996E-3</v>
      </c>
      <c r="F66" s="377">
        <f t="shared" si="9"/>
        <v>44.817203757225435</v>
      </c>
      <c r="G66" s="377">
        <f t="shared" si="2"/>
        <v>9.8597848265895962</v>
      </c>
      <c r="H66" s="377">
        <f>F66*'[3]92'!$C$20/100</f>
        <v>15.66626684525361</v>
      </c>
      <c r="I66" s="377">
        <f>E66*мат.сіль!$F$21</f>
        <v>10.054267918159367</v>
      </c>
      <c r="J66" s="377">
        <f t="shared" si="3"/>
        <v>8.4141835004948207E-2</v>
      </c>
    </row>
    <row r="67" spans="1:10" s="380" customFormat="1" x14ac:dyDescent="0.2">
      <c r="A67" s="381">
        <v>65</v>
      </c>
      <c r="B67" s="382" t="s">
        <v>395</v>
      </c>
      <c r="C67" s="384">
        <v>1548.5</v>
      </c>
      <c r="D67" s="375">
        <v>616.70000000000005</v>
      </c>
      <c r="E67" s="379">
        <f t="shared" si="8"/>
        <v>1.1139812138728325E-2</v>
      </c>
      <c r="F67" s="377">
        <f t="shared" si="9"/>
        <v>74.659020953757235</v>
      </c>
      <c r="G67" s="377">
        <f t="shared" si="2"/>
        <v>16.424984609826591</v>
      </c>
      <c r="H67" s="377">
        <f>F67*'[3]92'!$C$20/100</f>
        <v>26.097749226007299</v>
      </c>
      <c r="I67" s="377">
        <f>E67*мат.сіль!$F$21</f>
        <v>16.748965491974289</v>
      </c>
      <c r="J67" s="377">
        <f t="shared" si="3"/>
        <v>8.6490616907694814E-2</v>
      </c>
    </row>
    <row r="68" spans="1:10" s="380" customFormat="1" x14ac:dyDescent="0.2">
      <c r="A68" s="381">
        <v>66</v>
      </c>
      <c r="B68" s="382" t="s">
        <v>396</v>
      </c>
      <c r="C68" s="384">
        <v>1567.3</v>
      </c>
      <c r="D68" s="375">
        <v>616.70000000000005</v>
      </c>
      <c r="E68" s="379">
        <f t="shared" si="8"/>
        <v>1.1139812138728325E-2</v>
      </c>
      <c r="F68" s="377">
        <f t="shared" si="9"/>
        <v>74.659020953757235</v>
      </c>
      <c r="G68" s="377">
        <f t="shared" si="2"/>
        <v>16.424984609826591</v>
      </c>
      <c r="H68" s="377">
        <f>F68*'[3]92'!$C$20/100</f>
        <v>26.097749226007299</v>
      </c>
      <c r="I68" s="377">
        <f>E68*мат.сіль!$F$21</f>
        <v>16.748965491974289</v>
      </c>
      <c r="J68" s="377">
        <f t="shared" ref="J68:J131" si="10">(F68+G68+H68+I68)/C68</f>
        <v>8.5453148906760298E-2</v>
      </c>
    </row>
    <row r="69" spans="1:10" s="380" customFormat="1" x14ac:dyDescent="0.2">
      <c r="A69" s="381">
        <v>67</v>
      </c>
      <c r="B69" s="382" t="s">
        <v>397</v>
      </c>
      <c r="C69" s="384">
        <v>1558.46</v>
      </c>
      <c r="D69" s="375">
        <v>616.70000000000005</v>
      </c>
      <c r="E69" s="379">
        <f t="shared" si="8"/>
        <v>1.1139812138728325E-2</v>
      </c>
      <c r="F69" s="377">
        <f t="shared" si="9"/>
        <v>74.659020953757235</v>
      </c>
      <c r="G69" s="377">
        <f t="shared" si="2"/>
        <v>16.424984609826591</v>
      </c>
      <c r="H69" s="377">
        <f>F69*'[3]92'!$C$20/100</f>
        <v>26.097749226007299</v>
      </c>
      <c r="I69" s="377">
        <f>E69*мат.сіль!$F$21</f>
        <v>16.748965491974289</v>
      </c>
      <c r="J69" s="377">
        <f t="shared" si="10"/>
        <v>8.5937861915971803E-2</v>
      </c>
    </row>
    <row r="70" spans="1:10" s="380" customFormat="1" x14ac:dyDescent="0.2">
      <c r="A70" s="381">
        <v>68</v>
      </c>
      <c r="B70" s="382" t="s">
        <v>398</v>
      </c>
      <c r="C70" s="384">
        <v>1575.7</v>
      </c>
      <c r="D70" s="375">
        <v>616.70000000000005</v>
      </c>
      <c r="E70" s="379">
        <f t="shared" si="8"/>
        <v>1.1139812138728325E-2</v>
      </c>
      <c r="F70" s="377">
        <f t="shared" si="9"/>
        <v>74.659020953757235</v>
      </c>
      <c r="G70" s="377">
        <f t="shared" si="2"/>
        <v>16.424984609826591</v>
      </c>
      <c r="H70" s="377">
        <f>F70*'[3]92'!$C$20/100</f>
        <v>26.097749226007299</v>
      </c>
      <c r="I70" s="377">
        <f>E70*мат.сіль!$F$21</f>
        <v>16.748965491974289</v>
      </c>
      <c r="J70" s="377">
        <f t="shared" si="10"/>
        <v>8.4997601244885077E-2</v>
      </c>
    </row>
    <row r="71" spans="1:10" s="380" customFormat="1" x14ac:dyDescent="0.2">
      <c r="A71" s="381">
        <v>69</v>
      </c>
      <c r="B71" s="382" t="s">
        <v>399</v>
      </c>
      <c r="C71" s="384">
        <v>1546.3</v>
      </c>
      <c r="D71" s="375">
        <v>616.70000000000005</v>
      </c>
      <c r="E71" s="379">
        <f t="shared" si="8"/>
        <v>1.1139812138728325E-2</v>
      </c>
      <c r="F71" s="377">
        <f t="shared" si="9"/>
        <v>74.659020953757235</v>
      </c>
      <c r="G71" s="377">
        <f t="shared" si="2"/>
        <v>16.424984609826591</v>
      </c>
      <c r="H71" s="377">
        <f>F71*'[3]92'!$C$20/100</f>
        <v>26.097749226007299</v>
      </c>
      <c r="I71" s="377">
        <f>E71*мат.сіль!$F$21</f>
        <v>16.748965491974289</v>
      </c>
      <c r="J71" s="377">
        <f t="shared" si="10"/>
        <v>8.6613671526589553E-2</v>
      </c>
    </row>
    <row r="72" spans="1:10" s="380" customFormat="1" x14ac:dyDescent="0.2">
      <c r="A72" s="381">
        <v>70</v>
      </c>
      <c r="B72" s="382" t="s">
        <v>400</v>
      </c>
      <c r="C72" s="384">
        <v>563.1</v>
      </c>
      <c r="D72" s="375">
        <v>233.9</v>
      </c>
      <c r="E72" s="379">
        <f t="shared" si="8"/>
        <v>4.2250722543352602E-3</v>
      </c>
      <c r="F72" s="377">
        <f t="shared" si="9"/>
        <v>28.316434248554913</v>
      </c>
      <c r="G72" s="377">
        <f t="shared" si="2"/>
        <v>6.2296155346820807</v>
      </c>
      <c r="H72" s="377">
        <f>F72*'[3]92'!$C$20/100</f>
        <v>9.8982707053074535</v>
      </c>
      <c r="I72" s="377">
        <f>E72*мат.сіль!$F$21</f>
        <v>6.3524939655793515</v>
      </c>
      <c r="J72" s="377">
        <f t="shared" si="10"/>
        <v>9.0209224745380567E-2</v>
      </c>
    </row>
    <row r="73" spans="1:10" s="380" customFormat="1" x14ac:dyDescent="0.2">
      <c r="A73" s="381">
        <v>71</v>
      </c>
      <c r="B73" s="382" t="s">
        <v>401</v>
      </c>
      <c r="C73" s="384">
        <v>549.6</v>
      </c>
      <c r="D73" s="375">
        <v>112.8</v>
      </c>
      <c r="E73" s="379">
        <f t="shared" si="8"/>
        <v>2.03757225433526E-3</v>
      </c>
      <c r="F73" s="377">
        <f t="shared" si="9"/>
        <v>13.655809248554911</v>
      </c>
      <c r="G73" s="377">
        <f t="shared" si="2"/>
        <v>3.0042780346820801</v>
      </c>
      <c r="H73" s="377">
        <f>F73*'[3]92'!$C$20/100</f>
        <v>4.7735140468519912</v>
      </c>
      <c r="I73" s="377">
        <f>E73*мат.сіль!$F$21</f>
        <v>3.0635370642041506</v>
      </c>
      <c r="J73" s="377">
        <f t="shared" si="10"/>
        <v>4.4572668111887072E-2</v>
      </c>
    </row>
    <row r="74" spans="1:10" s="380" customFormat="1" x14ac:dyDescent="0.2">
      <c r="A74" s="381">
        <v>72</v>
      </c>
      <c r="B74" s="382" t="s">
        <v>402</v>
      </c>
      <c r="C74" s="384">
        <v>983</v>
      </c>
      <c r="D74" s="375">
        <v>280.3</v>
      </c>
      <c r="E74" s="379">
        <f t="shared" si="8"/>
        <v>5.0632225433526017E-3</v>
      </c>
      <c r="F74" s="377">
        <f t="shared" si="9"/>
        <v>33.933717485549138</v>
      </c>
      <c r="G74" s="377">
        <f t="shared" si="2"/>
        <v>7.4654178468208103</v>
      </c>
      <c r="H74" s="377">
        <f>F74*'[3]92'!$C$20/100</f>
        <v>11.86184385933168</v>
      </c>
      <c r="I74" s="377">
        <f>E74*мат.сіль!$F$21</f>
        <v>7.6126723324151024</v>
      </c>
      <c r="J74" s="377">
        <f t="shared" si="10"/>
        <v>6.1926400329722006E-2</v>
      </c>
    </row>
    <row r="75" spans="1:10" s="380" customFormat="1" x14ac:dyDescent="0.2">
      <c r="A75" s="381">
        <v>73</v>
      </c>
      <c r="B75" s="382" t="s">
        <v>403</v>
      </c>
      <c r="C75" s="384">
        <v>1093.5999999999999</v>
      </c>
      <c r="D75" s="375">
        <v>269.10000000000002</v>
      </c>
      <c r="E75" s="379">
        <f t="shared" si="8"/>
        <v>4.8609104046242781E-3</v>
      </c>
      <c r="F75" s="377">
        <f t="shared" si="9"/>
        <v>32.577821531791912</v>
      </c>
      <c r="G75" s="377">
        <f t="shared" si="2"/>
        <v>7.16712073699422</v>
      </c>
      <c r="H75" s="377">
        <f>F75*'[3]92'!$C$20/100</f>
        <v>11.387877925601694</v>
      </c>
      <c r="I75" s="377">
        <f>E75*мат.сіль!$F$21</f>
        <v>7.308491347316818</v>
      </c>
      <c r="J75" s="377">
        <f t="shared" si="10"/>
        <v>5.3439385096657507E-2</v>
      </c>
    </row>
    <row r="76" spans="1:10" s="380" customFormat="1" x14ac:dyDescent="0.2">
      <c r="A76" s="381">
        <v>74</v>
      </c>
      <c r="B76" s="382" t="s">
        <v>404</v>
      </c>
      <c r="C76" s="384">
        <v>773.53</v>
      </c>
      <c r="D76" s="375">
        <v>162.4</v>
      </c>
      <c r="E76" s="379">
        <f t="shared" si="8"/>
        <v>2.9335260115606939E-3</v>
      </c>
      <c r="F76" s="377">
        <f t="shared" si="9"/>
        <v>19.660491329479772</v>
      </c>
      <c r="G76" s="377">
        <f t="shared" si="2"/>
        <v>4.3253080924855496</v>
      </c>
      <c r="H76" s="377">
        <f>F76*'[3]92'!$C$20/100</f>
        <v>6.872506039084783</v>
      </c>
      <c r="I76" s="377">
        <f>E76*мат.сіль!$F$21</f>
        <v>4.4106242839251255</v>
      </c>
      <c r="J76" s="377">
        <f t="shared" si="10"/>
        <v>4.5594779446143305E-2</v>
      </c>
    </row>
    <row r="77" spans="1:10" s="380" customFormat="1" x14ac:dyDescent="0.2">
      <c r="A77" s="381">
        <v>75</v>
      </c>
      <c r="B77" s="382" t="s">
        <v>405</v>
      </c>
      <c r="C77" s="384">
        <v>1603.4</v>
      </c>
      <c r="D77" s="375">
        <v>292</v>
      </c>
      <c r="E77" s="379">
        <f t="shared" si="8"/>
        <v>5.2745664739884393E-3</v>
      </c>
      <c r="F77" s="377">
        <f t="shared" si="9"/>
        <v>35.350144508670517</v>
      </c>
      <c r="G77" s="377">
        <f t="shared" si="2"/>
        <v>7.7770317919075138</v>
      </c>
      <c r="H77" s="377">
        <f>F77*'[3]92'!$C$20/100</f>
        <v>12.356968986531749</v>
      </c>
      <c r="I77" s="377">
        <f>E77*мат.сіль!$F$21</f>
        <v>7.9304328257767018</v>
      </c>
      <c r="J77" s="377">
        <f t="shared" si="10"/>
        <v>3.9550067427271095E-2</v>
      </c>
    </row>
    <row r="78" spans="1:10" s="380" customFormat="1" x14ac:dyDescent="0.2">
      <c r="A78" s="381">
        <v>76</v>
      </c>
      <c r="B78" s="382" t="s">
        <v>406</v>
      </c>
      <c r="C78" s="384">
        <v>561.1</v>
      </c>
      <c r="D78" s="375" t="s">
        <v>20</v>
      </c>
      <c r="E78" s="375" t="s">
        <v>20</v>
      </c>
      <c r="F78" s="375" t="s">
        <v>20</v>
      </c>
      <c r="G78" s="375" t="s">
        <v>20</v>
      </c>
      <c r="H78" s="375" t="s">
        <v>20</v>
      </c>
      <c r="I78" s="375" t="s">
        <v>20</v>
      </c>
      <c r="J78" s="375" t="s">
        <v>20</v>
      </c>
    </row>
    <row r="79" spans="1:10" s="380" customFormat="1" x14ac:dyDescent="0.2">
      <c r="A79" s="381">
        <v>77</v>
      </c>
      <c r="B79" s="382" t="s">
        <v>407</v>
      </c>
      <c r="C79" s="384">
        <v>780.4</v>
      </c>
      <c r="D79" s="375">
        <v>239.2</v>
      </c>
      <c r="E79" s="379">
        <f t="shared" si="8"/>
        <v>4.3208092485549129E-3</v>
      </c>
      <c r="F79" s="377">
        <f t="shared" si="9"/>
        <v>28.958063583815026</v>
      </c>
      <c r="G79" s="377">
        <f t="shared" si="2"/>
        <v>6.3707739884393062</v>
      </c>
      <c r="H79" s="377">
        <f>F79*'[3]92'!$C$20/100</f>
        <v>10.122558156090392</v>
      </c>
      <c r="I79" s="377">
        <f>E79*мат.сіль!$F$21</f>
        <v>6.4964367531705038</v>
      </c>
      <c r="J79" s="377">
        <f t="shared" si="10"/>
        <v>6.6565649002454166E-2</v>
      </c>
    </row>
    <row r="80" spans="1:10" s="380" customFormat="1" x14ac:dyDescent="0.2">
      <c r="A80" s="381">
        <v>78</v>
      </c>
      <c r="B80" s="382" t="s">
        <v>408</v>
      </c>
      <c r="C80" s="384">
        <v>1890.1</v>
      </c>
      <c r="D80" s="375">
        <v>148</v>
      </c>
      <c r="E80" s="379">
        <f t="shared" si="8"/>
        <v>2.6734104046242774E-3</v>
      </c>
      <c r="F80" s="377">
        <f t="shared" si="9"/>
        <v>17.917196531791909</v>
      </c>
      <c r="G80" s="377">
        <f t="shared" si="2"/>
        <v>3.9417832369942198</v>
      </c>
      <c r="H80" s="377">
        <f>F80*'[3]92'!$C$20/100</f>
        <v>6.2631212671462295</v>
      </c>
      <c r="I80" s="377">
        <f>E80*мат.сіль!$F$21</f>
        <v>4.0195344459416162</v>
      </c>
      <c r="J80" s="377">
        <f t="shared" si="10"/>
        <v>1.7005256590589903E-2</v>
      </c>
    </row>
    <row r="81" spans="1:10" s="380" customFormat="1" x14ac:dyDescent="0.2">
      <c r="A81" s="381">
        <v>79</v>
      </c>
      <c r="B81" s="382" t="s">
        <v>409</v>
      </c>
      <c r="C81" s="384">
        <v>1734.5</v>
      </c>
      <c r="D81" s="375">
        <v>401.5</v>
      </c>
      <c r="E81" s="379">
        <f t="shared" si="8"/>
        <v>7.2525289017341043E-3</v>
      </c>
      <c r="F81" s="377">
        <f t="shared" si="9"/>
        <v>48.606448699421968</v>
      </c>
      <c r="G81" s="377">
        <f t="shared" si="2"/>
        <v>10.693418713872834</v>
      </c>
      <c r="H81" s="377">
        <f>F81*'[3]92'!$C$20/100</f>
        <v>16.990832356481157</v>
      </c>
      <c r="I81" s="377">
        <f>E81*мат.сіль!$F$21</f>
        <v>10.904345135442966</v>
      </c>
      <c r="J81" s="377">
        <f t="shared" si="10"/>
        <v>5.0270997350947776E-2</v>
      </c>
    </row>
    <row r="82" spans="1:10" s="380" customFormat="1" x14ac:dyDescent="0.2">
      <c r="A82" s="381">
        <v>80</v>
      </c>
      <c r="B82" s="382" t="s">
        <v>410</v>
      </c>
      <c r="C82" s="384">
        <v>1565.58</v>
      </c>
      <c r="D82" s="375">
        <v>71.25</v>
      </c>
      <c r="E82" s="379">
        <f t="shared" si="8"/>
        <v>1.2870303468208093E-3</v>
      </c>
      <c r="F82" s="377">
        <f t="shared" si="9"/>
        <v>8.6256773843930628</v>
      </c>
      <c r="G82" s="377">
        <f t="shared" si="2"/>
        <v>1.8976490245664737</v>
      </c>
      <c r="H82" s="377">
        <f>F82*'[3]92'!$C$20/100</f>
        <v>3.015185069487627</v>
      </c>
      <c r="I82" s="377">
        <f>E82*мат.сіль!$F$21</f>
        <v>1.9350799275225687</v>
      </c>
      <c r="J82" s="377">
        <f t="shared" si="10"/>
        <v>9.8836159161267614E-3</v>
      </c>
    </row>
    <row r="83" spans="1:10" s="380" customFormat="1" x14ac:dyDescent="0.2">
      <c r="A83" s="381">
        <v>81</v>
      </c>
      <c r="B83" s="382" t="s">
        <v>411</v>
      </c>
      <c r="C83" s="384">
        <v>2043.8</v>
      </c>
      <c r="D83" s="375">
        <v>476</v>
      </c>
      <c r="E83" s="379">
        <f t="shared" si="8"/>
        <v>8.5982658959537564E-3</v>
      </c>
      <c r="F83" s="377">
        <f t="shared" si="9"/>
        <v>57.625578034682079</v>
      </c>
      <c r="G83" s="377">
        <f t="shared" si="2"/>
        <v>12.677627167630057</v>
      </c>
      <c r="H83" s="377">
        <f>F83*'[3]92'!$C$20/100</f>
        <v>20.14355218352436</v>
      </c>
      <c r="I83" s="377">
        <f>E83*мат.сіль!$F$21</f>
        <v>12.927691866677089</v>
      </c>
      <c r="J83" s="377">
        <f t="shared" si="10"/>
        <v>5.0579532856695177E-2</v>
      </c>
    </row>
    <row r="84" spans="1:10" s="380" customFormat="1" x14ac:dyDescent="0.2">
      <c r="A84" s="381">
        <v>82</v>
      </c>
      <c r="B84" s="382" t="s">
        <v>412</v>
      </c>
      <c r="C84" s="384">
        <v>1277.5999999999999</v>
      </c>
      <c r="D84" s="375">
        <v>492.1</v>
      </c>
      <c r="E84" s="379">
        <f t="shared" si="8"/>
        <v>8.8890895953757237E-3</v>
      </c>
      <c r="F84" s="377">
        <f t="shared" si="9"/>
        <v>59.574678468208099</v>
      </c>
      <c r="G84" s="377">
        <f t="shared" si="2"/>
        <v>13.106429263005783</v>
      </c>
      <c r="H84" s="377">
        <f>F84*'[3]92'!$C$20/100</f>
        <v>20.824878213261218</v>
      </c>
      <c r="I84" s="377">
        <f>E84*мат.сіль!$F$21</f>
        <v>13.364952032755875</v>
      </c>
      <c r="J84" s="377">
        <f t="shared" si="10"/>
        <v>8.364976360146445E-2</v>
      </c>
    </row>
    <row r="85" spans="1:10" s="380" customFormat="1" x14ac:dyDescent="0.2">
      <c r="A85" s="381">
        <v>83</v>
      </c>
      <c r="B85" s="382" t="s">
        <v>413</v>
      </c>
      <c r="C85" s="384">
        <v>1281.1500000000001</v>
      </c>
      <c r="D85" s="375">
        <v>264.60000000000002</v>
      </c>
      <c r="E85" s="379">
        <f t="shared" si="8"/>
        <v>4.7796242774566476E-3</v>
      </c>
      <c r="F85" s="377">
        <f t="shared" si="9"/>
        <v>32.033041907514452</v>
      </c>
      <c r="G85" s="377">
        <f t="shared" si="2"/>
        <v>7.0472692196531792</v>
      </c>
      <c r="H85" s="377">
        <f>F85*'[3]92'!$C$20/100</f>
        <v>11.197445184370896</v>
      </c>
      <c r="I85" s="377">
        <f>E85*мат.сіль!$F$21</f>
        <v>7.1862757729469706</v>
      </c>
      <c r="J85" s="377">
        <f t="shared" si="10"/>
        <v>4.4853477020243913E-2</v>
      </c>
    </row>
    <row r="86" spans="1:10" s="380" customFormat="1" x14ac:dyDescent="0.2">
      <c r="A86" s="381">
        <v>84</v>
      </c>
      <c r="B86" s="382" t="s">
        <v>414</v>
      </c>
      <c r="C86" s="384">
        <v>1492.3</v>
      </c>
      <c r="D86" s="375">
        <v>277.10000000000002</v>
      </c>
      <c r="E86" s="379">
        <f t="shared" si="8"/>
        <v>5.0054190751445092E-3</v>
      </c>
      <c r="F86" s="377">
        <f t="shared" si="9"/>
        <v>33.546318641618498</v>
      </c>
      <c r="G86" s="377">
        <f t="shared" si="2"/>
        <v>7.38019010115607</v>
      </c>
      <c r="H86" s="377">
        <f>F86*'[3]92'!$C$20/100</f>
        <v>11.726425021123111</v>
      </c>
      <c r="I86" s="377">
        <f>E86*мат.сіль!$F$21</f>
        <v>7.5257634795298785</v>
      </c>
      <c r="J86" s="377">
        <f t="shared" si="10"/>
        <v>4.032613900919893E-2</v>
      </c>
    </row>
    <row r="87" spans="1:10" s="380" customFormat="1" x14ac:dyDescent="0.2">
      <c r="A87" s="381">
        <v>85</v>
      </c>
      <c r="B87" s="382" t="s">
        <v>415</v>
      </c>
      <c r="C87" s="384">
        <v>4130.75</v>
      </c>
      <c r="D87" s="375">
        <v>508</v>
      </c>
      <c r="E87" s="379">
        <f t="shared" si="8"/>
        <v>9.1763005780346827E-3</v>
      </c>
      <c r="F87" s="377">
        <f t="shared" si="9"/>
        <v>61.499566473988445</v>
      </c>
      <c r="G87" s="377">
        <f t="shared" si="2"/>
        <v>13.529904624277458</v>
      </c>
      <c r="H87" s="377">
        <f>F87*'[3]92'!$C$20/100</f>
        <v>21.497740565610034</v>
      </c>
      <c r="I87" s="377">
        <f>E87*мат.сіль!$F$21</f>
        <v>13.796780395529332</v>
      </c>
      <c r="J87" s="377">
        <f t="shared" si="10"/>
        <v>2.670798088952497E-2</v>
      </c>
    </row>
    <row r="88" spans="1:10" s="380" customFormat="1" x14ac:dyDescent="0.2">
      <c r="A88" s="381">
        <v>86</v>
      </c>
      <c r="B88" s="382" t="s">
        <v>416</v>
      </c>
      <c r="C88" s="384">
        <v>3262.1</v>
      </c>
      <c r="D88" s="375">
        <v>385</v>
      </c>
      <c r="E88" s="379">
        <f t="shared" si="8"/>
        <v>6.9544797687861272E-3</v>
      </c>
      <c r="F88" s="377">
        <f t="shared" si="9"/>
        <v>46.608923410404621</v>
      </c>
      <c r="G88" s="377">
        <f t="shared" si="2"/>
        <v>10.253963150289017</v>
      </c>
      <c r="H88" s="377">
        <f>F88*'[3]92'!$C$20/100</f>
        <v>16.292578971968233</v>
      </c>
      <c r="I88" s="377">
        <f>E88*мат.сіль!$F$21</f>
        <v>10.456221362753528</v>
      </c>
      <c r="J88" s="377">
        <f t="shared" si="10"/>
        <v>2.5631245791182186E-2</v>
      </c>
    </row>
    <row r="89" spans="1:10" s="380" customFormat="1" x14ac:dyDescent="0.2">
      <c r="A89" s="381">
        <v>87</v>
      </c>
      <c r="B89" s="382" t="s">
        <v>417</v>
      </c>
      <c r="C89" s="384">
        <v>1516.8</v>
      </c>
      <c r="D89" s="375">
        <v>395</v>
      </c>
      <c r="E89" s="379">
        <f t="shared" si="8"/>
        <v>7.1351156069364161E-3</v>
      </c>
      <c r="F89" s="377">
        <f t="shared" si="9"/>
        <v>47.819544797687861</v>
      </c>
      <c r="G89" s="377">
        <f t="shared" si="2"/>
        <v>10.520299855491331</v>
      </c>
      <c r="H89" s="377">
        <f>F89*'[3]92'!$C$20/100</f>
        <v>16.715762841370005</v>
      </c>
      <c r="I89" s="377">
        <f>E89*мат.сіль!$F$21</f>
        <v>10.727811528019854</v>
      </c>
      <c r="J89" s="377">
        <f t="shared" si="10"/>
        <v>5.6555524144626224E-2</v>
      </c>
    </row>
    <row r="90" spans="1:10" s="380" customFormat="1" x14ac:dyDescent="0.2">
      <c r="A90" s="381">
        <v>88</v>
      </c>
      <c r="B90" s="382" t="s">
        <v>418</v>
      </c>
      <c r="C90" s="384">
        <v>752.42</v>
      </c>
      <c r="D90" s="375">
        <v>190.2</v>
      </c>
      <c r="E90" s="379">
        <f t="shared" si="8"/>
        <v>3.4356936416184967E-3</v>
      </c>
      <c r="F90" s="377">
        <f t="shared" si="9"/>
        <v>23.026018786127164</v>
      </c>
      <c r="G90" s="377">
        <f t="shared" si="2"/>
        <v>5.0657241329479765</v>
      </c>
      <c r="H90" s="377">
        <f>F90*'[3]92'!$C$20/100</f>
        <v>8.048957196021707</v>
      </c>
      <c r="I90" s="377">
        <f>E90*мат.сіль!$F$21</f>
        <v>5.1656449433655087</v>
      </c>
      <c r="J90" s="377">
        <f t="shared" si="10"/>
        <v>5.4897989232692325E-2</v>
      </c>
    </row>
    <row r="91" spans="1:10" s="380" customFormat="1" x14ac:dyDescent="0.2">
      <c r="A91" s="381">
        <v>89</v>
      </c>
      <c r="B91" s="382" t="s">
        <v>419</v>
      </c>
      <c r="C91" s="384">
        <v>771.7</v>
      </c>
      <c r="D91" s="375">
        <v>198.5</v>
      </c>
      <c r="E91" s="379">
        <f t="shared" si="8"/>
        <v>3.5856213872832369E-3</v>
      </c>
      <c r="F91" s="377">
        <f t="shared" si="9"/>
        <v>24.030834537572254</v>
      </c>
      <c r="G91" s="377">
        <f t="shared" si="2"/>
        <v>5.2867835982658962</v>
      </c>
      <c r="H91" s="377">
        <f>F91*'[3]92'!$C$20/100</f>
        <v>8.4001998076251798</v>
      </c>
      <c r="I91" s="377">
        <f>E91*мат.сіль!$F$21</f>
        <v>5.3910647805365599</v>
      </c>
      <c r="J91" s="377">
        <f t="shared" si="10"/>
        <v>5.5862229783594515E-2</v>
      </c>
    </row>
    <row r="92" spans="1:10" s="380" customFormat="1" x14ac:dyDescent="0.2">
      <c r="A92" s="381">
        <v>90</v>
      </c>
      <c r="B92" s="382" t="s">
        <v>420</v>
      </c>
      <c r="C92" s="384">
        <v>1545</v>
      </c>
      <c r="D92" s="375">
        <v>1807</v>
      </c>
      <c r="E92" s="379">
        <f t="shared" si="8"/>
        <v>3.2640895953757222E-2</v>
      </c>
      <c r="F92" s="377">
        <f t="shared" si="9"/>
        <v>218.7592846820809</v>
      </c>
      <c r="G92" s="377">
        <f t="shared" si="2"/>
        <v>48.127042630057794</v>
      </c>
      <c r="H92" s="377">
        <f>F92*'[3]92'!$C$20/100</f>
        <v>76.469325200900244</v>
      </c>
      <c r="I92" s="377">
        <f>E92*мат.сіль!$F$21</f>
        <v>49.076342863625001</v>
      </c>
      <c r="J92" s="377">
        <f t="shared" si="10"/>
        <v>0.25400129150593137</v>
      </c>
    </row>
    <row r="93" spans="1:10" s="380" customFormat="1" x14ac:dyDescent="0.2">
      <c r="A93" s="381">
        <v>91</v>
      </c>
      <c r="B93" s="382" t="s">
        <v>421</v>
      </c>
      <c r="C93" s="384">
        <v>769.7</v>
      </c>
      <c r="D93" s="375">
        <v>207.2</v>
      </c>
      <c r="E93" s="379">
        <f t="shared" si="8"/>
        <v>3.7427745664739883E-3</v>
      </c>
      <c r="F93" s="377">
        <f t="shared" si="9"/>
        <v>25.08407514450867</v>
      </c>
      <c r="G93" s="377">
        <f t="shared" si="2"/>
        <v>5.5184965317919081</v>
      </c>
      <c r="H93" s="377">
        <f>F93*'[3]92'!$C$20/100</f>
        <v>8.7683697740047215</v>
      </c>
      <c r="I93" s="377">
        <f>E93*мат.сіль!$F$21</f>
        <v>5.6273482243182622</v>
      </c>
      <c r="J93" s="377">
        <f t="shared" si="10"/>
        <v>5.8462114687051522E-2</v>
      </c>
    </row>
    <row r="94" spans="1:10" s="380" customFormat="1" x14ac:dyDescent="0.2">
      <c r="A94" s="381">
        <v>92</v>
      </c>
      <c r="B94" s="382" t="s">
        <v>422</v>
      </c>
      <c r="C94" s="384">
        <v>776.9</v>
      </c>
      <c r="D94" s="375">
        <v>207.2</v>
      </c>
      <c r="E94" s="379">
        <f t="shared" si="8"/>
        <v>3.7427745664739883E-3</v>
      </c>
      <c r="F94" s="377">
        <f t="shared" si="9"/>
        <v>25.08407514450867</v>
      </c>
      <c r="G94" s="377">
        <f t="shared" si="2"/>
        <v>5.5184965317919081</v>
      </c>
      <c r="H94" s="377">
        <f>F94*'[3]92'!$C$20/100</f>
        <v>8.7683697740047215</v>
      </c>
      <c r="I94" s="377">
        <f>E94*мат.сіль!$F$21</f>
        <v>5.6273482243182622</v>
      </c>
      <c r="J94" s="377">
        <f t="shared" si="10"/>
        <v>5.7920311075587025E-2</v>
      </c>
    </row>
    <row r="95" spans="1:10" s="380" customFormat="1" x14ac:dyDescent="0.2">
      <c r="A95" s="381">
        <v>93</v>
      </c>
      <c r="B95" s="382" t="s">
        <v>423</v>
      </c>
      <c r="C95" s="384">
        <v>1935.6</v>
      </c>
      <c r="D95" s="375">
        <v>305</v>
      </c>
      <c r="E95" s="379">
        <f t="shared" si="8"/>
        <v>5.5093930635838149E-3</v>
      </c>
      <c r="F95" s="377">
        <f t="shared" si="9"/>
        <v>36.923952312138731</v>
      </c>
      <c r="G95" s="377">
        <f t="shared" si="2"/>
        <v>8.1232695086705213</v>
      </c>
      <c r="H95" s="377">
        <f>F95*'[3]92'!$C$20/100</f>
        <v>12.907108016754055</v>
      </c>
      <c r="I95" s="377">
        <f>E95*мат.сіль!$F$21</f>
        <v>8.2835000406229256</v>
      </c>
      <c r="J95" s="377">
        <f t="shared" si="10"/>
        <v>3.4220825520864973E-2</v>
      </c>
    </row>
    <row r="96" spans="1:10" s="380" customFormat="1" x14ac:dyDescent="0.2">
      <c r="A96" s="381">
        <v>94</v>
      </c>
      <c r="B96" s="382" t="s">
        <v>424</v>
      </c>
      <c r="C96" s="384">
        <v>1513.72</v>
      </c>
      <c r="D96" s="375">
        <v>443</v>
      </c>
      <c r="E96" s="379">
        <f t="shared" si="8"/>
        <v>8.0021676300578038E-3</v>
      </c>
      <c r="F96" s="377">
        <f t="shared" si="9"/>
        <v>53.6305274566474</v>
      </c>
      <c r="G96" s="377">
        <f t="shared" si="2"/>
        <v>11.798716040462427</v>
      </c>
      <c r="H96" s="377">
        <f>F96*'[3]92'!$C$20/100</f>
        <v>18.747045414498515</v>
      </c>
      <c r="I96" s="377">
        <f>E96*мат.сіль!$F$21</f>
        <v>12.031444321298217</v>
      </c>
      <c r="J96" s="377">
        <f t="shared" si="10"/>
        <v>6.355715273161916E-2</v>
      </c>
    </row>
    <row r="97" spans="1:10" s="380" customFormat="1" x14ac:dyDescent="0.2">
      <c r="A97" s="381">
        <v>95</v>
      </c>
      <c r="B97" s="382" t="s">
        <v>425</v>
      </c>
      <c r="C97" s="384">
        <v>1500.3</v>
      </c>
      <c r="D97" s="375">
        <v>442</v>
      </c>
      <c r="E97" s="379">
        <f t="shared" si="8"/>
        <v>7.984104046242774E-3</v>
      </c>
      <c r="F97" s="377">
        <f t="shared" si="9"/>
        <v>53.509465317919073</v>
      </c>
      <c r="G97" s="377">
        <f t="shared" si="2"/>
        <v>11.772082369942195</v>
      </c>
      <c r="H97" s="377">
        <f>F97*'[3]92'!$C$20/100</f>
        <v>18.704727027558334</v>
      </c>
      <c r="I97" s="377">
        <f>E97*мат.сіль!$F$21</f>
        <v>12.004285304771583</v>
      </c>
      <c r="J97" s="377">
        <f t="shared" si="10"/>
        <v>6.3980910498027857E-2</v>
      </c>
    </row>
    <row r="98" spans="1:10" s="380" customFormat="1" x14ac:dyDescent="0.2">
      <c r="A98" s="381">
        <v>96</v>
      </c>
      <c r="B98" s="382" t="s">
        <v>426</v>
      </c>
      <c r="C98" s="384">
        <v>735.9</v>
      </c>
      <c r="D98" s="375">
        <v>185</v>
      </c>
      <c r="E98" s="379">
        <f t="shared" si="8"/>
        <v>3.3417630057803469E-3</v>
      </c>
      <c r="F98" s="377">
        <f t="shared" si="9"/>
        <v>22.396495664739884</v>
      </c>
      <c r="G98" s="377">
        <f t="shared" si="2"/>
        <v>4.9272290462427746</v>
      </c>
      <c r="H98" s="377">
        <f>F98*'[3]92'!$C$20/100</f>
        <v>7.8289015839327876</v>
      </c>
      <c r="I98" s="377">
        <f>E98*мат.сіль!$F$21</f>
        <v>5.0244180574270203</v>
      </c>
      <c r="J98" s="377">
        <f t="shared" si="10"/>
        <v>5.4595793385436159E-2</v>
      </c>
    </row>
    <row r="99" spans="1:10" s="380" customFormat="1" x14ac:dyDescent="0.2">
      <c r="A99" s="381">
        <v>97</v>
      </c>
      <c r="B99" s="382" t="s">
        <v>427</v>
      </c>
      <c r="C99" s="384">
        <v>757.7</v>
      </c>
      <c r="D99" s="375">
        <v>181.2</v>
      </c>
      <c r="E99" s="379">
        <f t="shared" si="8"/>
        <v>3.2731213872832367E-3</v>
      </c>
      <c r="F99" s="377">
        <f t="shared" si="9"/>
        <v>21.936459537572251</v>
      </c>
      <c r="G99" s="377">
        <f t="shared" si="2"/>
        <v>4.8260210982658949</v>
      </c>
      <c r="H99" s="377">
        <f>F99*'[3]92'!$C$20/100</f>
        <v>7.6680917135601128</v>
      </c>
      <c r="I99" s="377">
        <f>E99*мат.сіль!$F$21</f>
        <v>4.9212137946258165</v>
      </c>
      <c r="J99" s="377">
        <f t="shared" si="10"/>
        <v>5.1935840232313679E-2</v>
      </c>
    </row>
    <row r="100" spans="1:10" s="380" customFormat="1" x14ac:dyDescent="0.2">
      <c r="A100" s="381">
        <v>98</v>
      </c>
      <c r="B100" s="382" t="s">
        <v>428</v>
      </c>
      <c r="C100" s="384">
        <v>1915.15</v>
      </c>
      <c r="D100" s="375">
        <v>300</v>
      </c>
      <c r="E100" s="379">
        <f t="shared" si="8"/>
        <v>5.4190751445086704E-3</v>
      </c>
      <c r="F100" s="377">
        <f t="shared" si="9"/>
        <v>36.318641618497111</v>
      </c>
      <c r="G100" s="377">
        <f t="shared" si="2"/>
        <v>7.9901011560693647</v>
      </c>
      <c r="H100" s="377">
        <f>F100*'[3]92'!$C$20/100</f>
        <v>12.695516082053167</v>
      </c>
      <c r="I100" s="377">
        <f>E100*мат.сіль!$F$21</f>
        <v>8.1477049579897631</v>
      </c>
      <c r="J100" s="377">
        <f t="shared" si="10"/>
        <v>3.4019248526021145E-2</v>
      </c>
    </row>
    <row r="101" spans="1:10" s="380" customFormat="1" x14ac:dyDescent="0.2">
      <c r="A101" s="381">
        <v>99</v>
      </c>
      <c r="B101" s="382" t="s">
        <v>429</v>
      </c>
      <c r="C101" s="384">
        <v>1544.5</v>
      </c>
      <c r="D101" s="375">
        <v>147</v>
      </c>
      <c r="E101" s="379">
        <f t="shared" si="8"/>
        <v>2.6553468208092485E-3</v>
      </c>
      <c r="F101" s="377">
        <f t="shared" si="9"/>
        <v>17.796134393063582</v>
      </c>
      <c r="G101" s="377">
        <f t="shared" si="2"/>
        <v>3.9151495664739877</v>
      </c>
      <c r="H101" s="377">
        <f>F101*'[3]92'!$C$20/100</f>
        <v>6.220802880206052</v>
      </c>
      <c r="I101" s="377">
        <f>E101*мат.сіль!$F$21</f>
        <v>3.9923754294149836</v>
      </c>
      <c r="J101" s="377">
        <f t="shared" si="10"/>
        <v>2.0669771621339338E-2</v>
      </c>
    </row>
    <row r="102" spans="1:10" s="380" customFormat="1" x14ac:dyDescent="0.2">
      <c r="A102" s="381">
        <v>100</v>
      </c>
      <c r="B102" s="382" t="s">
        <v>430</v>
      </c>
      <c r="C102" s="384">
        <v>1552.3</v>
      </c>
      <c r="D102" s="375">
        <v>201</v>
      </c>
      <c r="E102" s="379">
        <f t="shared" si="8"/>
        <v>3.6307803468208092E-3</v>
      </c>
      <c r="F102" s="377">
        <f t="shared" si="9"/>
        <v>24.333489884393064</v>
      </c>
      <c r="G102" s="377">
        <f t="shared" si="2"/>
        <v>5.3533677745664736</v>
      </c>
      <c r="H102" s="377">
        <f>F102*'[3]92'!$C$20/100</f>
        <v>8.5059957749756236</v>
      </c>
      <c r="I102" s="377">
        <f>E102*мат.сіль!$F$21</f>
        <v>5.4589623218531411</v>
      </c>
      <c r="J102" s="377">
        <f t="shared" si="10"/>
        <v>2.8120734236802364E-2</v>
      </c>
    </row>
    <row r="103" spans="1:10" s="380" customFormat="1" x14ac:dyDescent="0.2">
      <c r="A103" s="381">
        <v>101</v>
      </c>
      <c r="B103" s="382" t="s">
        <v>431</v>
      </c>
      <c r="C103" s="384">
        <v>1287.0999999999999</v>
      </c>
      <c r="D103" s="375">
        <v>577</v>
      </c>
      <c r="E103" s="379">
        <f t="shared" si="8"/>
        <v>1.0422687861271677E-2</v>
      </c>
      <c r="F103" s="377">
        <f t="shared" si="9"/>
        <v>69.852854046242783</v>
      </c>
      <c r="G103" s="377">
        <f t="shared" si="2"/>
        <v>15.367627890173413</v>
      </c>
      <c r="H103" s="377">
        <f>F103*'[3]92'!$C$20/100</f>
        <v>24.417709264482266</v>
      </c>
      <c r="I103" s="377">
        <f>E103*мат.сіль!$F$21</f>
        <v>15.670752535866978</v>
      </c>
      <c r="J103" s="377">
        <f t="shared" si="10"/>
        <v>9.7357581956930658E-2</v>
      </c>
    </row>
    <row r="104" spans="1:10" s="380" customFormat="1" x14ac:dyDescent="0.2">
      <c r="A104" s="381">
        <v>102</v>
      </c>
      <c r="B104" s="382" t="s">
        <v>432</v>
      </c>
      <c r="C104" s="384">
        <v>3473.9</v>
      </c>
      <c r="D104" s="375">
        <v>505.7</v>
      </c>
      <c r="E104" s="379">
        <f t="shared" si="8"/>
        <v>9.1347543352601149E-3</v>
      </c>
      <c r="F104" s="377">
        <f t="shared" si="9"/>
        <v>61.221123554913291</v>
      </c>
      <c r="G104" s="377">
        <f t="shared" si="2"/>
        <v>13.468647182080923</v>
      </c>
      <c r="H104" s="377">
        <f>F104*'[3]92'!$C$20/100</f>
        <v>21.400408275647624</v>
      </c>
      <c r="I104" s="377">
        <f>E104*мат.сіль!$F$21</f>
        <v>13.734314657518075</v>
      </c>
      <c r="J104" s="377">
        <f t="shared" si="10"/>
        <v>3.1614178206096868E-2</v>
      </c>
    </row>
    <row r="105" spans="1:10" s="380" customFormat="1" x14ac:dyDescent="0.2">
      <c r="A105" s="381">
        <v>103</v>
      </c>
      <c r="B105" s="382" t="s">
        <v>433</v>
      </c>
      <c r="C105" s="384">
        <v>1838.18</v>
      </c>
      <c r="D105" s="375">
        <v>200</v>
      </c>
      <c r="E105" s="379">
        <f t="shared" si="8"/>
        <v>3.6127167630057803E-3</v>
      </c>
      <c r="F105" s="377">
        <f t="shared" si="9"/>
        <v>24.212427745664741</v>
      </c>
      <c r="G105" s="377">
        <f t="shared" si="2"/>
        <v>5.3267341040462428</v>
      </c>
      <c r="H105" s="377">
        <f>F105*'[3]92'!$C$20/100</f>
        <v>8.4636773880354461</v>
      </c>
      <c r="I105" s="377">
        <f>E105*мат.сіль!$F$21</f>
        <v>5.4318033053265085</v>
      </c>
      <c r="J105" s="377">
        <f t="shared" si="10"/>
        <v>2.3629156308453438E-2</v>
      </c>
    </row>
    <row r="106" spans="1:10" s="380" customFormat="1" x14ac:dyDescent="0.2">
      <c r="A106" s="381">
        <v>104</v>
      </c>
      <c r="B106" s="382" t="s">
        <v>434</v>
      </c>
      <c r="C106" s="384">
        <v>4517.6000000000004</v>
      </c>
      <c r="D106" s="375">
        <v>683</v>
      </c>
      <c r="E106" s="379">
        <f t="shared" si="8"/>
        <v>1.233742774566474E-2</v>
      </c>
      <c r="F106" s="377">
        <f t="shared" si="9"/>
        <v>82.685440751445086</v>
      </c>
      <c r="G106" s="377">
        <f t="shared" si="2"/>
        <v>18.190796965317919</v>
      </c>
      <c r="H106" s="377">
        <f>F106*'[3]92'!$C$20/100</f>
        <v>28.903458280141049</v>
      </c>
      <c r="I106" s="377">
        <f>E106*мат.сіль!$F$21</f>
        <v>18.549608287690027</v>
      </c>
      <c r="J106" s="377">
        <f t="shared" si="10"/>
        <v>3.2833651559366496E-2</v>
      </c>
    </row>
    <row r="107" spans="1:10" s="380" customFormat="1" x14ac:dyDescent="0.2">
      <c r="A107" s="381">
        <v>105</v>
      </c>
      <c r="B107" s="382" t="s">
        <v>435</v>
      </c>
      <c r="C107" s="384">
        <v>4524.9399999999996</v>
      </c>
      <c r="D107" s="375">
        <v>683</v>
      </c>
      <c r="E107" s="379">
        <f t="shared" si="8"/>
        <v>1.233742774566474E-2</v>
      </c>
      <c r="F107" s="377">
        <f t="shared" si="9"/>
        <v>82.685440751445086</v>
      </c>
      <c r="G107" s="377">
        <f t="shared" si="2"/>
        <v>18.190796965317919</v>
      </c>
      <c r="H107" s="377">
        <f>F107*'[3]92'!$C$20/100</f>
        <v>28.903458280141049</v>
      </c>
      <c r="I107" s="377">
        <f>E107*мат.сіль!$F$21</f>
        <v>18.549608287690027</v>
      </c>
      <c r="J107" s="377">
        <f t="shared" si="10"/>
        <v>3.2780391405100202E-2</v>
      </c>
    </row>
    <row r="108" spans="1:10" s="380" customFormat="1" x14ac:dyDescent="0.2">
      <c r="A108" s="381">
        <v>106</v>
      </c>
      <c r="B108" s="382" t="s">
        <v>436</v>
      </c>
      <c r="C108" s="384">
        <v>4742.2700000000004</v>
      </c>
      <c r="D108" s="375">
        <v>1204.3</v>
      </c>
      <c r="E108" s="379">
        <f t="shared" si="8"/>
        <v>2.1753973988439305E-2</v>
      </c>
      <c r="F108" s="377">
        <f t="shared" si="9"/>
        <v>145.79513367052022</v>
      </c>
      <c r="G108" s="377">
        <f t="shared" si="2"/>
        <v>32.074929407514446</v>
      </c>
      <c r="H108" s="377">
        <f>F108*'[3]92'!$C$20/100</f>
        <v>50.964033392055434</v>
      </c>
      <c r="I108" s="377">
        <f>E108*мат.сіль!$F$21</f>
        <v>32.707603603023571</v>
      </c>
      <c r="J108" s="377">
        <f t="shared" si="10"/>
        <v>5.5151161800807126E-2</v>
      </c>
    </row>
    <row r="109" spans="1:10" s="380" customFormat="1" x14ac:dyDescent="0.2">
      <c r="A109" s="381">
        <v>107</v>
      </c>
      <c r="B109" s="382" t="s">
        <v>437</v>
      </c>
      <c r="C109" s="384">
        <v>2538.3000000000002</v>
      </c>
      <c r="D109" s="375">
        <v>1084</v>
      </c>
      <c r="E109" s="379">
        <f t="shared" si="8"/>
        <v>1.958092485549133E-2</v>
      </c>
      <c r="F109" s="377">
        <f t="shared" si="9"/>
        <v>131.2313583815029</v>
      </c>
      <c r="G109" s="377">
        <f t="shared" si="2"/>
        <v>28.870898843930636</v>
      </c>
      <c r="H109" s="377">
        <f>F109*'[3]92'!$C$20/100</f>
        <v>45.873131443152126</v>
      </c>
      <c r="I109" s="377">
        <f>E109*мат.сіль!$F$21</f>
        <v>29.440373914869678</v>
      </c>
      <c r="J109" s="377">
        <f t="shared" si="10"/>
        <v>9.2745444818758738E-2</v>
      </c>
    </row>
    <row r="110" spans="1:10" s="380" customFormat="1" x14ac:dyDescent="0.2">
      <c r="A110" s="381">
        <v>108</v>
      </c>
      <c r="B110" s="382" t="s">
        <v>438</v>
      </c>
      <c r="C110" s="384">
        <v>4452.8999999999996</v>
      </c>
      <c r="D110" s="375">
        <v>555.4</v>
      </c>
      <c r="E110" s="379">
        <f t="shared" si="8"/>
        <v>1.0032514450867051E-2</v>
      </c>
      <c r="F110" s="377">
        <f t="shared" si="9"/>
        <v>67.237911849710983</v>
      </c>
      <c r="G110" s="377">
        <f t="shared" si="2"/>
        <v>14.792340606936415</v>
      </c>
      <c r="H110" s="377">
        <f>F110*'[3]92'!$C$20/100</f>
        <v>23.503632106574432</v>
      </c>
      <c r="I110" s="377">
        <f>E110*мат.сіль!$F$21</f>
        <v>15.084117778891713</v>
      </c>
      <c r="J110" s="377">
        <f t="shared" si="10"/>
        <v>2.7087516526783345E-2</v>
      </c>
    </row>
    <row r="111" spans="1:10" s="380" customFormat="1" x14ac:dyDescent="0.2">
      <c r="A111" s="381">
        <v>109</v>
      </c>
      <c r="B111" s="382" t="s">
        <v>439</v>
      </c>
      <c r="C111" s="384">
        <v>1573.08</v>
      </c>
      <c r="D111" s="375">
        <v>203.8</v>
      </c>
      <c r="E111" s="379">
        <f t="shared" si="8"/>
        <v>3.6813583815028905E-3</v>
      </c>
      <c r="F111" s="377">
        <f t="shared" si="9"/>
        <v>24.67246387283237</v>
      </c>
      <c r="G111" s="377">
        <f t="shared" si="2"/>
        <v>5.4279420520231216</v>
      </c>
      <c r="H111" s="377">
        <f>F111*'[3]92'!$C$20/100</f>
        <v>8.6244872584081183</v>
      </c>
      <c r="I111" s="377">
        <f>E111*мат.сіль!$F$21</f>
        <v>5.5350075681277122</v>
      </c>
      <c r="J111" s="377">
        <f t="shared" si="10"/>
        <v>2.813582319487332E-2</v>
      </c>
    </row>
    <row r="112" spans="1:10" s="380" customFormat="1" x14ac:dyDescent="0.2">
      <c r="A112" s="381">
        <v>110</v>
      </c>
      <c r="B112" s="382" t="s">
        <v>440</v>
      </c>
      <c r="C112" s="384">
        <v>3168.45</v>
      </c>
      <c r="D112" s="375">
        <v>540</v>
      </c>
      <c r="E112" s="379">
        <f t="shared" si="8"/>
        <v>9.7543352601156073E-3</v>
      </c>
      <c r="F112" s="377">
        <f t="shared" si="9"/>
        <v>65.373554913294797</v>
      </c>
      <c r="G112" s="377">
        <f t="shared" si="2"/>
        <v>14.382182080924856</v>
      </c>
      <c r="H112" s="377">
        <f>F112*'[3]92'!$C$20/100</f>
        <v>22.851928947695704</v>
      </c>
      <c r="I112" s="377">
        <f>E112*мат.сіль!$F$21</f>
        <v>14.665868924381574</v>
      </c>
      <c r="J112" s="377">
        <f t="shared" si="10"/>
        <v>3.7012903743564501E-2</v>
      </c>
    </row>
    <row r="113" spans="1:10" s="380" customFormat="1" x14ac:dyDescent="0.2">
      <c r="A113" s="381">
        <v>111</v>
      </c>
      <c r="B113" s="382" t="s">
        <v>441</v>
      </c>
      <c r="C113" s="384">
        <v>3182.6</v>
      </c>
      <c r="D113" s="375">
        <v>430</v>
      </c>
      <c r="E113" s="379">
        <f t="shared" si="8"/>
        <v>7.7673410404624273E-3</v>
      </c>
      <c r="F113" s="377">
        <f t="shared" si="9"/>
        <v>52.056719653179186</v>
      </c>
      <c r="G113" s="377">
        <f t="shared" si="2"/>
        <v>11.45247832369942</v>
      </c>
      <c r="H113" s="377">
        <f>F113*'[3]92'!$C$20/100</f>
        <v>18.196906384276208</v>
      </c>
      <c r="I113" s="377">
        <f>E113*мат.сіль!$F$21</f>
        <v>11.678377106451993</v>
      </c>
      <c r="J113" s="377">
        <f t="shared" si="10"/>
        <v>2.9342198663861875E-2</v>
      </c>
    </row>
    <row r="114" spans="1:10" s="380" customFormat="1" x14ac:dyDescent="0.2">
      <c r="A114" s="381">
        <v>112</v>
      </c>
      <c r="B114" s="382" t="s">
        <v>442</v>
      </c>
      <c r="C114" s="384">
        <v>2283.1999999999998</v>
      </c>
      <c r="D114" s="375">
        <v>280</v>
      </c>
      <c r="E114" s="379">
        <f t="shared" si="8"/>
        <v>5.0578034682080926E-3</v>
      </c>
      <c r="F114" s="377">
        <f t="shared" si="9"/>
        <v>33.897398843930638</v>
      </c>
      <c r="G114" s="377">
        <f t="shared" si="2"/>
        <v>7.4574277456647406</v>
      </c>
      <c r="H114" s="377">
        <f>F114*'[3]92'!$C$20/100</f>
        <v>11.849148343249624</v>
      </c>
      <c r="I114" s="377">
        <f>E114*мат.сіль!$F$21</f>
        <v>7.6045246274571117</v>
      </c>
      <c r="J114" s="377">
        <f t="shared" si="10"/>
        <v>2.6633014873993568E-2</v>
      </c>
    </row>
    <row r="115" spans="1:10" s="380" customFormat="1" x14ac:dyDescent="0.2">
      <c r="A115" s="381">
        <v>113</v>
      </c>
      <c r="B115" s="382" t="s">
        <v>443</v>
      </c>
      <c r="C115" s="384">
        <v>1091.7</v>
      </c>
      <c r="D115" s="375">
        <v>425</v>
      </c>
      <c r="E115" s="379">
        <f t="shared" si="8"/>
        <v>7.6770231213872829E-3</v>
      </c>
      <c r="F115" s="377">
        <f t="shared" si="9"/>
        <v>51.451408959537567</v>
      </c>
      <c r="G115" s="377">
        <f t="shared" si="2"/>
        <v>11.319309971098264</v>
      </c>
      <c r="H115" s="377">
        <f>F115*'[3]92'!$C$20/100</f>
        <v>17.98531444957532</v>
      </c>
      <c r="I115" s="377">
        <f>E115*мат.сіль!$F$21</f>
        <v>11.542582023818829</v>
      </c>
      <c r="J115" s="377">
        <f t="shared" si="10"/>
        <v>8.4545768438243074E-2</v>
      </c>
    </row>
    <row r="116" spans="1:10" s="380" customFormat="1" x14ac:dyDescent="0.2">
      <c r="A116" s="381">
        <v>114</v>
      </c>
      <c r="B116" s="382" t="s">
        <v>444</v>
      </c>
      <c r="C116" s="384">
        <v>1733.3</v>
      </c>
      <c r="D116" s="375">
        <v>252.9</v>
      </c>
      <c r="E116" s="379">
        <f t="shared" si="8"/>
        <v>4.5682803468208091E-3</v>
      </c>
      <c r="F116" s="377">
        <f t="shared" si="9"/>
        <v>30.616614884393062</v>
      </c>
      <c r="G116" s="377">
        <f t="shared" si="2"/>
        <v>6.7356552745664739</v>
      </c>
      <c r="H116" s="377">
        <f>F116*'[3]92'!$C$20/100</f>
        <v>10.702320057170821</v>
      </c>
      <c r="I116" s="377">
        <f>E116*мат.сіль!$F$21</f>
        <v>6.8685152795853694</v>
      </c>
      <c r="J116" s="377">
        <f t="shared" si="10"/>
        <v>3.1687016382458737E-2</v>
      </c>
    </row>
    <row r="117" spans="1:10" s="380" customFormat="1" x14ac:dyDescent="0.2">
      <c r="A117" s="381">
        <v>115</v>
      </c>
      <c r="B117" s="382" t="s">
        <v>445</v>
      </c>
      <c r="C117" s="384">
        <v>1752.82</v>
      </c>
      <c r="D117" s="375">
        <v>252.9</v>
      </c>
      <c r="E117" s="379">
        <f t="shared" si="8"/>
        <v>4.5682803468208091E-3</v>
      </c>
      <c r="F117" s="377">
        <f t="shared" si="9"/>
        <v>30.616614884393062</v>
      </c>
      <c r="G117" s="377">
        <f t="shared" si="2"/>
        <v>6.7356552745664739</v>
      </c>
      <c r="H117" s="377">
        <f>F117*'[3]92'!$C$20/100</f>
        <v>10.702320057170821</v>
      </c>
      <c r="I117" s="377">
        <f>E117*мат.сіль!$F$21</f>
        <v>6.8685152795853694</v>
      </c>
      <c r="J117" s="377">
        <f t="shared" si="10"/>
        <v>3.133413898501599E-2</v>
      </c>
    </row>
    <row r="118" spans="1:10" s="380" customFormat="1" x14ac:dyDescent="0.2">
      <c r="A118" s="381">
        <v>116</v>
      </c>
      <c r="B118" s="382" t="s">
        <v>446</v>
      </c>
      <c r="C118" s="384">
        <v>3688.59</v>
      </c>
      <c r="D118" s="375">
        <v>661.2</v>
      </c>
      <c r="E118" s="379">
        <f t="shared" si="8"/>
        <v>1.1943641618497111E-2</v>
      </c>
      <c r="F118" s="377">
        <f t="shared" si="9"/>
        <v>80.046286127167633</v>
      </c>
      <c r="G118" s="377">
        <f t="shared" si="2"/>
        <v>17.610182947976881</v>
      </c>
      <c r="H118" s="377">
        <f>F118*'[3]92'!$C$20/100</f>
        <v>27.980917444845186</v>
      </c>
      <c r="I118" s="377">
        <f>E118*мат.сіль!$F$21</f>
        <v>17.957541727409438</v>
      </c>
      <c r="J118" s="377">
        <f t="shared" si="10"/>
        <v>3.8929490197446487E-2</v>
      </c>
    </row>
    <row r="119" spans="1:10" s="380" customFormat="1" x14ac:dyDescent="0.2">
      <c r="A119" s="381">
        <v>117</v>
      </c>
      <c r="B119" s="382" t="s">
        <v>447</v>
      </c>
      <c r="C119" s="384">
        <v>3868.13</v>
      </c>
      <c r="D119" s="375">
        <v>278.89999999999998</v>
      </c>
      <c r="E119" s="379">
        <f t="shared" si="8"/>
        <v>5.0379335260115603E-3</v>
      </c>
      <c r="F119" s="377">
        <f t="shared" si="9"/>
        <v>33.764230491329478</v>
      </c>
      <c r="G119" s="377">
        <f t="shared" si="2"/>
        <v>7.4281307080924854</v>
      </c>
      <c r="H119" s="377">
        <f>F119*'[3]92'!$C$20/100</f>
        <v>11.802598117615428</v>
      </c>
      <c r="I119" s="377">
        <f>E119*мат.сіль!$F$21</f>
        <v>7.5746497092778151</v>
      </c>
      <c r="J119" s="377">
        <f t="shared" si="10"/>
        <v>1.5658628077731412E-2</v>
      </c>
    </row>
    <row r="120" spans="1:10" s="380" customFormat="1" x14ac:dyDescent="0.2">
      <c r="A120" s="381">
        <v>118</v>
      </c>
      <c r="B120" s="382" t="s">
        <v>448</v>
      </c>
      <c r="C120" s="384">
        <v>2821.38</v>
      </c>
      <c r="D120" s="375">
        <v>438.7</v>
      </c>
      <c r="E120" s="379">
        <f t="shared" si="8"/>
        <v>7.9244942196531783E-3</v>
      </c>
      <c r="F120" s="377">
        <f t="shared" si="9"/>
        <v>53.109960260115599</v>
      </c>
      <c r="G120" s="377">
        <f t="shared" si="2"/>
        <v>11.684191257225432</v>
      </c>
      <c r="H120" s="377">
        <f>F120*'[3]92'!$C$20/100</f>
        <v>18.565076350655747</v>
      </c>
      <c r="I120" s="377">
        <f>E120*мат.сіль!$F$21</f>
        <v>11.914660550233695</v>
      </c>
      <c r="J120" s="377">
        <f t="shared" si="10"/>
        <v>3.3768541783889612E-2</v>
      </c>
    </row>
    <row r="121" spans="1:10" s="380" customFormat="1" x14ac:dyDescent="0.2">
      <c r="A121" s="381">
        <v>119</v>
      </c>
      <c r="B121" s="382" t="s">
        <v>449</v>
      </c>
      <c r="C121" s="384">
        <v>4277.29</v>
      </c>
      <c r="D121" s="375">
        <v>373.5</v>
      </c>
      <c r="E121" s="379">
        <f t="shared" ref="E121:E160" si="11">D121/$E$163</f>
        <v>6.7467485549132945E-3</v>
      </c>
      <c r="F121" s="377">
        <f t="shared" ref="F121:F160" si="12">E121*$F$163</f>
        <v>45.216708815028902</v>
      </c>
      <c r="G121" s="377">
        <f t="shared" si="2"/>
        <v>9.9476759393063574</v>
      </c>
      <c r="H121" s="377">
        <f>F121*'[3]92'!$C$20/100</f>
        <v>15.805917522156195</v>
      </c>
      <c r="I121" s="377">
        <f>E121*мат.сіль!$F$21</f>
        <v>10.143892672697254</v>
      </c>
      <c r="J121" s="377">
        <f t="shared" si="10"/>
        <v>1.896392223795644E-2</v>
      </c>
    </row>
    <row r="122" spans="1:10" s="380" customFormat="1" x14ac:dyDescent="0.2">
      <c r="A122" s="381">
        <v>120</v>
      </c>
      <c r="B122" s="382" t="s">
        <v>450</v>
      </c>
      <c r="C122" s="384">
        <v>2171.3000000000002</v>
      </c>
      <c r="D122" s="375">
        <v>1436</v>
      </c>
      <c r="E122" s="379">
        <f t="shared" si="11"/>
        <v>2.5939306358381504E-2</v>
      </c>
      <c r="F122" s="377">
        <f t="shared" si="12"/>
        <v>173.84523121387284</v>
      </c>
      <c r="G122" s="377">
        <f t="shared" si="2"/>
        <v>38.245950867052024</v>
      </c>
      <c r="H122" s="377">
        <f>F122*'[3]92'!$C$20/100</f>
        <v>60.769203646094503</v>
      </c>
      <c r="I122" s="377">
        <f>E122*мат.сіль!$F$21</f>
        <v>39.000347732244329</v>
      </c>
      <c r="J122" s="377">
        <f t="shared" si="10"/>
        <v>0.14362857894315095</v>
      </c>
    </row>
    <row r="123" spans="1:10" s="380" customFormat="1" x14ac:dyDescent="0.2">
      <c r="A123" s="381">
        <v>121</v>
      </c>
      <c r="B123" s="382" t="s">
        <v>451</v>
      </c>
      <c r="C123" s="384">
        <v>5707.1</v>
      </c>
      <c r="D123" s="375">
        <v>562.5</v>
      </c>
      <c r="E123" s="379">
        <f t="shared" si="11"/>
        <v>1.0160765895953758E-2</v>
      </c>
      <c r="F123" s="377">
        <f t="shared" si="12"/>
        <v>68.09745303468209</v>
      </c>
      <c r="G123" s="377">
        <f t="shared" si="2"/>
        <v>14.98143966763006</v>
      </c>
      <c r="H123" s="377">
        <f>F123*'[3]92'!$C$20/100</f>
        <v>23.804092653849693</v>
      </c>
      <c r="I123" s="377">
        <f>E123*мат.сіль!$F$21</f>
        <v>15.276946796230806</v>
      </c>
      <c r="J123" s="377">
        <f t="shared" si="10"/>
        <v>2.1404904794447729E-2</v>
      </c>
    </row>
    <row r="124" spans="1:10" s="380" customFormat="1" x14ac:dyDescent="0.2">
      <c r="A124" s="381">
        <v>122</v>
      </c>
      <c r="B124" s="382" t="s">
        <v>452</v>
      </c>
      <c r="C124" s="384">
        <v>1727.35</v>
      </c>
      <c r="D124" s="375">
        <v>343.7</v>
      </c>
      <c r="E124" s="379">
        <f t="shared" si="11"/>
        <v>6.2084537572254335E-3</v>
      </c>
      <c r="F124" s="377">
        <f t="shared" si="12"/>
        <v>41.609057080924856</v>
      </c>
      <c r="G124" s="377">
        <f t="shared" si="2"/>
        <v>9.153992557803468</v>
      </c>
      <c r="H124" s="377">
        <f>F124*'[3]92'!$C$20/100</f>
        <v>14.544829591338914</v>
      </c>
      <c r="I124" s="377">
        <f>E124*мат.сіль!$F$21</f>
        <v>9.3345539802036051</v>
      </c>
      <c r="J124" s="377">
        <f t="shared" si="10"/>
        <v>4.3212107106417839E-2</v>
      </c>
    </row>
    <row r="125" spans="1:10" s="380" customFormat="1" x14ac:dyDescent="0.2">
      <c r="A125" s="381">
        <v>123</v>
      </c>
      <c r="B125" s="382" t="s">
        <v>453</v>
      </c>
      <c r="C125" s="384">
        <v>2522.5500000000002</v>
      </c>
      <c r="D125" s="375">
        <v>389.7</v>
      </c>
      <c r="E125" s="379">
        <f t="shared" si="11"/>
        <v>7.0393786127167625E-3</v>
      </c>
      <c r="F125" s="377">
        <f t="shared" si="12"/>
        <v>47.177915462427741</v>
      </c>
      <c r="G125" s="377">
        <f t="shared" si="2"/>
        <v>10.379141401734103</v>
      </c>
      <c r="H125" s="377">
        <f>F125*'[3]92'!$C$20/100</f>
        <v>16.491475390587063</v>
      </c>
      <c r="I125" s="377">
        <f>E125*мат.сіль!$F$21</f>
        <v>10.5838687404287</v>
      </c>
      <c r="J125" s="377">
        <f t="shared" si="10"/>
        <v>3.3550336364067151E-2</v>
      </c>
    </row>
    <row r="126" spans="1:10" s="380" customFormat="1" x14ac:dyDescent="0.2">
      <c r="A126" s="381">
        <v>124</v>
      </c>
      <c r="B126" s="382" t="s">
        <v>454</v>
      </c>
      <c r="C126" s="384">
        <v>2516.6999999999998</v>
      </c>
      <c r="D126" s="375">
        <v>502</v>
      </c>
      <c r="E126" s="379">
        <f t="shared" si="11"/>
        <v>9.0679190751445093E-3</v>
      </c>
      <c r="F126" s="377">
        <f t="shared" si="12"/>
        <v>60.773193641618505</v>
      </c>
      <c r="G126" s="377">
        <f t="shared" si="2"/>
        <v>13.37010260115607</v>
      </c>
      <c r="H126" s="377">
        <f>F126*'[3]92'!$C$20/100</f>
        <v>21.243830243968972</v>
      </c>
      <c r="I126" s="377">
        <f>E126*мат.сіль!$F$21</f>
        <v>13.633826296369538</v>
      </c>
      <c r="J126" s="377">
        <f t="shared" si="10"/>
        <v>4.3319010125606183E-2</v>
      </c>
    </row>
    <row r="127" spans="1:10" s="380" customFormat="1" x14ac:dyDescent="0.2">
      <c r="A127" s="381">
        <v>125</v>
      </c>
      <c r="B127" s="382" t="s">
        <v>455</v>
      </c>
      <c r="C127" s="384">
        <v>1774.47</v>
      </c>
      <c r="D127" s="375">
        <v>219.7</v>
      </c>
      <c r="E127" s="379">
        <f t="shared" si="11"/>
        <v>3.9685693641618499E-3</v>
      </c>
      <c r="F127" s="377">
        <f t="shared" si="12"/>
        <v>26.597351878612717</v>
      </c>
      <c r="G127" s="377">
        <f t="shared" si="2"/>
        <v>5.8514174132947971</v>
      </c>
      <c r="H127" s="377">
        <f>F127*'[3]92'!$C$20/100</f>
        <v>9.2973496107569371</v>
      </c>
      <c r="I127" s="377">
        <f>E127*мат.сіль!$F$21</f>
        <v>5.96683593090117</v>
      </c>
      <c r="J127" s="377">
        <f t="shared" si="10"/>
        <v>2.6888566633172507E-2</v>
      </c>
    </row>
    <row r="128" spans="1:10" s="380" customFormat="1" x14ac:dyDescent="0.2">
      <c r="A128" s="381">
        <v>126</v>
      </c>
      <c r="B128" s="382" t="s">
        <v>456</v>
      </c>
      <c r="C128" s="384">
        <v>1727.7</v>
      </c>
      <c r="D128" s="375">
        <v>174</v>
      </c>
      <c r="E128" s="379">
        <f t="shared" si="11"/>
        <v>3.1430635838150291E-3</v>
      </c>
      <c r="F128" s="377">
        <f t="shared" si="12"/>
        <v>21.064812138728325</v>
      </c>
      <c r="G128" s="377">
        <f t="shared" si="2"/>
        <v>4.6342586705202313</v>
      </c>
      <c r="H128" s="377">
        <f>F128*'[3]92'!$C$20/100</f>
        <v>7.3633993275908383</v>
      </c>
      <c r="I128" s="377">
        <f>E128*мат.сіль!$F$21</f>
        <v>4.7256688756340628</v>
      </c>
      <c r="J128" s="377">
        <f t="shared" si="10"/>
        <v>2.1871933213216101E-2</v>
      </c>
    </row>
    <row r="129" spans="1:10" s="380" customFormat="1" x14ac:dyDescent="0.2">
      <c r="A129" s="381">
        <v>127</v>
      </c>
      <c r="B129" s="382" t="s">
        <v>457</v>
      </c>
      <c r="C129" s="384">
        <v>3216.3</v>
      </c>
      <c r="D129" s="375">
        <v>336</v>
      </c>
      <c r="E129" s="379">
        <f t="shared" si="11"/>
        <v>6.0693641618497106E-3</v>
      </c>
      <c r="F129" s="377">
        <f t="shared" si="12"/>
        <v>40.676878612716763</v>
      </c>
      <c r="G129" s="377">
        <f t="shared" si="2"/>
        <v>8.9489132947976877</v>
      </c>
      <c r="H129" s="377">
        <f>F129*'[3]92'!$C$20/100</f>
        <v>14.218978011899548</v>
      </c>
      <c r="I129" s="377">
        <f>E129*мат.сіль!$F$21</f>
        <v>9.1254295529485336</v>
      </c>
      <c r="J129" s="377">
        <f t="shared" si="10"/>
        <v>2.2687622259230336E-2</v>
      </c>
    </row>
    <row r="130" spans="1:10" s="380" customFormat="1" x14ac:dyDescent="0.2">
      <c r="A130" s="381">
        <v>128</v>
      </c>
      <c r="B130" s="382" t="s">
        <v>458</v>
      </c>
      <c r="C130" s="384">
        <v>3895.1</v>
      </c>
      <c r="D130" s="375">
        <v>462</v>
      </c>
      <c r="E130" s="379">
        <f t="shared" si="11"/>
        <v>8.3453757225433519E-3</v>
      </c>
      <c r="F130" s="377">
        <f t="shared" si="12"/>
        <v>55.930708092485546</v>
      </c>
      <c r="G130" s="377">
        <f t="shared" si="2"/>
        <v>12.30475578034682</v>
      </c>
      <c r="H130" s="377">
        <f>F130*'[3]92'!$C$20/100</f>
        <v>19.551094766361878</v>
      </c>
      <c r="I130" s="377">
        <f>E130*мат.сіль!$F$21</f>
        <v>12.547465635304233</v>
      </c>
      <c r="J130" s="377">
        <f t="shared" si="10"/>
        <v>2.575903680893905E-2</v>
      </c>
    </row>
    <row r="131" spans="1:10" s="380" customFormat="1" x14ac:dyDescent="0.2">
      <c r="A131" s="381">
        <v>129</v>
      </c>
      <c r="B131" s="382" t="s">
        <v>459</v>
      </c>
      <c r="C131" s="384">
        <v>4002.8</v>
      </c>
      <c r="D131" s="375">
        <v>421</v>
      </c>
      <c r="E131" s="379">
        <f t="shared" si="11"/>
        <v>7.6047687861271673E-3</v>
      </c>
      <c r="F131" s="377">
        <f t="shared" si="12"/>
        <v>50.967160404624273</v>
      </c>
      <c r="G131" s="377">
        <f t="shared" si="2"/>
        <v>11.21277528901734</v>
      </c>
      <c r="H131" s="377">
        <f>F131*'[3]92'!$C$20/100</f>
        <v>17.816040901814613</v>
      </c>
      <c r="I131" s="377">
        <f>E131*мат.сіль!$F$21</f>
        <v>11.4339459577123</v>
      </c>
      <c r="J131" s="377">
        <f t="shared" si="10"/>
        <v>2.2841491594176207E-2</v>
      </c>
    </row>
    <row r="132" spans="1:10" s="380" customFormat="1" x14ac:dyDescent="0.2">
      <c r="A132" s="381">
        <v>130</v>
      </c>
      <c r="B132" s="382" t="s">
        <v>460</v>
      </c>
      <c r="C132" s="384">
        <v>3852.63</v>
      </c>
      <c r="D132" s="375">
        <v>400</v>
      </c>
      <c r="E132" s="379">
        <f t="shared" si="11"/>
        <v>7.2254335260115606E-3</v>
      </c>
      <c r="F132" s="377">
        <f t="shared" si="12"/>
        <v>48.424855491329481</v>
      </c>
      <c r="G132" s="377">
        <f t="shared" si="2"/>
        <v>10.653468208092486</v>
      </c>
      <c r="H132" s="377">
        <f>F132*'[3]92'!$C$20/100</f>
        <v>16.927354776070892</v>
      </c>
      <c r="I132" s="377">
        <f>E132*мат.сіль!$F$21</f>
        <v>10.863606610653017</v>
      </c>
      <c r="J132" s="377">
        <f t="shared" ref="J132:J160" si="13">(F132+G132+H132+I132)/C132</f>
        <v>2.2548047719647586E-2</v>
      </c>
    </row>
    <row r="133" spans="1:10" s="380" customFormat="1" x14ac:dyDescent="0.2">
      <c r="A133" s="381">
        <v>131</v>
      </c>
      <c r="B133" s="382" t="s">
        <v>461</v>
      </c>
      <c r="C133" s="384">
        <v>3560.4</v>
      </c>
      <c r="D133" s="375">
        <v>454</v>
      </c>
      <c r="E133" s="379">
        <f t="shared" si="11"/>
        <v>8.2008670520231208E-3</v>
      </c>
      <c r="F133" s="377">
        <f t="shared" si="12"/>
        <v>54.962210982658952</v>
      </c>
      <c r="G133" s="377">
        <f t="shared" si="2"/>
        <v>12.091686416184968</v>
      </c>
      <c r="H133" s="377">
        <f>F133*'[3]92'!$C$20/100</f>
        <v>19.212547670840458</v>
      </c>
      <c r="I133" s="377">
        <f>E133*мат.сіль!$F$21</f>
        <v>12.330193503091174</v>
      </c>
      <c r="J133" s="377">
        <f t="shared" si="13"/>
        <v>2.7692573467244005E-2</v>
      </c>
    </row>
    <row r="134" spans="1:10" s="380" customFormat="1" x14ac:dyDescent="0.2">
      <c r="A134" s="381">
        <v>132</v>
      </c>
      <c r="B134" s="382" t="s">
        <v>462</v>
      </c>
      <c r="C134" s="384">
        <v>944.7</v>
      </c>
      <c r="D134" s="375" t="s">
        <v>20</v>
      </c>
      <c r="E134" s="375" t="s">
        <v>20</v>
      </c>
      <c r="F134" s="375" t="s">
        <v>20</v>
      </c>
      <c r="G134" s="375" t="s">
        <v>20</v>
      </c>
      <c r="H134" s="375" t="s">
        <v>20</v>
      </c>
      <c r="I134" s="375" t="s">
        <v>20</v>
      </c>
      <c r="J134" s="375" t="s">
        <v>20</v>
      </c>
    </row>
    <row r="135" spans="1:10" s="380" customFormat="1" x14ac:dyDescent="0.2">
      <c r="A135" s="381">
        <v>133</v>
      </c>
      <c r="B135" s="382" t="s">
        <v>463</v>
      </c>
      <c r="C135" s="384">
        <v>2428.5</v>
      </c>
      <c r="D135" s="375">
        <v>305.60000000000002</v>
      </c>
      <c r="E135" s="379">
        <f t="shared" si="11"/>
        <v>5.5202312138728331E-3</v>
      </c>
      <c r="F135" s="377">
        <f t="shared" si="12"/>
        <v>36.996589595375724</v>
      </c>
      <c r="G135" s="377">
        <f t="shared" si="2"/>
        <v>8.1392497109826589</v>
      </c>
      <c r="H135" s="377">
        <f>F135*'[3]92'!$C$20/100</f>
        <v>12.932499048918162</v>
      </c>
      <c r="I135" s="377">
        <f>E135*мат.сіль!$F$21</f>
        <v>8.2997954505389053</v>
      </c>
      <c r="J135" s="377">
        <f t="shared" si="13"/>
        <v>2.7328858886479492E-2</v>
      </c>
    </row>
    <row r="136" spans="1:10" s="380" customFormat="1" x14ac:dyDescent="0.2">
      <c r="A136" s="381">
        <v>134</v>
      </c>
      <c r="B136" s="382" t="s">
        <v>464</v>
      </c>
      <c r="C136" s="384">
        <v>4861.91</v>
      </c>
      <c r="D136" s="375">
        <v>860</v>
      </c>
      <c r="E136" s="379">
        <f t="shared" si="11"/>
        <v>1.5534682080924855E-2</v>
      </c>
      <c r="F136" s="377">
        <f t="shared" si="12"/>
        <v>104.11343930635837</v>
      </c>
      <c r="G136" s="377">
        <f t="shared" si="2"/>
        <v>22.904956647398841</v>
      </c>
      <c r="H136" s="377">
        <f>F136*'[3]92'!$C$20/100</f>
        <v>36.393812768552415</v>
      </c>
      <c r="I136" s="377">
        <f>E136*мат.сіль!$F$21</f>
        <v>23.356754212903986</v>
      </c>
      <c r="J136" s="377">
        <f t="shared" si="13"/>
        <v>3.8414730617229366E-2</v>
      </c>
    </row>
    <row r="137" spans="1:10" s="380" customFormat="1" x14ac:dyDescent="0.2">
      <c r="A137" s="381">
        <v>135</v>
      </c>
      <c r="B137" s="382" t="s">
        <v>465</v>
      </c>
      <c r="C137" s="384">
        <v>3078.77</v>
      </c>
      <c r="D137" s="375">
        <v>496.5</v>
      </c>
      <c r="E137" s="379">
        <f t="shared" si="11"/>
        <v>8.9685693641618491E-3</v>
      </c>
      <c r="F137" s="377">
        <f t="shared" si="12"/>
        <v>60.107351878612711</v>
      </c>
      <c r="G137" s="377">
        <f t="shared" si="2"/>
        <v>13.223617413294797</v>
      </c>
      <c r="H137" s="377">
        <f>F137*'[3]92'!$C$20/100</f>
        <v>21.011079115797994</v>
      </c>
      <c r="I137" s="377">
        <f>E137*мат.сіль!$F$21</f>
        <v>13.484451705473056</v>
      </c>
      <c r="J137" s="377">
        <f t="shared" si="13"/>
        <v>3.5022590226999273E-2</v>
      </c>
    </row>
    <row r="138" spans="1:10" s="380" customFormat="1" x14ac:dyDescent="0.2">
      <c r="A138" s="381">
        <v>136</v>
      </c>
      <c r="B138" s="382" t="s">
        <v>466</v>
      </c>
      <c r="C138" s="384">
        <v>3188.68</v>
      </c>
      <c r="D138" s="375">
        <v>580.9</v>
      </c>
      <c r="E138" s="379">
        <f t="shared" si="11"/>
        <v>1.0493135838150289E-2</v>
      </c>
      <c r="F138" s="377">
        <f t="shared" si="12"/>
        <v>70.324996387283235</v>
      </c>
      <c r="G138" s="377">
        <f t="shared" si="2"/>
        <v>15.471499205202313</v>
      </c>
      <c r="H138" s="377">
        <f>F138*'[3]92'!$C$20/100</f>
        <v>24.582750973548951</v>
      </c>
      <c r="I138" s="377">
        <f>E138*мат.сіль!$F$21</f>
        <v>15.776672700320844</v>
      </c>
      <c r="J138" s="377">
        <f t="shared" si="13"/>
        <v>3.9563681293311136E-2</v>
      </c>
    </row>
    <row r="139" spans="1:10" s="380" customFormat="1" x14ac:dyDescent="0.2">
      <c r="A139" s="381">
        <v>137</v>
      </c>
      <c r="B139" s="382" t="s">
        <v>467</v>
      </c>
      <c r="C139" s="384">
        <v>2782.65</v>
      </c>
      <c r="D139" s="375">
        <v>397.9</v>
      </c>
      <c r="E139" s="379">
        <f t="shared" si="11"/>
        <v>7.1874999999999994E-3</v>
      </c>
      <c r="F139" s="377">
        <f t="shared" si="12"/>
        <v>48.170624999999994</v>
      </c>
      <c r="G139" s="377">
        <f t="shared" si="2"/>
        <v>10.597537499999998</v>
      </c>
      <c r="H139" s="377">
        <f>F139*'[3]92'!$C$20/100</f>
        <v>16.838486163496519</v>
      </c>
      <c r="I139" s="377">
        <f>E139*мат.сіль!$F$21</f>
        <v>10.806572675947088</v>
      </c>
      <c r="J139" s="377">
        <f t="shared" si="13"/>
        <v>3.1054290456738572E-2</v>
      </c>
    </row>
    <row r="140" spans="1:10" s="380" customFormat="1" x14ac:dyDescent="0.2">
      <c r="A140" s="381">
        <v>138</v>
      </c>
      <c r="B140" s="382" t="s">
        <v>468</v>
      </c>
      <c r="C140" s="384">
        <v>2258.6</v>
      </c>
      <c r="D140" s="375">
        <v>614</v>
      </c>
      <c r="E140" s="379">
        <f t="shared" si="11"/>
        <v>1.1091040462427745E-2</v>
      </c>
      <c r="F140" s="377">
        <f t="shared" si="12"/>
        <v>74.332153179190755</v>
      </c>
      <c r="G140" s="377">
        <f t="shared" si="2"/>
        <v>16.353073699421966</v>
      </c>
      <c r="H140" s="377">
        <f>F140*'[3]92'!$C$20/100</f>
        <v>25.983489581268817</v>
      </c>
      <c r="I140" s="377">
        <f>E140*мат.сіль!$F$21</f>
        <v>16.675636147352382</v>
      </c>
      <c r="J140" s="377">
        <f t="shared" si="13"/>
        <v>5.9038498453570322E-2</v>
      </c>
    </row>
    <row r="141" spans="1:10" s="380" customFormat="1" x14ac:dyDescent="0.2">
      <c r="A141" s="381">
        <v>139</v>
      </c>
      <c r="B141" s="382" t="s">
        <v>469</v>
      </c>
      <c r="C141" s="384">
        <v>1910</v>
      </c>
      <c r="D141" s="375">
        <v>631.70000000000005</v>
      </c>
      <c r="E141" s="379">
        <f t="shared" si="11"/>
        <v>1.1410765895953759E-2</v>
      </c>
      <c r="F141" s="377">
        <f t="shared" si="12"/>
        <v>76.474953034682088</v>
      </c>
      <c r="G141" s="377">
        <f t="shared" si="2"/>
        <v>16.824489667630061</v>
      </c>
      <c r="H141" s="377">
        <f>F141*'[3]92'!$C$20/100</f>
        <v>26.732525030109958</v>
      </c>
      <c r="I141" s="377">
        <f>E141*мат.сіль!$F$21</f>
        <v>17.15635073987378</v>
      </c>
      <c r="J141" s="377">
        <f t="shared" si="13"/>
        <v>7.1826344749893134E-2</v>
      </c>
    </row>
    <row r="142" spans="1:10" s="380" customFormat="1" x14ac:dyDescent="0.2">
      <c r="A142" s="381">
        <v>140</v>
      </c>
      <c r="B142" s="382" t="s">
        <v>470</v>
      </c>
      <c r="C142" s="384">
        <v>2522.5</v>
      </c>
      <c r="D142" s="375">
        <v>493.5</v>
      </c>
      <c r="E142" s="379">
        <f t="shared" si="11"/>
        <v>8.9143786127167633E-3</v>
      </c>
      <c r="F142" s="377">
        <f t="shared" si="12"/>
        <v>59.744165462427745</v>
      </c>
      <c r="G142" s="377">
        <f t="shared" si="2"/>
        <v>13.143716401734105</v>
      </c>
      <c r="H142" s="377">
        <f>F142*'[3]92'!$C$20/100</f>
        <v>20.884123954977461</v>
      </c>
      <c r="I142" s="377">
        <f>E142*мат.сіль!$F$21</f>
        <v>13.402974655893161</v>
      </c>
      <c r="J142" s="377">
        <f t="shared" si="13"/>
        <v>4.2487603756207123E-2</v>
      </c>
    </row>
    <row r="143" spans="1:10" s="380" customFormat="1" x14ac:dyDescent="0.2">
      <c r="A143" s="381">
        <v>141</v>
      </c>
      <c r="B143" s="382" t="s">
        <v>471</v>
      </c>
      <c r="C143" s="384">
        <v>3459.82</v>
      </c>
      <c r="D143" s="375">
        <v>970.3</v>
      </c>
      <c r="E143" s="379">
        <f t="shared" si="11"/>
        <v>1.7527095375722543E-2</v>
      </c>
      <c r="F143" s="377">
        <f t="shared" si="12"/>
        <v>117.46659320809248</v>
      </c>
      <c r="G143" s="377">
        <f t="shared" si="2"/>
        <v>25.842650505780345</v>
      </c>
      <c r="H143" s="377">
        <f>F143*'[3]92'!$C$20/100</f>
        <v>41.061530848053962</v>
      </c>
      <c r="I143" s="377">
        <f>E143*мат.сіль!$F$21</f>
        <v>26.352393735791555</v>
      </c>
      <c r="J143" s="377">
        <f t="shared" si="13"/>
        <v>6.0905818307807447E-2</v>
      </c>
    </row>
    <row r="144" spans="1:10" s="380" customFormat="1" x14ac:dyDescent="0.2">
      <c r="A144" s="381">
        <v>142</v>
      </c>
      <c r="B144" s="382" t="s">
        <v>472</v>
      </c>
      <c r="C144" s="384">
        <v>1752.03</v>
      </c>
      <c r="D144" s="375">
        <v>227.5</v>
      </c>
      <c r="E144" s="379">
        <f t="shared" si="11"/>
        <v>4.1094653179190753E-3</v>
      </c>
      <c r="F144" s="377">
        <f t="shared" si="12"/>
        <v>27.541636560693643</v>
      </c>
      <c r="G144" s="377">
        <f t="shared" si="2"/>
        <v>6.0591600433526018</v>
      </c>
      <c r="H144" s="377">
        <f>F144*'[3]92'!$C$20/100</f>
        <v>9.6274330288903212</v>
      </c>
      <c r="I144" s="377">
        <f>E144*мат.сіль!$F$21</f>
        <v>6.1786762598089036</v>
      </c>
      <c r="J144" s="377">
        <f t="shared" si="13"/>
        <v>2.8199805878178726E-2</v>
      </c>
    </row>
    <row r="145" spans="1:10" s="380" customFormat="1" x14ac:dyDescent="0.2">
      <c r="A145" s="381">
        <v>143</v>
      </c>
      <c r="B145" s="382" t="s">
        <v>473</v>
      </c>
      <c r="C145" s="384">
        <v>4953.7</v>
      </c>
      <c r="D145" s="375">
        <v>636.20000000000005</v>
      </c>
      <c r="E145" s="379">
        <f t="shared" si="11"/>
        <v>1.1492052023121388E-2</v>
      </c>
      <c r="F145" s="377">
        <f t="shared" si="12"/>
        <v>77.019732658959541</v>
      </c>
      <c r="G145" s="377">
        <f t="shared" si="2"/>
        <v>16.944341184971098</v>
      </c>
      <c r="H145" s="377">
        <f>F145*'[3]92'!$C$20/100</f>
        <v>26.922957771340752</v>
      </c>
      <c r="I145" s="377">
        <f>E145*мат.сіль!$F$21</f>
        <v>17.278566314243623</v>
      </c>
      <c r="J145" s="377">
        <f t="shared" si="13"/>
        <v>2.7891393893355473E-2</v>
      </c>
    </row>
    <row r="146" spans="1:10" s="380" customFormat="1" x14ac:dyDescent="0.2">
      <c r="A146" s="381">
        <v>144</v>
      </c>
      <c r="B146" s="382" t="s">
        <v>474</v>
      </c>
      <c r="C146" s="384">
        <v>1706.17</v>
      </c>
      <c r="D146" s="375">
        <v>420.2</v>
      </c>
      <c r="E146" s="379">
        <f t="shared" si="11"/>
        <v>7.5903179190751442E-3</v>
      </c>
      <c r="F146" s="377">
        <f t="shared" si="12"/>
        <v>50.870310693641613</v>
      </c>
      <c r="G146" s="377">
        <f t="shared" si="2"/>
        <v>11.191468352601156</v>
      </c>
      <c r="H146" s="377">
        <f>F146*'[3]92'!$C$20/100</f>
        <v>17.782186192262472</v>
      </c>
      <c r="I146" s="377">
        <f>E146*мат.сіль!$F$21</f>
        <v>11.412218744490994</v>
      </c>
      <c r="J146" s="377">
        <f t="shared" si="13"/>
        <v>5.3485985560053351E-2</v>
      </c>
    </row>
    <row r="147" spans="1:10" s="380" customFormat="1" x14ac:dyDescent="0.2">
      <c r="A147" s="381">
        <v>145</v>
      </c>
      <c r="B147" s="382" t="s">
        <v>475</v>
      </c>
      <c r="C147" s="384">
        <v>1135.3399999999999</v>
      </c>
      <c r="D147" s="375">
        <v>311.5</v>
      </c>
      <c r="E147" s="379">
        <f t="shared" si="11"/>
        <v>5.6268063583815031E-3</v>
      </c>
      <c r="F147" s="377">
        <f t="shared" si="12"/>
        <v>37.710856213872837</v>
      </c>
      <c r="G147" s="377">
        <f t="shared" si="2"/>
        <v>8.2963883670520246</v>
      </c>
      <c r="H147" s="377">
        <f>F147*'[3]92'!$C$20/100</f>
        <v>13.182177531865209</v>
      </c>
      <c r="I147" s="377">
        <f>E147*мат.сіль!$F$21</f>
        <v>8.4600336480460374</v>
      </c>
      <c r="J147" s="377">
        <f t="shared" si="13"/>
        <v>5.9585195413564315E-2</v>
      </c>
    </row>
    <row r="148" spans="1:10" s="380" customFormat="1" x14ac:dyDescent="0.2">
      <c r="A148" s="381">
        <v>146</v>
      </c>
      <c r="B148" s="382" t="s">
        <v>476</v>
      </c>
      <c r="C148" s="384">
        <v>1716.28</v>
      </c>
      <c r="D148" s="375">
        <v>388.3</v>
      </c>
      <c r="E148" s="379">
        <f t="shared" si="11"/>
        <v>7.0140895953757229E-3</v>
      </c>
      <c r="F148" s="377">
        <f t="shared" si="12"/>
        <v>47.008428468208095</v>
      </c>
      <c r="G148" s="377">
        <f t="shared" si="2"/>
        <v>10.34185426300578</v>
      </c>
      <c r="H148" s="377">
        <f>F148*'[3]92'!$C$20/100</f>
        <v>16.43222964887082</v>
      </c>
      <c r="I148" s="377">
        <f>E148*мат.сіль!$F$21</f>
        <v>10.545846117291417</v>
      </c>
      <c r="J148" s="377">
        <f t="shared" si="13"/>
        <v>4.9134382791488636E-2</v>
      </c>
    </row>
    <row r="149" spans="1:10" s="380" customFormat="1" x14ac:dyDescent="0.2">
      <c r="A149" s="381">
        <v>147</v>
      </c>
      <c r="B149" s="382" t="s">
        <v>477</v>
      </c>
      <c r="C149" s="384">
        <v>2696.17</v>
      </c>
      <c r="D149" s="375">
        <v>419.4</v>
      </c>
      <c r="E149" s="379">
        <f t="shared" si="11"/>
        <v>7.5758670520231211E-3</v>
      </c>
      <c r="F149" s="377">
        <f t="shared" si="12"/>
        <v>50.77346098265896</v>
      </c>
      <c r="G149" s="377">
        <f t="shared" si="2"/>
        <v>11.170161416184971</v>
      </c>
      <c r="H149" s="377">
        <f>F149*'[3]92'!$C$20/100</f>
        <v>17.748331482710331</v>
      </c>
      <c r="I149" s="377">
        <f>E149*мат.сіль!$F$21</f>
        <v>11.390491531269687</v>
      </c>
      <c r="J149" s="377">
        <f t="shared" si="13"/>
        <v>3.3782159660861129E-2</v>
      </c>
    </row>
    <row r="150" spans="1:10" s="380" customFormat="1" x14ac:dyDescent="0.2">
      <c r="A150" s="381">
        <v>148</v>
      </c>
      <c r="B150" s="382" t="s">
        <v>478</v>
      </c>
      <c r="C150" s="384">
        <v>1747.74</v>
      </c>
      <c r="D150" s="375">
        <v>300.3</v>
      </c>
      <c r="E150" s="379">
        <f t="shared" si="11"/>
        <v>5.4244942196531795E-3</v>
      </c>
      <c r="F150" s="377">
        <f t="shared" si="12"/>
        <v>36.354960260115611</v>
      </c>
      <c r="G150" s="377">
        <f t="shared" si="2"/>
        <v>7.9980912572254343</v>
      </c>
      <c r="H150" s="377">
        <f>F150*'[3]92'!$C$20/100</f>
        <v>12.708211598135223</v>
      </c>
      <c r="I150" s="377">
        <f>E150*мат.сіль!$F$21</f>
        <v>8.155852662947753</v>
      </c>
      <c r="J150" s="377">
        <f t="shared" si="13"/>
        <v>3.7315113105166685E-2</v>
      </c>
    </row>
    <row r="151" spans="1:10" s="380" customFormat="1" x14ac:dyDescent="0.2">
      <c r="A151" s="381">
        <v>149</v>
      </c>
      <c r="B151" s="382" t="s">
        <v>479</v>
      </c>
      <c r="C151" s="384">
        <v>1129.0999999999999</v>
      </c>
      <c r="D151" s="375">
        <v>206</v>
      </c>
      <c r="E151" s="379">
        <f t="shared" si="11"/>
        <v>3.7210982658959536E-3</v>
      </c>
      <c r="F151" s="377">
        <f t="shared" si="12"/>
        <v>24.93880057803468</v>
      </c>
      <c r="G151" s="377">
        <f t="shared" si="2"/>
        <v>5.4865361271676294</v>
      </c>
      <c r="H151" s="377">
        <f>F151*'[3]92'!$C$20/100</f>
        <v>8.7175877096765095</v>
      </c>
      <c r="I151" s="377">
        <f>E151*мат.сіль!$F$21</f>
        <v>5.5947574044863035</v>
      </c>
      <c r="J151" s="377">
        <f t="shared" si="13"/>
        <v>3.9622426551558877E-2</v>
      </c>
    </row>
    <row r="152" spans="1:10" s="380" customFormat="1" x14ac:dyDescent="0.2">
      <c r="A152" s="381">
        <v>150</v>
      </c>
      <c r="B152" s="382" t="s">
        <v>480</v>
      </c>
      <c r="C152" s="384">
        <v>1724</v>
      </c>
      <c r="D152" s="375">
        <v>654</v>
      </c>
      <c r="E152" s="379">
        <f t="shared" si="11"/>
        <v>1.1813583815028901E-2</v>
      </c>
      <c r="F152" s="377">
        <f t="shared" si="12"/>
        <v>79.1746387283237</v>
      </c>
      <c r="G152" s="377">
        <f t="shared" si="2"/>
        <v>17.418420520231212</v>
      </c>
      <c r="H152" s="377">
        <f>F152*'[3]92'!$C$20/100</f>
        <v>27.676225058875907</v>
      </c>
      <c r="I152" s="377">
        <f>E152*мат.сіль!$F$21</f>
        <v>17.761996808417681</v>
      </c>
      <c r="J152" s="377">
        <f t="shared" si="13"/>
        <v>8.2384733825898199E-2</v>
      </c>
    </row>
    <row r="153" spans="1:10" s="380" customFormat="1" x14ac:dyDescent="0.2">
      <c r="A153" s="381">
        <v>151</v>
      </c>
      <c r="B153" s="382" t="s">
        <v>481</v>
      </c>
      <c r="C153" s="384">
        <v>1775.1</v>
      </c>
      <c r="D153" s="375">
        <v>168</v>
      </c>
      <c r="E153" s="379">
        <f t="shared" si="11"/>
        <v>3.0346820809248553E-3</v>
      </c>
      <c r="F153" s="377">
        <f t="shared" si="12"/>
        <v>20.338439306358381</v>
      </c>
      <c r="G153" s="377">
        <f t="shared" si="2"/>
        <v>4.4744566473988439</v>
      </c>
      <c r="H153" s="377">
        <f>F153*'[3]92'!$C$20/100</f>
        <v>7.109489005949774</v>
      </c>
      <c r="I153" s="377">
        <f>E153*мат.сіль!$F$21</f>
        <v>4.5627147764742668</v>
      </c>
      <c r="J153" s="377">
        <f t="shared" si="13"/>
        <v>2.0553827804732843E-2</v>
      </c>
    </row>
    <row r="154" spans="1:10" s="380" customFormat="1" x14ac:dyDescent="0.2">
      <c r="A154" s="381">
        <v>152</v>
      </c>
      <c r="B154" s="382" t="s">
        <v>482</v>
      </c>
      <c r="C154" s="384">
        <v>3140.4</v>
      </c>
      <c r="D154" s="375">
        <v>420</v>
      </c>
      <c r="E154" s="379">
        <f t="shared" si="11"/>
        <v>7.5867052023121384E-3</v>
      </c>
      <c r="F154" s="377">
        <f t="shared" si="12"/>
        <v>50.846098265895954</v>
      </c>
      <c r="G154" s="377">
        <f t="shared" si="2"/>
        <v>11.186141618497111</v>
      </c>
      <c r="H154" s="377">
        <f>F154*'[3]92'!$C$20/100</f>
        <v>17.773722514874436</v>
      </c>
      <c r="I154" s="377">
        <f>E154*мат.сіль!$F$21</f>
        <v>11.406786941185667</v>
      </c>
      <c r="J154" s="377">
        <f t="shared" si="13"/>
        <v>2.9044946293610104E-2</v>
      </c>
    </row>
    <row r="155" spans="1:10" s="380" customFormat="1" x14ac:dyDescent="0.2">
      <c r="A155" s="381">
        <v>153</v>
      </c>
      <c r="B155" s="382" t="s">
        <v>483</v>
      </c>
      <c r="C155" s="384">
        <v>6074.77</v>
      </c>
      <c r="D155" s="375">
        <v>470</v>
      </c>
      <c r="E155" s="379">
        <f t="shared" si="11"/>
        <v>8.489884393063583E-3</v>
      </c>
      <c r="F155" s="377">
        <f t="shared" si="12"/>
        <v>56.899205202312132</v>
      </c>
      <c r="G155" s="377">
        <f t="shared" si="2"/>
        <v>12.51782514450867</v>
      </c>
      <c r="H155" s="377">
        <f>F155*'[3]92'!$C$20/100</f>
        <v>19.889641861883295</v>
      </c>
      <c r="I155" s="377">
        <f>E155*мат.сіль!$F$21</f>
        <v>12.764737767517294</v>
      </c>
      <c r="J155" s="377">
        <f t="shared" si="13"/>
        <v>1.6802514329961691E-2</v>
      </c>
    </row>
    <row r="156" spans="1:10" s="380" customFormat="1" x14ac:dyDescent="0.2">
      <c r="A156" s="381">
        <v>154</v>
      </c>
      <c r="B156" s="382" t="s">
        <v>484</v>
      </c>
      <c r="C156" s="384">
        <v>1960.16</v>
      </c>
      <c r="D156" s="375">
        <v>260</v>
      </c>
      <c r="E156" s="379">
        <f t="shared" si="11"/>
        <v>4.6965317919075147E-3</v>
      </c>
      <c r="F156" s="377">
        <f t="shared" si="12"/>
        <v>31.476156069364162</v>
      </c>
      <c r="G156" s="377">
        <f t="shared" si="2"/>
        <v>6.9247543352601157</v>
      </c>
      <c r="H156" s="377">
        <f>F156*'[3]92'!$C$20/100</f>
        <v>11.00278060444608</v>
      </c>
      <c r="I156" s="377">
        <f>E156*мат.сіль!$F$21</f>
        <v>7.0613442969244611</v>
      </c>
      <c r="J156" s="377">
        <f t="shared" si="13"/>
        <v>2.8806339944695745E-2</v>
      </c>
    </row>
    <row r="157" spans="1:10" s="380" customFormat="1" x14ac:dyDescent="0.2">
      <c r="A157" s="381">
        <v>155</v>
      </c>
      <c r="B157" s="382" t="s">
        <v>485</v>
      </c>
      <c r="C157" s="384">
        <v>5972.33</v>
      </c>
      <c r="D157" s="375">
        <v>959.7</v>
      </c>
      <c r="E157" s="379">
        <f t="shared" si="11"/>
        <v>1.7335621387283239E-2</v>
      </c>
      <c r="F157" s="377">
        <f t="shared" si="12"/>
        <v>116.18333453757226</v>
      </c>
      <c r="G157" s="377">
        <f t="shared" si="2"/>
        <v>25.560333598265899</v>
      </c>
      <c r="H157" s="377">
        <f>F157*'[3]92'!$C$20/100</f>
        <v>40.612955946488093</v>
      </c>
      <c r="I157" s="377">
        <f>E157*мат.сіль!$F$21</f>
        <v>26.064508160609254</v>
      </c>
      <c r="J157" s="377">
        <f t="shared" si="13"/>
        <v>3.4897792359587551E-2</v>
      </c>
    </row>
    <row r="158" spans="1:10" s="380" customFormat="1" x14ac:dyDescent="0.2">
      <c r="A158" s="381">
        <v>156</v>
      </c>
      <c r="B158" s="382" t="s">
        <v>486</v>
      </c>
      <c r="C158" s="384">
        <v>2589.9</v>
      </c>
      <c r="D158" s="375">
        <v>180.4</v>
      </c>
      <c r="E158" s="379">
        <f t="shared" si="11"/>
        <v>3.258670520231214E-3</v>
      </c>
      <c r="F158" s="377">
        <f t="shared" si="12"/>
        <v>21.839609826589594</v>
      </c>
      <c r="G158" s="377">
        <f t="shared" si="2"/>
        <v>4.8047141618497111</v>
      </c>
      <c r="H158" s="377">
        <f>F158*'[3]92'!$C$20/100</f>
        <v>7.6342370040079723</v>
      </c>
      <c r="I158" s="377">
        <f>E158*мат.сіль!$F$21</f>
        <v>4.8994865814045108</v>
      </c>
      <c r="J158" s="377">
        <f t="shared" si="13"/>
        <v>1.5127243358373598E-2</v>
      </c>
    </row>
    <row r="159" spans="1:10" s="380" customFormat="1" x14ac:dyDescent="0.2">
      <c r="A159" s="381">
        <v>157</v>
      </c>
      <c r="B159" s="382" t="s">
        <v>487</v>
      </c>
      <c r="C159" s="384">
        <v>3904.03</v>
      </c>
      <c r="D159" s="375">
        <v>800</v>
      </c>
      <c r="E159" s="379">
        <f t="shared" si="11"/>
        <v>1.4450867052023121E-2</v>
      </c>
      <c r="F159" s="377">
        <f t="shared" si="12"/>
        <v>96.849710982658962</v>
      </c>
      <c r="G159" s="377">
        <f t="shared" si="2"/>
        <v>21.306936416184971</v>
      </c>
      <c r="H159" s="377">
        <f>F159*'[3]92'!$C$20/100</f>
        <v>33.854709552141784</v>
      </c>
      <c r="I159" s="377">
        <f>E159*мат.сіль!$F$21</f>
        <v>21.727213221306034</v>
      </c>
      <c r="J159" s="377">
        <f t="shared" si="13"/>
        <v>4.450236554849521E-2</v>
      </c>
    </row>
    <row r="160" spans="1:10" s="380" customFormat="1" x14ac:dyDescent="0.2">
      <c r="A160" s="381">
        <v>158</v>
      </c>
      <c r="B160" s="382" t="s">
        <v>488</v>
      </c>
      <c r="C160" s="384">
        <v>3894.85</v>
      </c>
      <c r="D160" s="375">
        <v>411</v>
      </c>
      <c r="E160" s="379">
        <f t="shared" si="11"/>
        <v>7.4241329479768784E-3</v>
      </c>
      <c r="F160" s="377">
        <f t="shared" si="12"/>
        <v>49.756539017341041</v>
      </c>
      <c r="G160" s="377">
        <f t="shared" si="2"/>
        <v>10.946438583815029</v>
      </c>
      <c r="H160" s="377">
        <f>F160*'[3]92'!$C$20/100</f>
        <v>17.392857032412842</v>
      </c>
      <c r="I160" s="377">
        <f>E160*мат.сіль!$F$21</f>
        <v>11.162355792445975</v>
      </c>
      <c r="J160" s="377">
        <f t="shared" si="13"/>
        <v>2.291697765665299E-2</v>
      </c>
    </row>
    <row r="161" spans="1:22" s="380" customFormat="1" x14ac:dyDescent="0.2">
      <c r="A161" s="385">
        <v>159</v>
      </c>
      <c r="B161" s="386" t="s">
        <v>137</v>
      </c>
      <c r="C161" s="387">
        <f>SUM(C3:C160)</f>
        <v>264830.12</v>
      </c>
      <c r="D161" s="405">
        <f>SUM(D3:D160)</f>
        <v>54361.749999999993</v>
      </c>
      <c r="E161" s="389">
        <f>мат.сіль!F5</f>
        <v>0.98196802745664724</v>
      </c>
      <c r="F161" s="387">
        <f>E161*ЗП!K48</f>
        <v>6581.1497200144495</v>
      </c>
      <c r="G161" s="387">
        <f t="shared" si="2"/>
        <v>1447.852938403179</v>
      </c>
      <c r="H161" s="387">
        <f>F161*'[3]92'!$C$20/100</f>
        <v>2300.5015712451791</v>
      </c>
      <c r="I161" s="387">
        <f>мат.сіль!F22/12</f>
        <v>1476.4116666666666</v>
      </c>
      <c r="J161" s="387">
        <f>(F161+G161+H161+I161)/C161</f>
        <v>4.4579203816882587E-2</v>
      </c>
    </row>
    <row r="162" spans="1:22" s="380" customFormat="1" x14ac:dyDescent="0.2">
      <c r="A162" s="391"/>
      <c r="B162" s="392"/>
      <c r="C162" s="393"/>
      <c r="D162" s="406"/>
      <c r="E162" s="395"/>
      <c r="F162" s="393"/>
      <c r="G162" s="393"/>
      <c r="H162" s="393"/>
      <c r="I162" s="391"/>
      <c r="J162" s="393"/>
    </row>
    <row r="163" spans="1:22" s="380" customFormat="1" x14ac:dyDescent="0.2">
      <c r="A163" s="391"/>
      <c r="B163" s="392"/>
      <c r="C163" s="393"/>
      <c r="D163" s="406"/>
      <c r="E163" s="396">
        <f>D161/E161</f>
        <v>55360</v>
      </c>
      <c r="F163" s="396">
        <f>F161/E161</f>
        <v>6702</v>
      </c>
      <c r="G163" s="393"/>
      <c r="H163" s="391"/>
      <c r="I163" s="393"/>
      <c r="J163" s="393"/>
    </row>
    <row r="164" spans="1:22" s="380" customFormat="1" x14ac:dyDescent="0.2">
      <c r="A164" s="391"/>
      <c r="B164" s="392"/>
      <c r="C164" s="407"/>
      <c r="D164" s="406"/>
      <c r="E164" s="395"/>
      <c r="F164" s="393"/>
      <c r="G164" s="393"/>
      <c r="H164" s="391"/>
      <c r="I164" s="391"/>
      <c r="J164" s="393"/>
    </row>
    <row r="165" spans="1:22" s="81" customFormat="1" ht="15.75" customHeight="1" x14ac:dyDescent="0.2">
      <c r="A165" s="279"/>
      <c r="B165" s="276" t="s">
        <v>234</v>
      </c>
      <c r="C165" s="278"/>
      <c r="D165" s="278"/>
      <c r="E165" s="509" t="s">
        <v>648</v>
      </c>
      <c r="F165" s="509"/>
      <c r="G165" s="277"/>
      <c r="H165" s="510"/>
      <c r="I165" s="510"/>
      <c r="J165" s="510"/>
      <c r="K165" s="510"/>
      <c r="L165" s="278"/>
      <c r="M165" s="245"/>
      <c r="N165" s="245"/>
      <c r="O165" s="105"/>
      <c r="P165" s="105"/>
      <c r="Q165" s="105"/>
      <c r="R165" s="105"/>
      <c r="S165" s="105"/>
      <c r="T165" s="245"/>
      <c r="U165" s="245"/>
      <c r="V165" s="105"/>
    </row>
    <row r="166" spans="1:22" ht="11.25" x14ac:dyDescent="0.2">
      <c r="A166" s="169"/>
      <c r="B166" s="232"/>
      <c r="C166" s="237"/>
      <c r="D166" s="250"/>
      <c r="E166" s="167"/>
      <c r="F166" s="237"/>
      <c r="G166" s="237"/>
      <c r="H166" s="169"/>
      <c r="I166" s="169"/>
      <c r="J166" s="237"/>
    </row>
  </sheetData>
  <mergeCells count="3">
    <mergeCell ref="A1:J1"/>
    <mergeCell ref="E165:F165"/>
    <mergeCell ref="H165:K165"/>
  </mergeCells>
  <pageMargins left="0.78740157480314965" right="0.1181102362204724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="120" zoomScaleNormal="120" workbookViewId="0">
      <selection activeCell="L3" sqref="L3"/>
    </sheetView>
  </sheetViews>
  <sheetFormatPr defaultRowHeight="12" x14ac:dyDescent="0.2"/>
  <cols>
    <col min="1" max="1" width="3.140625" style="39" customWidth="1"/>
    <col min="2" max="2" width="16.28515625" style="170" customWidth="1"/>
    <col min="3" max="3" width="9.28515625" style="39" customWidth="1"/>
    <col min="4" max="4" width="9" style="47" customWidth="1"/>
    <col min="5" max="5" width="8.85546875" style="264" customWidth="1"/>
    <col min="6" max="6" width="11.5703125" style="349" customWidth="1"/>
    <col min="7" max="7" width="9.140625" style="47" customWidth="1"/>
    <col min="8" max="8" width="8" style="47" customWidth="1"/>
    <col min="9" max="9" width="14" style="251" customWidth="1"/>
    <col min="10" max="10" width="13.85546875" style="212" customWidth="1"/>
    <col min="11" max="11" width="13.42578125" style="204" customWidth="1"/>
    <col min="12" max="12" width="8.28515625" style="39" customWidth="1"/>
    <col min="13" max="13" width="7.42578125" style="39" customWidth="1"/>
    <col min="14" max="14" width="13.7109375" style="204" customWidth="1"/>
  </cols>
  <sheetData>
    <row r="1" spans="1:27" ht="27" customHeight="1" x14ac:dyDescent="0.2">
      <c r="A1" s="512" t="s">
        <v>608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27" s="412" customFormat="1" ht="51.75" customHeight="1" x14ac:dyDescent="0.2">
      <c r="A2" s="33" t="s">
        <v>1</v>
      </c>
      <c r="B2" s="33" t="s">
        <v>0</v>
      </c>
      <c r="C2" s="33" t="s">
        <v>72</v>
      </c>
      <c r="D2" s="408" t="s">
        <v>83</v>
      </c>
      <c r="E2" s="409" t="s">
        <v>599</v>
      </c>
      <c r="F2" s="45" t="s">
        <v>85</v>
      </c>
      <c r="G2" s="45" t="s">
        <v>80</v>
      </c>
      <c r="H2" s="45" t="s">
        <v>276</v>
      </c>
      <c r="I2" s="410" t="s">
        <v>278</v>
      </c>
      <c r="J2" s="411" t="s">
        <v>645</v>
      </c>
      <c r="K2" s="45" t="s">
        <v>117</v>
      </c>
      <c r="L2" s="33" t="s">
        <v>75</v>
      </c>
      <c r="M2" s="33" t="s">
        <v>304</v>
      </c>
      <c r="N2" s="45" t="s">
        <v>305</v>
      </c>
    </row>
    <row r="3" spans="1:27" s="419" customFormat="1" ht="18" customHeight="1" x14ac:dyDescent="0.2">
      <c r="A3" s="34">
        <v>1</v>
      </c>
      <c r="B3" s="462" t="s">
        <v>483</v>
      </c>
      <c r="C3" s="414">
        <v>6074.77</v>
      </c>
      <c r="D3" s="415">
        <v>2838.94</v>
      </c>
      <c r="E3" s="416">
        <v>3</v>
      </c>
      <c r="F3" s="234">
        <f t="shared" ref="F3:F8" si="0">E3/$F$11</f>
        <v>0.25</v>
      </c>
      <c r="G3" s="415">
        <f t="shared" ref="G3:G8" si="1">F3*$G$11</f>
        <v>2206.125</v>
      </c>
      <c r="H3" s="415">
        <f t="shared" ref="H3:H8" si="2">G3*22/100</f>
        <v>485.34750000000003</v>
      </c>
      <c r="I3" s="460">
        <f>[4]Лист1!P3</f>
        <v>6123</v>
      </c>
      <c r="J3" s="461">
        <v>1.4</v>
      </c>
      <c r="K3" s="41">
        <f>((I3*J3)+(I3*J3*'92'!$C$20/100))/C3/12</f>
        <v>0.14098061803914236</v>
      </c>
      <c r="L3" s="41">
        <f>G3*'92'!$C$20/100</f>
        <v>438.7692758848109</v>
      </c>
      <c r="M3" s="41">
        <f t="shared" ref="M3:M9" si="3">(D3+G3+H3+L3)/C3</f>
        <v>0.98261856430528405</v>
      </c>
      <c r="N3" s="41">
        <f>M3+K3</f>
        <v>1.1235991823444265</v>
      </c>
    </row>
    <row r="4" spans="1:27" s="419" customFormat="1" x14ac:dyDescent="0.2">
      <c r="A4" s="34">
        <v>2</v>
      </c>
      <c r="B4" s="462" t="s">
        <v>484</v>
      </c>
      <c r="C4" s="414">
        <v>1960.16</v>
      </c>
      <c r="D4" s="415">
        <v>775.78</v>
      </c>
      <c r="E4" s="416">
        <v>1</v>
      </c>
      <c r="F4" s="234">
        <f t="shared" si="0"/>
        <v>8.3333333333333329E-2</v>
      </c>
      <c r="G4" s="415">
        <f t="shared" si="1"/>
        <v>735.375</v>
      </c>
      <c r="H4" s="415">
        <f t="shared" si="2"/>
        <v>161.7825</v>
      </c>
      <c r="I4" s="460">
        <f>[4]Лист1!P4</f>
        <v>2533</v>
      </c>
      <c r="J4" s="461">
        <v>1.4</v>
      </c>
      <c r="K4" s="41">
        <f>((I4*J4)+(I4*J4*'92'!$C$20/100))/C4/12</f>
        <v>0.18074598442361756</v>
      </c>
      <c r="L4" s="41">
        <f>G4*'92'!$C$20/100</f>
        <v>146.25642529493697</v>
      </c>
      <c r="M4" s="41">
        <f t="shared" si="3"/>
        <v>0.92808440397464331</v>
      </c>
      <c r="N4" s="41">
        <f t="shared" ref="N4:N9" si="4">M4+K4</f>
        <v>1.1088303883982609</v>
      </c>
    </row>
    <row r="5" spans="1:27" s="419" customFormat="1" x14ac:dyDescent="0.2">
      <c r="A5" s="34">
        <v>3</v>
      </c>
      <c r="B5" s="462" t="s">
        <v>485</v>
      </c>
      <c r="C5" s="414">
        <v>5972.33</v>
      </c>
      <c r="D5" s="415">
        <v>2327.34</v>
      </c>
      <c r="E5" s="416">
        <v>3</v>
      </c>
      <c r="F5" s="234">
        <f t="shared" si="0"/>
        <v>0.25</v>
      </c>
      <c r="G5" s="415">
        <f t="shared" si="1"/>
        <v>2206.125</v>
      </c>
      <c r="H5" s="415">
        <f t="shared" si="2"/>
        <v>485.34750000000003</v>
      </c>
      <c r="I5" s="460">
        <f>[4]Лист1!P5</f>
        <v>8507</v>
      </c>
      <c r="J5" s="461">
        <v>1.4</v>
      </c>
      <c r="K5" s="41">
        <f>((I5*J5)+(I5*J5*'92'!$C$20/100))/C5/12</f>
        <v>0.19923132645757891</v>
      </c>
      <c r="L5" s="41">
        <f>G5*'92'!$C$20/100</f>
        <v>438.7692758848109</v>
      </c>
      <c r="M5" s="41">
        <f t="shared" si="3"/>
        <v>0.91381115509102995</v>
      </c>
      <c r="N5" s="41">
        <f t="shared" si="4"/>
        <v>1.1130424815486089</v>
      </c>
    </row>
    <row r="6" spans="1:27" s="419" customFormat="1" x14ac:dyDescent="0.2">
      <c r="A6" s="34">
        <v>4</v>
      </c>
      <c r="B6" s="462" t="s">
        <v>486</v>
      </c>
      <c r="C6" s="414">
        <v>2589.9</v>
      </c>
      <c r="D6" s="415">
        <v>649.29</v>
      </c>
      <c r="E6" s="416">
        <v>1</v>
      </c>
      <c r="F6" s="234">
        <f t="shared" si="0"/>
        <v>8.3333333333333329E-2</v>
      </c>
      <c r="G6" s="415">
        <f t="shared" si="1"/>
        <v>735.375</v>
      </c>
      <c r="H6" s="415">
        <f t="shared" si="2"/>
        <v>161.7825</v>
      </c>
      <c r="I6" s="460">
        <f>[4]Лист1!P6</f>
        <v>2533</v>
      </c>
      <c r="J6" s="461">
        <v>1.4</v>
      </c>
      <c r="K6" s="41">
        <f>((I6*J6)+(I6*J6*'92'!$C$20/100))/C6/12</f>
        <v>0.13679719248920738</v>
      </c>
      <c r="L6" s="41">
        <f>G6*'92'!$C$20/100</f>
        <v>146.25642529493697</v>
      </c>
      <c r="M6" s="41">
        <f t="shared" si="3"/>
        <v>0.6535788738155669</v>
      </c>
      <c r="N6" s="41">
        <f t="shared" si="4"/>
        <v>0.79037606630477431</v>
      </c>
    </row>
    <row r="7" spans="1:27" s="419" customFormat="1" x14ac:dyDescent="0.2">
      <c r="A7" s="34">
        <v>5</v>
      </c>
      <c r="B7" s="462" t="s">
        <v>487</v>
      </c>
      <c r="C7" s="414">
        <v>3904.03</v>
      </c>
      <c r="D7" s="415">
        <v>1667.58</v>
      </c>
      <c r="E7" s="416">
        <v>2</v>
      </c>
      <c r="F7" s="234">
        <f t="shared" si="0"/>
        <v>0.16666666666666666</v>
      </c>
      <c r="G7" s="415">
        <f t="shared" si="1"/>
        <v>1470.75</v>
      </c>
      <c r="H7" s="415">
        <f t="shared" si="2"/>
        <v>323.565</v>
      </c>
      <c r="I7" s="460">
        <f>[4]Лист1!P7</f>
        <v>4080</v>
      </c>
      <c r="J7" s="461">
        <v>1.4</v>
      </c>
      <c r="K7" s="41">
        <f>((I7*J7)+(I7*J7*'92'!$C$20/100))/C7/12</f>
        <v>0.14617463128175154</v>
      </c>
      <c r="L7" s="41">
        <f>G7*'92'!$C$20/100</f>
        <v>292.51285058987395</v>
      </c>
      <c r="M7" s="41">
        <f t="shared" si="3"/>
        <v>0.96167494885794258</v>
      </c>
      <c r="N7" s="41">
        <f t="shared" si="4"/>
        <v>1.1078495801396941</v>
      </c>
    </row>
    <row r="8" spans="1:27" s="419" customFormat="1" x14ac:dyDescent="0.2">
      <c r="A8" s="34">
        <v>6</v>
      </c>
      <c r="B8" s="462" t="s">
        <v>488</v>
      </c>
      <c r="C8" s="414">
        <v>3894.85</v>
      </c>
      <c r="D8" s="415">
        <v>1667.58</v>
      </c>
      <c r="E8" s="416">
        <v>2</v>
      </c>
      <c r="F8" s="234">
        <f t="shared" si="0"/>
        <v>0.16666666666666666</v>
      </c>
      <c r="G8" s="415">
        <f t="shared" si="1"/>
        <v>1470.75</v>
      </c>
      <c r="H8" s="415">
        <f t="shared" si="2"/>
        <v>323.565</v>
      </c>
      <c r="I8" s="460">
        <f>[4]Лист1!P8</f>
        <v>4146</v>
      </c>
      <c r="J8" s="461">
        <v>1.4</v>
      </c>
      <c r="K8" s="41">
        <f>((I8*J8)+(I8*J8*'92'!$C$20/100))/C8/12</f>
        <v>0.14888932169182739</v>
      </c>
      <c r="L8" s="41">
        <f>G8*'92'!$C$20/100</f>
        <v>292.51285058987395</v>
      </c>
      <c r="M8" s="41">
        <f t="shared" si="3"/>
        <v>0.96394157684888349</v>
      </c>
      <c r="N8" s="41">
        <f t="shared" si="4"/>
        <v>1.1128308985407109</v>
      </c>
    </row>
    <row r="9" spans="1:27" s="412" customFormat="1" x14ac:dyDescent="0.2">
      <c r="A9" s="58">
        <v>7</v>
      </c>
      <c r="B9" s="43" t="s">
        <v>22</v>
      </c>
      <c r="C9" s="33">
        <f>SUM(C3:C8)</f>
        <v>24396.039999999997</v>
      </c>
      <c r="D9" s="408">
        <f>SUM(D3:D8)</f>
        <v>9926.51</v>
      </c>
      <c r="E9" s="409">
        <f>SUM(E3:E8)</f>
        <v>12</v>
      </c>
      <c r="F9" s="259">
        <v>1</v>
      </c>
      <c r="G9" s="408">
        <f>ЗП!N68</f>
        <v>8824.5</v>
      </c>
      <c r="H9" s="408">
        <f>SUM(H3:H8)</f>
        <v>1941.39</v>
      </c>
      <c r="I9" s="420">
        <f>SUM(I3:I8)</f>
        <v>27922</v>
      </c>
      <c r="J9" s="488">
        <v>1.4</v>
      </c>
      <c r="K9" s="45">
        <f>((I9*J9)+(I9*J9*'92'!$C$20/100))/C9/12</f>
        <v>0.1600855661409778</v>
      </c>
      <c r="L9" s="45">
        <f>G9*'92'!$C$20/100</f>
        <v>1755.0771035392436</v>
      </c>
      <c r="M9" s="45">
        <f t="shared" si="3"/>
        <v>0.9201279020504658</v>
      </c>
      <c r="N9" s="45">
        <f t="shared" si="4"/>
        <v>1.0802134681914435</v>
      </c>
    </row>
    <row r="10" spans="1:27" ht="11.25" x14ac:dyDescent="0.2">
      <c r="A10" s="336"/>
      <c r="B10" s="109"/>
      <c r="C10" s="354"/>
      <c r="D10" s="167"/>
      <c r="E10" s="350"/>
      <c r="F10" s="250"/>
      <c r="G10" s="167"/>
      <c r="H10" s="167"/>
      <c r="I10" s="355"/>
      <c r="J10" s="356"/>
      <c r="K10" s="263"/>
      <c r="L10" s="354"/>
      <c r="M10" s="354"/>
      <c r="N10" s="263"/>
    </row>
    <row r="11" spans="1:27" ht="11.25" x14ac:dyDescent="0.2">
      <c r="A11" s="336"/>
      <c r="B11" s="109"/>
      <c r="C11" s="354"/>
      <c r="D11" s="167"/>
      <c r="E11" s="350"/>
      <c r="F11" s="250">
        <f>E9/F9</f>
        <v>12</v>
      </c>
      <c r="G11" s="167">
        <f>G9/F9</f>
        <v>8824.5</v>
      </c>
      <c r="H11" s="167"/>
      <c r="I11" s="355"/>
      <c r="J11" s="356"/>
      <c r="K11" s="263"/>
      <c r="L11" s="354"/>
      <c r="M11" s="354"/>
      <c r="N11" s="263"/>
    </row>
    <row r="12" spans="1:27" ht="11.25" x14ac:dyDescent="0.2">
      <c r="A12" s="336"/>
      <c r="B12" s="109"/>
      <c r="C12" s="354"/>
      <c r="D12" s="167"/>
      <c r="E12" s="350"/>
      <c r="F12" s="250"/>
      <c r="G12" s="167"/>
      <c r="H12" s="167"/>
      <c r="I12" s="355"/>
      <c r="J12" s="356"/>
      <c r="K12" s="263"/>
      <c r="L12" s="354"/>
      <c r="M12" s="354"/>
      <c r="N12" s="263"/>
    </row>
    <row r="13" spans="1:27" ht="11.25" x14ac:dyDescent="0.2">
      <c r="A13" s="336"/>
      <c r="B13" s="109"/>
      <c r="C13" s="354"/>
      <c r="D13" s="167"/>
      <c r="E13" s="350"/>
      <c r="F13" s="250"/>
      <c r="G13" s="167"/>
      <c r="H13" s="167"/>
      <c r="I13" s="355"/>
      <c r="J13" s="356"/>
      <c r="K13" s="263"/>
      <c r="L13" s="354"/>
      <c r="M13" s="354"/>
      <c r="N13" s="263"/>
    </row>
    <row r="14" spans="1:27" s="106" customFormat="1" ht="15.75" customHeight="1" x14ac:dyDescent="0.2">
      <c r="A14" s="357"/>
      <c r="B14" s="358" t="s">
        <v>234</v>
      </c>
      <c r="C14" s="359"/>
      <c r="D14" s="359"/>
      <c r="E14" s="360"/>
      <c r="F14" s="359"/>
      <c r="G14" s="359"/>
      <c r="H14" s="359"/>
      <c r="I14" s="507" t="s">
        <v>604</v>
      </c>
      <c r="J14" s="507"/>
      <c r="K14" s="361"/>
      <c r="L14" s="506"/>
      <c r="M14" s="506"/>
      <c r="N14" s="506"/>
      <c r="O14" s="506"/>
      <c r="P14" s="506"/>
      <c r="Q14" s="359"/>
      <c r="R14" s="362"/>
      <c r="S14" s="362"/>
      <c r="T14" s="89"/>
      <c r="U14" s="89"/>
      <c r="V14" s="89"/>
      <c r="W14" s="89"/>
      <c r="X14" s="89"/>
      <c r="Y14" s="362"/>
      <c r="Z14" s="362"/>
      <c r="AA14" s="89"/>
    </row>
  </sheetData>
  <mergeCells count="3">
    <mergeCell ref="A1:N1"/>
    <mergeCell ref="I14:J14"/>
    <mergeCell ref="L14:P14"/>
  </mergeCells>
  <phoneticPr fontId="2" type="noConversion"/>
  <pageMargins left="0.23622047244094491" right="3.937007874015748E-2" top="0.78740157480314965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16" workbookViewId="0">
      <selection activeCell="E43" sqref="E43:F43"/>
    </sheetView>
  </sheetViews>
  <sheetFormatPr defaultRowHeight="12.75" x14ac:dyDescent="0.2"/>
  <cols>
    <col min="1" max="1" width="5.85546875" style="62" customWidth="1"/>
    <col min="2" max="2" width="31.42578125" style="32" customWidth="1"/>
    <col min="3" max="3" width="9.140625" style="31"/>
    <col min="4" max="4" width="9.42578125" style="35" bestFit="1" customWidth="1"/>
    <col min="5" max="5" width="9.140625" style="29"/>
    <col min="6" max="6" width="9.42578125" style="35" bestFit="1" customWidth="1"/>
  </cols>
  <sheetData>
    <row r="1" spans="1:6" ht="48.75" customHeight="1" x14ac:dyDescent="0.2">
      <c r="A1" s="513" t="s">
        <v>609</v>
      </c>
      <c r="B1" s="513"/>
      <c r="C1" s="513"/>
      <c r="D1" s="513"/>
      <c r="E1" s="513"/>
      <c r="F1" s="513"/>
    </row>
    <row r="2" spans="1:6" x14ac:dyDescent="0.2">
      <c r="A2" s="67" t="s">
        <v>14</v>
      </c>
      <c r="B2" s="50" t="s">
        <v>51</v>
      </c>
      <c r="C2" s="37" t="s">
        <v>94</v>
      </c>
      <c r="D2" s="36" t="s">
        <v>95</v>
      </c>
      <c r="E2" s="59" t="s">
        <v>96</v>
      </c>
      <c r="F2" s="36" t="s">
        <v>97</v>
      </c>
    </row>
    <row r="3" spans="1:6" ht="25.5" x14ac:dyDescent="0.2">
      <c r="A3" s="67" t="s">
        <v>99</v>
      </c>
      <c r="B3" s="60" t="s">
        <v>279</v>
      </c>
      <c r="C3" s="37" t="s">
        <v>110</v>
      </c>
      <c r="D3" s="36">
        <f>F6</f>
        <v>6.9519629094412334</v>
      </c>
      <c r="E3" s="59"/>
      <c r="F3" s="36"/>
    </row>
    <row r="4" spans="1:6" x14ac:dyDescent="0.2">
      <c r="A4" s="67" t="s">
        <v>100</v>
      </c>
      <c r="B4" s="60" t="s">
        <v>280</v>
      </c>
      <c r="C4" s="37" t="s">
        <v>110</v>
      </c>
      <c r="D4" s="36">
        <v>4</v>
      </c>
      <c r="E4" s="59"/>
      <c r="F4" s="36"/>
    </row>
    <row r="5" spans="1:6" x14ac:dyDescent="0.2">
      <c r="A5" s="67" t="s">
        <v>219</v>
      </c>
      <c r="B5" s="61" t="s">
        <v>139</v>
      </c>
      <c r="C5" s="37" t="s">
        <v>140</v>
      </c>
      <c r="D5" s="36">
        <f>'ТО тепло'!D161</f>
        <v>104962</v>
      </c>
      <c r="E5" s="59"/>
      <c r="F5" s="36"/>
    </row>
    <row r="6" spans="1:6" ht="51" x14ac:dyDescent="0.2">
      <c r="A6" s="67" t="s">
        <v>281</v>
      </c>
      <c r="B6" s="60" t="s">
        <v>282</v>
      </c>
      <c r="C6" s="37" t="s">
        <v>101</v>
      </c>
      <c r="D6" s="36">
        <v>1.1000000000000001</v>
      </c>
      <c r="E6" s="59"/>
      <c r="F6" s="36">
        <f>D6*D5/166.08/100</f>
        <v>6.9519629094412334</v>
      </c>
    </row>
    <row r="7" spans="1:6" x14ac:dyDescent="0.2">
      <c r="A7" s="68" t="s">
        <v>3</v>
      </c>
      <c r="B7" s="63" t="s">
        <v>134</v>
      </c>
      <c r="C7" s="37"/>
      <c r="D7" s="36"/>
      <c r="E7" s="59"/>
      <c r="F7" s="64">
        <f>SUM(F8:F13)</f>
        <v>16858.092937620422</v>
      </c>
    </row>
    <row r="8" spans="1:6" x14ac:dyDescent="0.2">
      <c r="A8" s="67" t="s">
        <v>171</v>
      </c>
      <c r="B8" s="482" t="s">
        <v>630</v>
      </c>
      <c r="C8" s="66" t="s">
        <v>120</v>
      </c>
      <c r="D8" s="93">
        <f>D3</f>
        <v>6.9519629094412334</v>
      </c>
      <c r="E8" s="483">
        <v>468</v>
      </c>
      <c r="F8" s="36">
        <f t="shared" ref="F8:F13" si="0">D8*E8</f>
        <v>3253.5186416184974</v>
      </c>
    </row>
    <row r="9" spans="1:6" x14ac:dyDescent="0.2">
      <c r="A9" s="67" t="s">
        <v>172</v>
      </c>
      <c r="B9" s="486" t="s">
        <v>135</v>
      </c>
      <c r="C9" s="66" t="s">
        <v>120</v>
      </c>
      <c r="D9" s="93">
        <f>D3*4</f>
        <v>27.807851637764934</v>
      </c>
      <c r="E9" s="37">
        <v>17</v>
      </c>
      <c r="F9" s="36">
        <f t="shared" si="0"/>
        <v>472.73347784200388</v>
      </c>
    </row>
    <row r="10" spans="1:6" x14ac:dyDescent="0.2">
      <c r="A10" s="67" t="s">
        <v>173</v>
      </c>
      <c r="B10" s="487" t="s">
        <v>169</v>
      </c>
      <c r="C10" s="66" t="s">
        <v>120</v>
      </c>
      <c r="D10" s="93">
        <f>D3</f>
        <v>6.9519629094412334</v>
      </c>
      <c r="E10" s="484">
        <v>723</v>
      </c>
      <c r="F10" s="36">
        <f t="shared" si="0"/>
        <v>5026.2691835260121</v>
      </c>
    </row>
    <row r="11" spans="1:6" x14ac:dyDescent="0.2">
      <c r="A11" s="67" t="s">
        <v>174</v>
      </c>
      <c r="B11" s="486" t="s">
        <v>136</v>
      </c>
      <c r="C11" s="66" t="s">
        <v>120</v>
      </c>
      <c r="D11" s="93">
        <f>D3</f>
        <v>6.9519629094412334</v>
      </c>
      <c r="E11" s="37">
        <v>175</v>
      </c>
      <c r="F11" s="36">
        <f t="shared" si="0"/>
        <v>1216.5935091522158</v>
      </c>
    </row>
    <row r="12" spans="1:6" x14ac:dyDescent="0.2">
      <c r="A12" s="67" t="s">
        <v>175</v>
      </c>
      <c r="B12" s="482" t="s">
        <v>633</v>
      </c>
      <c r="C12" s="66" t="s">
        <v>120</v>
      </c>
      <c r="D12" s="93">
        <f>D3</f>
        <v>6.9519629094412334</v>
      </c>
      <c r="E12" s="484">
        <v>562.94000000000005</v>
      </c>
      <c r="F12" s="36">
        <f t="shared" si="0"/>
        <v>3913.5380002408483</v>
      </c>
    </row>
    <row r="13" spans="1:6" x14ac:dyDescent="0.2">
      <c r="A13" s="67" t="s">
        <v>176</v>
      </c>
      <c r="B13" s="482" t="s">
        <v>636</v>
      </c>
      <c r="C13" s="66" t="s">
        <v>120</v>
      </c>
      <c r="D13" s="93">
        <f>D3</f>
        <v>6.9519629094412334</v>
      </c>
      <c r="E13" s="483">
        <v>428</v>
      </c>
      <c r="F13" s="36">
        <f t="shared" si="0"/>
        <v>2975.4401252408479</v>
      </c>
    </row>
    <row r="14" spans="1:6" x14ac:dyDescent="0.2">
      <c r="A14" s="68" t="s">
        <v>4</v>
      </c>
      <c r="B14" s="63" t="s">
        <v>118</v>
      </c>
      <c r="C14" s="37"/>
      <c r="D14" s="36"/>
      <c r="E14" s="37"/>
      <c r="F14" s="64">
        <f>SUM(F15:F38)</f>
        <v>28720.833793834296</v>
      </c>
    </row>
    <row r="15" spans="1:6" x14ac:dyDescent="0.2">
      <c r="A15" s="67" t="s">
        <v>104</v>
      </c>
      <c r="B15" s="50" t="s">
        <v>149</v>
      </c>
      <c r="C15" s="37" t="s">
        <v>120</v>
      </c>
      <c r="D15" s="92">
        <f>D3</f>
        <v>6.9519629094412334</v>
      </c>
      <c r="E15" s="37">
        <v>193</v>
      </c>
      <c r="F15" s="36">
        <f>D15*E15</f>
        <v>1341.7288415221581</v>
      </c>
    </row>
    <row r="16" spans="1:6" x14ac:dyDescent="0.2">
      <c r="A16" s="67" t="s">
        <v>106</v>
      </c>
      <c r="B16" s="50" t="s">
        <v>150</v>
      </c>
      <c r="C16" s="37" t="s">
        <v>120</v>
      </c>
      <c r="D16" s="92">
        <f>D3</f>
        <v>6.9519629094412334</v>
      </c>
      <c r="E16" s="37">
        <v>23</v>
      </c>
      <c r="F16" s="36">
        <f>D16*E16</f>
        <v>159.89514691714837</v>
      </c>
    </row>
    <row r="17" spans="1:6" x14ac:dyDescent="0.2">
      <c r="A17" s="67" t="s">
        <v>108</v>
      </c>
      <c r="B17" s="50" t="s">
        <v>151</v>
      </c>
      <c r="C17" s="37" t="s">
        <v>120</v>
      </c>
      <c r="D17" s="92">
        <f>D3</f>
        <v>6.9519629094412334</v>
      </c>
      <c r="E17" s="37">
        <v>25</v>
      </c>
      <c r="F17" s="36">
        <f t="shared" ref="F17:F37" si="1">D17*E17</f>
        <v>173.79907273603084</v>
      </c>
    </row>
    <row r="18" spans="1:6" x14ac:dyDescent="0.2">
      <c r="A18" s="67" t="s">
        <v>180</v>
      </c>
      <c r="B18" s="50" t="s">
        <v>152</v>
      </c>
      <c r="C18" s="37" t="s">
        <v>120</v>
      </c>
      <c r="D18" s="92">
        <f>D3</f>
        <v>6.9519629094412334</v>
      </c>
      <c r="E18" s="37">
        <v>18.5</v>
      </c>
      <c r="F18" s="36">
        <f t="shared" si="1"/>
        <v>128.61131382466283</v>
      </c>
    </row>
    <row r="19" spans="1:6" x14ac:dyDescent="0.2">
      <c r="A19" s="67" t="s">
        <v>181</v>
      </c>
      <c r="B19" s="50" t="s">
        <v>153</v>
      </c>
      <c r="C19" s="37" t="s">
        <v>120</v>
      </c>
      <c r="D19" s="92">
        <f>D3</f>
        <v>6.9519629094412334</v>
      </c>
      <c r="E19" s="37">
        <v>30.5</v>
      </c>
      <c r="F19" s="36">
        <f t="shared" si="1"/>
        <v>212.03486873795762</v>
      </c>
    </row>
    <row r="20" spans="1:6" x14ac:dyDescent="0.2">
      <c r="A20" s="67" t="s">
        <v>182</v>
      </c>
      <c r="B20" s="50" t="s">
        <v>154</v>
      </c>
      <c r="C20" s="37" t="s">
        <v>120</v>
      </c>
      <c r="D20" s="92">
        <f>D3</f>
        <v>6.9519629094412334</v>
      </c>
      <c r="E20" s="37">
        <v>35</v>
      </c>
      <c r="F20" s="36">
        <f t="shared" si="1"/>
        <v>243.31870183044316</v>
      </c>
    </row>
    <row r="21" spans="1:6" x14ac:dyDescent="0.2">
      <c r="A21" s="67" t="s">
        <v>183</v>
      </c>
      <c r="B21" s="50" t="s">
        <v>155</v>
      </c>
      <c r="C21" s="37" t="s">
        <v>120</v>
      </c>
      <c r="D21" s="92">
        <f>D3</f>
        <v>6.9519629094412334</v>
      </c>
      <c r="E21" s="37">
        <v>40</v>
      </c>
      <c r="F21" s="36">
        <f t="shared" si="1"/>
        <v>278.07851637764935</v>
      </c>
    </row>
    <row r="22" spans="1:6" x14ac:dyDescent="0.2">
      <c r="A22" s="67" t="s">
        <v>184</v>
      </c>
      <c r="B22" s="50" t="s">
        <v>156</v>
      </c>
      <c r="C22" s="37" t="s">
        <v>120</v>
      </c>
      <c r="D22" s="92">
        <f>D3</f>
        <v>6.9519629094412334</v>
      </c>
      <c r="E22" s="37">
        <v>140</v>
      </c>
      <c r="F22" s="36">
        <f t="shared" si="1"/>
        <v>973.27480732177264</v>
      </c>
    </row>
    <row r="23" spans="1:6" x14ac:dyDescent="0.2">
      <c r="A23" s="67" t="s">
        <v>185</v>
      </c>
      <c r="B23" s="50" t="s">
        <v>157</v>
      </c>
      <c r="C23" s="37" t="s">
        <v>120</v>
      </c>
      <c r="D23" s="92">
        <f>D3</f>
        <v>6.9519629094412334</v>
      </c>
      <c r="E23" s="37">
        <v>50</v>
      </c>
      <c r="F23" s="36">
        <f t="shared" si="1"/>
        <v>347.59814547206167</v>
      </c>
    </row>
    <row r="24" spans="1:6" x14ac:dyDescent="0.2">
      <c r="A24" s="67" t="s">
        <v>186</v>
      </c>
      <c r="B24" s="50" t="s">
        <v>158</v>
      </c>
      <c r="C24" s="37" t="s">
        <v>120</v>
      </c>
      <c r="D24" s="92">
        <f>D3</f>
        <v>6.9519629094412334</v>
      </c>
      <c r="E24" s="37">
        <v>75</v>
      </c>
      <c r="F24" s="36">
        <f t="shared" si="1"/>
        <v>521.39721820809245</v>
      </c>
    </row>
    <row r="25" spans="1:6" x14ac:dyDescent="0.2">
      <c r="A25" s="67" t="s">
        <v>187</v>
      </c>
      <c r="B25" s="50" t="s">
        <v>159</v>
      </c>
      <c r="C25" s="37" t="s">
        <v>120</v>
      </c>
      <c r="D25" s="92">
        <v>7</v>
      </c>
      <c r="E25" s="37">
        <v>70.849999999999994</v>
      </c>
      <c r="F25" s="36">
        <f t="shared" si="1"/>
        <v>495.94999999999993</v>
      </c>
    </row>
    <row r="26" spans="1:6" x14ac:dyDescent="0.2">
      <c r="A26" s="67" t="s">
        <v>188</v>
      </c>
      <c r="B26" s="50" t="s">
        <v>160</v>
      </c>
      <c r="C26" s="37" t="s">
        <v>120</v>
      </c>
      <c r="D26" s="92">
        <v>7</v>
      </c>
      <c r="E26" s="37">
        <v>40</v>
      </c>
      <c r="F26" s="36">
        <f t="shared" si="1"/>
        <v>280</v>
      </c>
    </row>
    <row r="27" spans="1:6" x14ac:dyDescent="0.2">
      <c r="A27" s="67" t="s">
        <v>189</v>
      </c>
      <c r="B27" s="50" t="s">
        <v>161</v>
      </c>
      <c r="C27" s="37" t="s">
        <v>120</v>
      </c>
      <c r="D27" s="92">
        <v>7</v>
      </c>
      <c r="E27" s="37">
        <v>40</v>
      </c>
      <c r="F27" s="36">
        <f t="shared" si="1"/>
        <v>280</v>
      </c>
    </row>
    <row r="28" spans="1:6" x14ac:dyDescent="0.2">
      <c r="A28" s="67" t="s">
        <v>190</v>
      </c>
      <c r="B28" s="50" t="s">
        <v>162</v>
      </c>
      <c r="C28" s="37" t="s">
        <v>120</v>
      </c>
      <c r="D28" s="92">
        <v>7</v>
      </c>
      <c r="E28" s="37">
        <v>650</v>
      </c>
      <c r="F28" s="36">
        <f t="shared" si="1"/>
        <v>4550</v>
      </c>
    </row>
    <row r="29" spans="1:6" x14ac:dyDescent="0.2">
      <c r="A29" s="67" t="s">
        <v>191</v>
      </c>
      <c r="B29" s="50" t="s">
        <v>148</v>
      </c>
      <c r="C29" s="37" t="s">
        <v>120</v>
      </c>
      <c r="D29" s="92">
        <f>D3</f>
        <v>6.9519629094412334</v>
      </c>
      <c r="E29" s="37">
        <v>45</v>
      </c>
      <c r="F29" s="36">
        <f t="shared" si="1"/>
        <v>312.83833092485548</v>
      </c>
    </row>
    <row r="30" spans="1:6" x14ac:dyDescent="0.2">
      <c r="A30" s="67" t="s">
        <v>192</v>
      </c>
      <c r="B30" s="50" t="s">
        <v>163</v>
      </c>
      <c r="C30" s="37" t="s">
        <v>120</v>
      </c>
      <c r="D30" s="92">
        <v>7</v>
      </c>
      <c r="E30" s="37">
        <v>128.5</v>
      </c>
      <c r="F30" s="36">
        <f t="shared" si="1"/>
        <v>899.5</v>
      </c>
    </row>
    <row r="31" spans="1:6" x14ac:dyDescent="0.2">
      <c r="A31" s="67" t="s">
        <v>193</v>
      </c>
      <c r="B31" s="50" t="s">
        <v>164</v>
      </c>
      <c r="C31" s="37" t="s">
        <v>120</v>
      </c>
      <c r="D31" s="92">
        <v>7</v>
      </c>
      <c r="E31" s="37">
        <v>222.66</v>
      </c>
      <c r="F31" s="36">
        <f t="shared" si="1"/>
        <v>1558.62</v>
      </c>
    </row>
    <row r="32" spans="1:6" x14ac:dyDescent="0.2">
      <c r="A32" s="67" t="s">
        <v>194</v>
      </c>
      <c r="B32" s="50" t="s">
        <v>165</v>
      </c>
      <c r="C32" s="37" t="s">
        <v>120</v>
      </c>
      <c r="D32" s="92">
        <f>0.17*D3</f>
        <v>1.1818336946050099</v>
      </c>
      <c r="E32" s="37">
        <v>432</v>
      </c>
      <c r="F32" s="36">
        <f t="shared" si="1"/>
        <v>510.55215606936429</v>
      </c>
    </row>
    <row r="33" spans="1:23" x14ac:dyDescent="0.2">
      <c r="A33" s="67" t="s">
        <v>195</v>
      </c>
      <c r="B33" s="50" t="s">
        <v>283</v>
      </c>
      <c r="C33" s="37" t="s">
        <v>120</v>
      </c>
      <c r="D33" s="92">
        <v>1</v>
      </c>
      <c r="E33" s="37">
        <v>3830</v>
      </c>
      <c r="F33" s="36">
        <f t="shared" si="1"/>
        <v>3830</v>
      </c>
    </row>
    <row r="34" spans="1:23" x14ac:dyDescent="0.2">
      <c r="A34" s="67" t="s">
        <v>196</v>
      </c>
      <c r="B34" s="50" t="s">
        <v>167</v>
      </c>
      <c r="C34" s="37" t="s">
        <v>120</v>
      </c>
      <c r="D34" s="92">
        <f>0.17*D3</f>
        <v>1.1818336946050099</v>
      </c>
      <c r="E34" s="37">
        <v>20</v>
      </c>
      <c r="F34" s="36">
        <f t="shared" si="1"/>
        <v>23.636673892100198</v>
      </c>
    </row>
    <row r="35" spans="1:23" x14ac:dyDescent="0.2">
      <c r="A35" s="67" t="s">
        <v>197</v>
      </c>
      <c r="B35" s="50" t="s">
        <v>284</v>
      </c>
      <c r="C35" s="37" t="s">
        <v>120</v>
      </c>
      <c r="D35" s="92">
        <v>1</v>
      </c>
      <c r="E35" s="37">
        <v>2500</v>
      </c>
      <c r="F35" s="36">
        <f t="shared" si="1"/>
        <v>2500</v>
      </c>
    </row>
    <row r="36" spans="1:23" x14ac:dyDescent="0.2">
      <c r="A36" s="67" t="s">
        <v>285</v>
      </c>
      <c r="B36" s="50" t="s">
        <v>286</v>
      </c>
      <c r="C36" s="37" t="s">
        <v>120</v>
      </c>
      <c r="D36" s="92">
        <v>1</v>
      </c>
      <c r="E36" s="37">
        <v>5500</v>
      </c>
      <c r="F36" s="36">
        <f t="shared" si="1"/>
        <v>5500</v>
      </c>
    </row>
    <row r="37" spans="1:23" x14ac:dyDescent="0.2">
      <c r="A37" s="67" t="s">
        <v>287</v>
      </c>
      <c r="B37" s="50" t="s">
        <v>288</v>
      </c>
      <c r="C37" s="37" t="s">
        <v>120</v>
      </c>
      <c r="D37" s="92">
        <v>1</v>
      </c>
      <c r="E37" s="37">
        <v>2500</v>
      </c>
      <c r="F37" s="36">
        <f t="shared" si="1"/>
        <v>2500</v>
      </c>
    </row>
    <row r="38" spans="1:23" x14ac:dyDescent="0.2">
      <c r="A38" s="67" t="s">
        <v>294</v>
      </c>
      <c r="B38" s="63" t="s">
        <v>646</v>
      </c>
      <c r="C38" s="37" t="s">
        <v>103</v>
      </c>
      <c r="D38" s="36"/>
      <c r="E38" s="37"/>
      <c r="F38" s="36">
        <v>1100</v>
      </c>
    </row>
    <row r="39" spans="1:23" x14ac:dyDescent="0.2">
      <c r="A39" s="72"/>
      <c r="B39" s="73" t="s">
        <v>137</v>
      </c>
      <c r="C39" s="69"/>
      <c r="D39" s="74"/>
      <c r="E39" s="30"/>
      <c r="F39" s="74">
        <f>F7+F14</f>
        <v>45578.926731454718</v>
      </c>
    </row>
    <row r="40" spans="1:23" x14ac:dyDescent="0.2">
      <c r="A40" s="72"/>
      <c r="B40" s="73" t="s">
        <v>138</v>
      </c>
      <c r="C40" s="69"/>
      <c r="D40" s="74"/>
      <c r="E40" s="30"/>
      <c r="F40" s="74">
        <f>F39/D3/12</f>
        <v>546.35560398770576</v>
      </c>
    </row>
    <row r="43" spans="1:23" s="81" customFormat="1" ht="15.75" customHeight="1" x14ac:dyDescent="0.2">
      <c r="A43" s="279"/>
      <c r="B43" s="276" t="s">
        <v>234</v>
      </c>
      <c r="C43" s="278"/>
      <c r="D43" s="278"/>
      <c r="E43" s="509" t="s">
        <v>648</v>
      </c>
      <c r="F43" s="509"/>
      <c r="G43" s="277"/>
      <c r="H43" s="510"/>
      <c r="I43" s="510"/>
      <c r="J43" s="510"/>
      <c r="K43" s="510"/>
      <c r="L43" s="510"/>
      <c r="M43" s="278"/>
      <c r="N43" s="245"/>
      <c r="O43" s="245"/>
      <c r="P43" s="105"/>
      <c r="Q43" s="105"/>
      <c r="R43" s="105"/>
      <c r="S43" s="105"/>
      <c r="T43" s="105"/>
      <c r="U43" s="245"/>
      <c r="V43" s="245"/>
      <c r="W43" s="105"/>
    </row>
  </sheetData>
  <mergeCells count="3">
    <mergeCell ref="A1:F1"/>
    <mergeCell ref="E43:F43"/>
    <mergeCell ref="H43:L43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66"/>
  <sheetViews>
    <sheetView topLeftCell="A139" zoomScale="120" zoomScaleNormal="120" workbookViewId="0">
      <selection activeCell="E166" sqref="E166:F166"/>
    </sheetView>
  </sheetViews>
  <sheetFormatPr defaultRowHeight="11.25" x14ac:dyDescent="0.2"/>
  <cols>
    <col min="1" max="1" width="3.5703125" style="332" bestFit="1" customWidth="1"/>
    <col min="2" max="2" width="19.28515625" style="210" customWidth="1"/>
    <col min="3" max="3" width="8.28515625" style="332" customWidth="1"/>
    <col min="4" max="4" width="8.140625" style="255" customWidth="1"/>
    <col min="5" max="5" width="9" style="263" bestFit="1" customWidth="1"/>
    <col min="6" max="6" width="7.85546875" style="263" bestFit="1" customWidth="1"/>
    <col min="7" max="7" width="6.85546875" style="263" customWidth="1"/>
    <col min="8" max="8" width="7.28515625" style="332" customWidth="1"/>
    <col min="9" max="9" width="9.140625" style="332"/>
    <col min="10" max="10" width="13.28515625" style="263" customWidth="1"/>
  </cols>
  <sheetData>
    <row r="1" spans="1:10" ht="28.5" customHeight="1" x14ac:dyDescent="0.2">
      <c r="A1" s="508" t="s">
        <v>610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ht="67.5" x14ac:dyDescent="0.2">
      <c r="A2" s="82" t="s">
        <v>1</v>
      </c>
      <c r="B2" s="161" t="s">
        <v>0</v>
      </c>
      <c r="C2" s="82" t="s">
        <v>72</v>
      </c>
      <c r="D2" s="252" t="s">
        <v>84</v>
      </c>
      <c r="E2" s="83" t="s">
        <v>85</v>
      </c>
      <c r="F2" s="83" t="s">
        <v>86</v>
      </c>
      <c r="G2" s="83" t="s">
        <v>276</v>
      </c>
      <c r="H2" s="82" t="s">
        <v>75</v>
      </c>
      <c r="I2" s="82" t="s">
        <v>81</v>
      </c>
      <c r="J2" s="83" t="s">
        <v>198</v>
      </c>
    </row>
    <row r="3" spans="1:10" x14ac:dyDescent="0.2">
      <c r="A3" s="164">
        <v>1</v>
      </c>
      <c r="B3" s="285" t="s">
        <v>331</v>
      </c>
      <c r="C3" s="333">
        <v>394.86</v>
      </c>
      <c r="D3" s="339">
        <v>256</v>
      </c>
      <c r="E3" s="83">
        <f t="shared" ref="E3:E19" si="0">D3/$E$163</f>
        <v>1.6955684007707129E-2</v>
      </c>
      <c r="F3" s="83">
        <f t="shared" ref="F3:F19" si="1">E3*$F$163</f>
        <v>163.75485934489404</v>
      </c>
      <c r="G3" s="83">
        <f>F3*22/100</f>
        <v>36.02606905587669</v>
      </c>
      <c r="H3" s="83">
        <f>F3*'92'!$C$20/100</f>
        <v>32.568689923453213</v>
      </c>
      <c r="I3" s="83">
        <f>E3*'матер. тепло'!$F$40</f>
        <v>9.263832977055511</v>
      </c>
      <c r="J3" s="83">
        <f t="shared" ref="J3:J34" si="2">(F3+G3+H3+I3)/C3</f>
        <v>0.6118964982557854</v>
      </c>
    </row>
    <row r="4" spans="1:10" x14ac:dyDescent="0.2">
      <c r="A4" s="164">
        <v>2</v>
      </c>
      <c r="B4" s="285" t="s">
        <v>332</v>
      </c>
      <c r="C4" s="330">
        <v>326.89999999999998</v>
      </c>
      <c r="D4" s="339">
        <v>256</v>
      </c>
      <c r="E4" s="83">
        <f t="shared" si="0"/>
        <v>1.6955684007707129E-2</v>
      </c>
      <c r="F4" s="83">
        <f t="shared" si="1"/>
        <v>163.75485934489404</v>
      </c>
      <c r="G4" s="83">
        <f t="shared" ref="G4:G67" si="3">F4*22/100</f>
        <v>36.02606905587669</v>
      </c>
      <c r="H4" s="83">
        <f>F4*'92'!$C$20/100</f>
        <v>32.568689923453213</v>
      </c>
      <c r="I4" s="83">
        <f>E4*'матер. тепло'!$F$40</f>
        <v>9.263832977055511</v>
      </c>
      <c r="J4" s="83">
        <f t="shared" si="2"/>
        <v>0.73910508198617153</v>
      </c>
    </row>
    <row r="5" spans="1:10" x14ac:dyDescent="0.2">
      <c r="A5" s="164">
        <v>3</v>
      </c>
      <c r="B5" s="285" t="s">
        <v>333</v>
      </c>
      <c r="C5" s="330">
        <v>490.6</v>
      </c>
      <c r="D5" s="339">
        <v>256</v>
      </c>
      <c r="E5" s="83">
        <f t="shared" si="0"/>
        <v>1.6955684007707129E-2</v>
      </c>
      <c r="F5" s="83">
        <f t="shared" si="1"/>
        <v>163.75485934489404</v>
      </c>
      <c r="G5" s="83">
        <f t="shared" si="3"/>
        <v>36.02606905587669</v>
      </c>
      <c r="H5" s="83">
        <f>F5*'92'!$C$20/100</f>
        <v>32.568689923453213</v>
      </c>
      <c r="I5" s="83">
        <f>E5*'матер. тепло'!$F$40</f>
        <v>9.263832977055511</v>
      </c>
      <c r="J5" s="83">
        <f t="shared" si="2"/>
        <v>0.49248563249343547</v>
      </c>
    </row>
    <row r="6" spans="1:10" x14ac:dyDescent="0.2">
      <c r="A6" s="164">
        <v>4</v>
      </c>
      <c r="B6" s="285" t="s">
        <v>334</v>
      </c>
      <c r="C6" s="330">
        <v>341.5</v>
      </c>
      <c r="D6" s="339">
        <v>256</v>
      </c>
      <c r="E6" s="83">
        <f t="shared" si="0"/>
        <v>1.6955684007707129E-2</v>
      </c>
      <c r="F6" s="83">
        <f t="shared" si="1"/>
        <v>163.75485934489404</v>
      </c>
      <c r="G6" s="83">
        <f t="shared" si="3"/>
        <v>36.02606905587669</v>
      </c>
      <c r="H6" s="83">
        <f>F6*'92'!$C$20/100</f>
        <v>32.568689923453213</v>
      </c>
      <c r="I6" s="83">
        <f>E6*'матер. тепло'!$F$40</f>
        <v>9.263832977055511</v>
      </c>
      <c r="J6" s="83">
        <f t="shared" si="2"/>
        <v>0.70750644597739221</v>
      </c>
    </row>
    <row r="7" spans="1:10" x14ac:dyDescent="0.2">
      <c r="A7" s="164">
        <v>5</v>
      </c>
      <c r="B7" s="285" t="s">
        <v>335</v>
      </c>
      <c r="C7" s="330">
        <v>375.1</v>
      </c>
      <c r="D7" s="339">
        <v>256</v>
      </c>
      <c r="E7" s="83">
        <f t="shared" si="0"/>
        <v>1.6955684007707129E-2</v>
      </c>
      <c r="F7" s="83">
        <f t="shared" si="1"/>
        <v>163.75485934489404</v>
      </c>
      <c r="G7" s="83">
        <f t="shared" si="3"/>
        <v>36.02606905587669</v>
      </c>
      <c r="H7" s="83">
        <f>F7*'92'!$C$20/100</f>
        <v>32.568689923453213</v>
      </c>
      <c r="I7" s="83">
        <f>E7*'матер. тепло'!$F$40</f>
        <v>9.263832977055511</v>
      </c>
      <c r="J7" s="83">
        <f t="shared" si="2"/>
        <v>0.6441307685984522</v>
      </c>
    </row>
    <row r="8" spans="1:10" x14ac:dyDescent="0.2">
      <c r="A8" s="164">
        <v>6</v>
      </c>
      <c r="B8" s="285" t="s">
        <v>336</v>
      </c>
      <c r="C8" s="330">
        <v>386.23</v>
      </c>
      <c r="D8" s="339">
        <v>256</v>
      </c>
      <c r="E8" s="83">
        <f t="shared" si="0"/>
        <v>1.6955684007707129E-2</v>
      </c>
      <c r="F8" s="83">
        <f t="shared" si="1"/>
        <v>163.75485934489404</v>
      </c>
      <c r="G8" s="83">
        <f t="shared" si="3"/>
        <v>36.02606905587669</v>
      </c>
      <c r="H8" s="83">
        <f>F8*'92'!$C$20/100</f>
        <v>32.568689923453213</v>
      </c>
      <c r="I8" s="83">
        <f>E8*'матер. тепло'!$F$40</f>
        <v>9.263832977055511</v>
      </c>
      <c r="J8" s="83">
        <f>(F8+G8+H8+I8)/C8*50/100</f>
        <v>0.31278441770613291</v>
      </c>
    </row>
    <row r="9" spans="1:10" x14ac:dyDescent="0.2">
      <c r="A9" s="164">
        <v>7</v>
      </c>
      <c r="B9" s="285" t="s">
        <v>337</v>
      </c>
      <c r="C9" s="330">
        <v>917</v>
      </c>
      <c r="D9" s="339">
        <v>256</v>
      </c>
      <c r="E9" s="83">
        <f t="shared" si="0"/>
        <v>1.6955684007707129E-2</v>
      </c>
      <c r="F9" s="83">
        <f t="shared" si="1"/>
        <v>163.75485934489404</v>
      </c>
      <c r="G9" s="83">
        <f t="shared" si="3"/>
        <v>36.02606905587669</v>
      </c>
      <c r="H9" s="83">
        <f>F9*'92'!$C$20/100</f>
        <v>32.568689923453213</v>
      </c>
      <c r="I9" s="83">
        <f>E9*'матер. тепло'!$F$40</f>
        <v>9.263832977055511</v>
      </c>
      <c r="J9" s="83">
        <f t="shared" si="2"/>
        <v>0.26348249869278018</v>
      </c>
    </row>
    <row r="10" spans="1:10" x14ac:dyDescent="0.2">
      <c r="A10" s="164">
        <v>8</v>
      </c>
      <c r="B10" s="285" t="s">
        <v>338</v>
      </c>
      <c r="C10" s="330">
        <v>354.4</v>
      </c>
      <c r="D10" s="339">
        <v>256</v>
      </c>
      <c r="E10" s="83">
        <f t="shared" si="0"/>
        <v>1.6955684007707129E-2</v>
      </c>
      <c r="F10" s="83">
        <f t="shared" si="1"/>
        <v>163.75485934489404</v>
      </c>
      <c r="G10" s="83">
        <f t="shared" si="3"/>
        <v>36.02606905587669</v>
      </c>
      <c r="H10" s="83">
        <f>F10*'92'!$C$20/100</f>
        <v>32.568689923453213</v>
      </c>
      <c r="I10" s="83">
        <f>E10*'матер. тепло'!$F$40</f>
        <v>9.263832977055511</v>
      </c>
      <c r="J10" s="83">
        <f>(F10+G10+H10+I10)/C10*95/100</f>
        <v>0.64766585422182699</v>
      </c>
    </row>
    <row r="11" spans="1:10" x14ac:dyDescent="0.2">
      <c r="A11" s="164">
        <v>9</v>
      </c>
      <c r="B11" s="285" t="s">
        <v>339</v>
      </c>
      <c r="C11" s="330">
        <v>634.4</v>
      </c>
      <c r="D11" s="339">
        <v>385</v>
      </c>
      <c r="E11" s="83">
        <f t="shared" si="0"/>
        <v>2.5499759152215799E-2</v>
      </c>
      <c r="F11" s="83">
        <f t="shared" si="1"/>
        <v>246.27195643665704</v>
      </c>
      <c r="G11" s="83">
        <f t="shared" si="3"/>
        <v>54.179830416064554</v>
      </c>
      <c r="H11" s="83">
        <f>F11*'92'!$C$20/100</f>
        <v>48.980256330193306</v>
      </c>
      <c r="I11" s="83">
        <f>E11*'матер. тепло'!$F$40</f>
        <v>13.93193631314989</v>
      </c>
      <c r="J11" s="83">
        <f t="shared" si="2"/>
        <v>0.57276793741498233</v>
      </c>
    </row>
    <row r="12" spans="1:10" x14ac:dyDescent="0.2">
      <c r="A12" s="164">
        <v>10</v>
      </c>
      <c r="B12" s="285" t="s">
        <v>340</v>
      </c>
      <c r="C12" s="330">
        <v>637.20000000000005</v>
      </c>
      <c r="D12" s="339">
        <v>385</v>
      </c>
      <c r="E12" s="83">
        <f t="shared" si="0"/>
        <v>2.5499759152215799E-2</v>
      </c>
      <c r="F12" s="83">
        <f t="shared" si="1"/>
        <v>246.27195643665704</v>
      </c>
      <c r="G12" s="83">
        <f t="shared" si="3"/>
        <v>54.179830416064554</v>
      </c>
      <c r="H12" s="83">
        <f>F12*'92'!$C$20/100</f>
        <v>48.980256330193306</v>
      </c>
      <c r="I12" s="83">
        <f>E12*'матер. тепло'!$F$40</f>
        <v>13.93193631314989</v>
      </c>
      <c r="J12" s="83">
        <f t="shared" si="2"/>
        <v>0.57025106637800493</v>
      </c>
    </row>
    <row r="13" spans="1:10" x14ac:dyDescent="0.2">
      <c r="A13" s="164">
        <v>11</v>
      </c>
      <c r="B13" s="285" t="s">
        <v>341</v>
      </c>
      <c r="C13" s="330">
        <v>463.8</v>
      </c>
      <c r="D13" s="339">
        <v>385</v>
      </c>
      <c r="E13" s="83">
        <f t="shared" si="0"/>
        <v>2.5499759152215799E-2</v>
      </c>
      <c r="F13" s="83">
        <f t="shared" si="1"/>
        <v>246.27195643665704</v>
      </c>
      <c r="G13" s="83">
        <f t="shared" si="3"/>
        <v>54.179830416064554</v>
      </c>
      <c r="H13" s="83">
        <f>F13*'92'!$C$20/100</f>
        <v>48.980256330193306</v>
      </c>
      <c r="I13" s="83">
        <f>E13*'матер. тепло'!$F$40</f>
        <v>13.93193631314989</v>
      </c>
      <c r="J13" s="83">
        <f t="shared" si="2"/>
        <v>0.78344971862023449</v>
      </c>
    </row>
    <row r="14" spans="1:10" x14ac:dyDescent="0.2">
      <c r="A14" s="164">
        <v>12</v>
      </c>
      <c r="B14" s="285" t="s">
        <v>342</v>
      </c>
      <c r="C14" s="330">
        <v>633.29999999999995</v>
      </c>
      <c r="D14" s="339">
        <v>385</v>
      </c>
      <c r="E14" s="83">
        <f t="shared" si="0"/>
        <v>2.5499759152215799E-2</v>
      </c>
      <c r="F14" s="83">
        <f t="shared" si="1"/>
        <v>246.27195643665704</v>
      </c>
      <c r="G14" s="83">
        <f t="shared" si="3"/>
        <v>54.179830416064554</v>
      </c>
      <c r="H14" s="83">
        <f>F14*'92'!$C$20/100</f>
        <v>48.980256330193306</v>
      </c>
      <c r="I14" s="83">
        <f>E14*'матер. тепло'!$F$40</f>
        <v>13.93193631314989</v>
      </c>
      <c r="J14" s="83">
        <f t="shared" si="2"/>
        <v>0.5737627972462731</v>
      </c>
    </row>
    <row r="15" spans="1:10" x14ac:dyDescent="0.2">
      <c r="A15" s="164">
        <v>13</v>
      </c>
      <c r="B15" s="285" t="s">
        <v>343</v>
      </c>
      <c r="C15" s="330">
        <v>379.5</v>
      </c>
      <c r="D15" s="339">
        <v>168</v>
      </c>
      <c r="E15" s="83">
        <f t="shared" si="0"/>
        <v>1.1127167630057803E-2</v>
      </c>
      <c r="F15" s="83">
        <f t="shared" si="1"/>
        <v>107.46412644508671</v>
      </c>
      <c r="G15" s="83">
        <f t="shared" si="3"/>
        <v>23.642107817919076</v>
      </c>
      <c r="H15" s="83">
        <f>F15*'92'!$C$20/100</f>
        <v>21.373202762266168</v>
      </c>
      <c r="I15" s="83">
        <f>E15*'матер. тепло'!$F$40</f>
        <v>6.0793903911926792</v>
      </c>
      <c r="J15" s="83">
        <f t="shared" si="2"/>
        <v>0.4178098219142678</v>
      </c>
    </row>
    <row r="16" spans="1:10" x14ac:dyDescent="0.2">
      <c r="A16" s="164">
        <v>14</v>
      </c>
      <c r="B16" s="285" t="s">
        <v>344</v>
      </c>
      <c r="C16" s="330">
        <v>916.4</v>
      </c>
      <c r="D16" s="339">
        <v>446</v>
      </c>
      <c r="E16" s="83">
        <f t="shared" si="0"/>
        <v>2.9539980732177264E-2</v>
      </c>
      <c r="F16" s="83">
        <f t="shared" si="1"/>
        <v>285.29166901493255</v>
      </c>
      <c r="G16" s="83">
        <f t="shared" si="3"/>
        <v>62.76416718328516</v>
      </c>
      <c r="H16" s="83">
        <f>F16*'92'!$C$20/100</f>
        <v>56.740764476016139</v>
      </c>
      <c r="I16" s="83">
        <f>E16*'матер. тепло'!$F$40</f>
        <v>16.139334014713899</v>
      </c>
      <c r="J16" s="83">
        <f t="shared" si="2"/>
        <v>0.4593364629953598</v>
      </c>
    </row>
    <row r="17" spans="1:10" x14ac:dyDescent="0.2">
      <c r="A17" s="164">
        <v>15</v>
      </c>
      <c r="B17" s="285" t="s">
        <v>345</v>
      </c>
      <c r="C17" s="330">
        <v>922.1</v>
      </c>
      <c r="D17" s="339">
        <v>446</v>
      </c>
      <c r="E17" s="83">
        <f t="shared" si="0"/>
        <v>2.9539980732177264E-2</v>
      </c>
      <c r="F17" s="83">
        <f t="shared" si="1"/>
        <v>285.29166901493255</v>
      </c>
      <c r="G17" s="83">
        <f t="shared" si="3"/>
        <v>62.76416718328516</v>
      </c>
      <c r="H17" s="83">
        <f>F17*'92'!$C$20/100</f>
        <v>56.740764476016139</v>
      </c>
      <c r="I17" s="83">
        <f>E17*'матер. тепло'!$F$40</f>
        <v>16.139334014713899</v>
      </c>
      <c r="J17" s="83">
        <f t="shared" si="2"/>
        <v>0.45649705529654888</v>
      </c>
    </row>
    <row r="18" spans="1:10" x14ac:dyDescent="0.2">
      <c r="A18" s="164">
        <v>16</v>
      </c>
      <c r="B18" s="285" t="s">
        <v>346</v>
      </c>
      <c r="C18" s="330">
        <v>490.3</v>
      </c>
      <c r="D18" s="339">
        <v>400</v>
      </c>
      <c r="E18" s="83">
        <f t="shared" si="0"/>
        <v>2.6493256262042391E-2</v>
      </c>
      <c r="F18" s="83">
        <f t="shared" si="1"/>
        <v>255.86696772639695</v>
      </c>
      <c r="G18" s="83">
        <f t="shared" si="3"/>
        <v>56.290732899807324</v>
      </c>
      <c r="H18" s="83">
        <f>F18*'92'!$C$20/100</f>
        <v>50.888578005395651</v>
      </c>
      <c r="I18" s="83">
        <f>E18*'матер. тепло'!$F$40</f>
        <v>14.474739026649239</v>
      </c>
      <c r="J18" s="83">
        <f t="shared" si="2"/>
        <v>0.76997964033907629</v>
      </c>
    </row>
    <row r="19" spans="1:10" x14ac:dyDescent="0.2">
      <c r="A19" s="164">
        <v>17</v>
      </c>
      <c r="B19" s="285" t="s">
        <v>347</v>
      </c>
      <c r="C19" s="330">
        <v>502.4</v>
      </c>
      <c r="D19" s="339">
        <v>400</v>
      </c>
      <c r="E19" s="83">
        <f t="shared" si="0"/>
        <v>2.6493256262042391E-2</v>
      </c>
      <c r="F19" s="83">
        <f t="shared" si="1"/>
        <v>255.86696772639695</v>
      </c>
      <c r="G19" s="83">
        <f t="shared" si="3"/>
        <v>56.290732899807324</v>
      </c>
      <c r="H19" s="83">
        <f>F19*'92'!$C$20/100</f>
        <v>50.888578005395651</v>
      </c>
      <c r="I19" s="83">
        <f>E19*'матер. тепло'!$F$40</f>
        <v>14.474739026649239</v>
      </c>
      <c r="J19" s="83">
        <f t="shared" si="2"/>
        <v>0.75143514661275701</v>
      </c>
    </row>
    <row r="20" spans="1:10" x14ac:dyDescent="0.2">
      <c r="A20" s="164">
        <v>18</v>
      </c>
      <c r="B20" s="285" t="s">
        <v>348</v>
      </c>
      <c r="C20" s="330">
        <v>655.29999999999995</v>
      </c>
      <c r="D20" s="339">
        <v>380</v>
      </c>
      <c r="E20" s="83">
        <f t="shared" ref="E20:E36" si="4">D20/$E$163</f>
        <v>2.516859344894027E-2</v>
      </c>
      <c r="F20" s="83">
        <f t="shared" ref="F20:F36" si="5">E20*$F$163</f>
        <v>243.07361934007707</v>
      </c>
      <c r="G20" s="83">
        <f t="shared" si="3"/>
        <v>53.476196254816962</v>
      </c>
      <c r="H20" s="83">
        <f>F20*'92'!$C$20/100</f>
        <v>48.344149105125865</v>
      </c>
      <c r="I20" s="83">
        <f>E20*'матер. тепло'!$F$40</f>
        <v>13.751002075316777</v>
      </c>
      <c r="J20" s="83">
        <f>((F20+G20+H20+I20)/C20)*86/100</f>
        <v>0.47067705085730127</v>
      </c>
    </row>
    <row r="21" spans="1:10" x14ac:dyDescent="0.2">
      <c r="A21" s="164">
        <v>19</v>
      </c>
      <c r="B21" s="285" t="s">
        <v>349</v>
      </c>
      <c r="C21" s="330">
        <v>663.8</v>
      </c>
      <c r="D21" s="339">
        <v>400</v>
      </c>
      <c r="E21" s="83">
        <f t="shared" si="4"/>
        <v>2.6493256262042391E-2</v>
      </c>
      <c r="F21" s="83">
        <f t="shared" si="5"/>
        <v>255.86696772639695</v>
      </c>
      <c r="G21" s="83">
        <f t="shared" si="3"/>
        <v>56.290732899807324</v>
      </c>
      <c r="H21" s="83">
        <f>F21*'92'!$C$20/100</f>
        <v>50.888578005395651</v>
      </c>
      <c r="I21" s="83">
        <f>E21*'матер. тепло'!$F$40</f>
        <v>14.474739026649239</v>
      </c>
      <c r="J21" s="83">
        <f>((F21+G21+H21+I21)/C21)*80/100</f>
        <v>0.45498164225158072</v>
      </c>
    </row>
    <row r="22" spans="1:10" x14ac:dyDescent="0.2">
      <c r="A22" s="164">
        <v>20</v>
      </c>
      <c r="B22" s="285" t="s">
        <v>350</v>
      </c>
      <c r="C22" s="330">
        <v>679.3</v>
      </c>
      <c r="D22" s="339">
        <v>410</v>
      </c>
      <c r="E22" s="83">
        <f t="shared" si="4"/>
        <v>2.715558766859345E-2</v>
      </c>
      <c r="F22" s="83">
        <f t="shared" si="5"/>
        <v>262.26364191955685</v>
      </c>
      <c r="G22" s="83">
        <f t="shared" si="3"/>
        <v>57.698001222302508</v>
      </c>
      <c r="H22" s="83">
        <f>F22*'92'!$C$20/100</f>
        <v>52.160792455530533</v>
      </c>
      <c r="I22" s="83">
        <f>E22*'матер. тепло'!$F$40</f>
        <v>14.836607502315468</v>
      </c>
      <c r="J22" s="83">
        <f t="shared" si="2"/>
        <v>0.56964381436729783</v>
      </c>
    </row>
    <row r="23" spans="1:10" x14ac:dyDescent="0.2">
      <c r="A23" s="164">
        <v>21</v>
      </c>
      <c r="B23" s="285" t="s">
        <v>351</v>
      </c>
      <c r="C23" s="330">
        <v>828.8</v>
      </c>
      <c r="D23" s="339">
        <v>380</v>
      </c>
      <c r="E23" s="83">
        <f t="shared" si="4"/>
        <v>2.516859344894027E-2</v>
      </c>
      <c r="F23" s="83">
        <f t="shared" si="5"/>
        <v>243.07361934007707</v>
      </c>
      <c r="G23" s="83">
        <f t="shared" si="3"/>
        <v>53.476196254816962</v>
      </c>
      <c r="H23" s="83">
        <f>F23*'92'!$C$20/100</f>
        <v>48.344149105125865</v>
      </c>
      <c r="I23" s="83">
        <f>E23*'матер. тепло'!$F$40</f>
        <v>13.751002075316777</v>
      </c>
      <c r="J23" s="83">
        <f t="shared" si="2"/>
        <v>0.43272800045286758</v>
      </c>
    </row>
    <row r="24" spans="1:10" x14ac:dyDescent="0.2">
      <c r="A24" s="164">
        <v>22</v>
      </c>
      <c r="B24" s="285" t="s">
        <v>352</v>
      </c>
      <c r="C24" s="330">
        <v>1413.6</v>
      </c>
      <c r="D24" s="339">
        <v>530</v>
      </c>
      <c r="E24" s="83">
        <f t="shared" si="4"/>
        <v>3.5103564547206166E-2</v>
      </c>
      <c r="F24" s="83">
        <f t="shared" si="5"/>
        <v>339.02373223747594</v>
      </c>
      <c r="G24" s="83">
        <f t="shared" si="3"/>
        <v>74.585221092244709</v>
      </c>
      <c r="H24" s="83">
        <f>F24*'92'!$C$20/100</f>
        <v>67.427365857149226</v>
      </c>
      <c r="I24" s="83">
        <f>E24*'матер. тепло'!$F$40</f>
        <v>19.17902921031024</v>
      </c>
      <c r="J24" s="83">
        <f t="shared" si="2"/>
        <v>0.35385918817004819</v>
      </c>
    </row>
    <row r="25" spans="1:10" x14ac:dyDescent="0.2">
      <c r="A25" s="164">
        <v>23</v>
      </c>
      <c r="B25" s="285" t="s">
        <v>353</v>
      </c>
      <c r="C25" s="330">
        <v>1478</v>
      </c>
      <c r="D25" s="339">
        <v>632</v>
      </c>
      <c r="E25" s="83">
        <f t="shared" si="4"/>
        <v>4.1859344894026977E-2</v>
      </c>
      <c r="F25" s="83">
        <f t="shared" si="5"/>
        <v>404.26980900770718</v>
      </c>
      <c r="G25" s="83">
        <f t="shared" si="3"/>
        <v>88.939357981695579</v>
      </c>
      <c r="H25" s="83">
        <f>F25*'92'!$C$20/100</f>
        <v>80.403953248525127</v>
      </c>
      <c r="I25" s="83">
        <f>E25*'матер. тепло'!$F$40</f>
        <v>22.870087662105796</v>
      </c>
      <c r="J25" s="83">
        <f t="shared" si="2"/>
        <v>0.40357456556159249</v>
      </c>
    </row>
    <row r="26" spans="1:10" x14ac:dyDescent="0.2">
      <c r="A26" s="164">
        <v>24</v>
      </c>
      <c r="B26" s="285" t="s">
        <v>354</v>
      </c>
      <c r="C26" s="330">
        <v>848.6</v>
      </c>
      <c r="D26" s="339">
        <v>340</v>
      </c>
      <c r="E26" s="83">
        <f t="shared" si="4"/>
        <v>2.2519267822736031E-2</v>
      </c>
      <c r="F26" s="83">
        <f t="shared" si="5"/>
        <v>217.4869225674374</v>
      </c>
      <c r="G26" s="83">
        <f t="shared" si="3"/>
        <v>47.847122964836224</v>
      </c>
      <c r="H26" s="83">
        <f>F26*'92'!$C$20/100</f>
        <v>43.255291304586301</v>
      </c>
      <c r="I26" s="83">
        <f>E26*'матер. тепло'!$F$40</f>
        <v>12.303528172651852</v>
      </c>
      <c r="J26" s="83">
        <f t="shared" si="2"/>
        <v>0.37814384281111452</v>
      </c>
    </row>
    <row r="27" spans="1:10" x14ac:dyDescent="0.2">
      <c r="A27" s="164">
        <v>25</v>
      </c>
      <c r="B27" s="285" t="s">
        <v>355</v>
      </c>
      <c r="C27" s="330">
        <v>834.8</v>
      </c>
      <c r="D27" s="339">
        <v>450</v>
      </c>
      <c r="E27" s="83">
        <f t="shared" si="4"/>
        <v>2.9804913294797689E-2</v>
      </c>
      <c r="F27" s="83">
        <f t="shared" si="5"/>
        <v>287.85033869219654</v>
      </c>
      <c r="G27" s="83">
        <f t="shared" si="3"/>
        <v>63.327074512283247</v>
      </c>
      <c r="H27" s="83">
        <f>F27*'92'!$C$20/100</f>
        <v>57.249650256070097</v>
      </c>
      <c r="I27" s="83">
        <f>E27*'матер. тепло'!$F$40</f>
        <v>16.284081404980391</v>
      </c>
      <c r="J27" s="83">
        <f t="shared" si="2"/>
        <v>0.50875795982933669</v>
      </c>
    </row>
    <row r="28" spans="1:10" x14ac:dyDescent="0.2">
      <c r="A28" s="164">
        <v>26</v>
      </c>
      <c r="B28" s="285" t="s">
        <v>356</v>
      </c>
      <c r="C28" s="330">
        <v>848.8</v>
      </c>
      <c r="D28" s="339">
        <v>410</v>
      </c>
      <c r="E28" s="83">
        <f t="shared" si="4"/>
        <v>2.715558766859345E-2</v>
      </c>
      <c r="F28" s="83">
        <f t="shared" si="5"/>
        <v>262.26364191955685</v>
      </c>
      <c r="G28" s="83">
        <f t="shared" si="3"/>
        <v>57.698001222302508</v>
      </c>
      <c r="H28" s="83">
        <f>F28*'92'!$C$20/100</f>
        <v>52.160792455530533</v>
      </c>
      <c r="I28" s="83">
        <f>E28*'матер. тепло'!$F$40</f>
        <v>14.836607502315468</v>
      </c>
      <c r="J28" s="83">
        <f t="shared" si="2"/>
        <v>0.45588954182340408</v>
      </c>
    </row>
    <row r="29" spans="1:10" x14ac:dyDescent="0.2">
      <c r="A29" s="164">
        <v>27</v>
      </c>
      <c r="B29" s="285" t="s">
        <v>357</v>
      </c>
      <c r="C29" s="330">
        <v>646.76</v>
      </c>
      <c r="D29" s="339">
        <v>335</v>
      </c>
      <c r="E29" s="83">
        <f t="shared" si="4"/>
        <v>2.2188102119460502E-2</v>
      </c>
      <c r="F29" s="83">
        <f t="shared" si="5"/>
        <v>214.28858547085744</v>
      </c>
      <c r="G29" s="83">
        <f t="shared" si="3"/>
        <v>47.143488803588632</v>
      </c>
      <c r="H29" s="83">
        <f>F29*'92'!$C$20/100</f>
        <v>42.619184079518853</v>
      </c>
      <c r="I29" s="83">
        <f>E29*'матер. тепло'!$F$40</f>
        <v>12.122593934818736</v>
      </c>
      <c r="J29" s="83">
        <f t="shared" si="2"/>
        <v>0.48885808072358161</v>
      </c>
    </row>
    <row r="30" spans="1:10" x14ac:dyDescent="0.2">
      <c r="A30" s="164">
        <v>28</v>
      </c>
      <c r="B30" s="285" t="s">
        <v>358</v>
      </c>
      <c r="C30" s="330">
        <v>638.20000000000005</v>
      </c>
      <c r="D30" s="339">
        <v>335</v>
      </c>
      <c r="E30" s="83">
        <f t="shared" si="4"/>
        <v>2.2188102119460502E-2</v>
      </c>
      <c r="F30" s="83">
        <f t="shared" si="5"/>
        <v>214.28858547085744</v>
      </c>
      <c r="G30" s="83">
        <f t="shared" si="3"/>
        <v>47.143488803588632</v>
      </c>
      <c r="H30" s="83">
        <f>F30*'92'!$C$20/100</f>
        <v>42.619184079518853</v>
      </c>
      <c r="I30" s="83">
        <f>E30*'матер. тепло'!$F$40</f>
        <v>12.122593934818736</v>
      </c>
      <c r="J30" s="83">
        <f t="shared" si="2"/>
        <v>0.4954149988855901</v>
      </c>
    </row>
    <row r="31" spans="1:10" x14ac:dyDescent="0.2">
      <c r="A31" s="164">
        <v>29</v>
      </c>
      <c r="B31" s="285" t="s">
        <v>359</v>
      </c>
      <c r="C31" s="330">
        <v>385.2</v>
      </c>
      <c r="D31" s="339">
        <v>198</v>
      </c>
      <c r="E31" s="83">
        <f t="shared" si="4"/>
        <v>1.3114161849710983E-2</v>
      </c>
      <c r="F31" s="83">
        <f t="shared" si="5"/>
        <v>126.65414902456648</v>
      </c>
      <c r="G31" s="83">
        <f t="shared" si="3"/>
        <v>27.863912785404626</v>
      </c>
      <c r="H31" s="83">
        <f>F31*'92'!$C$20/100</f>
        <v>25.189846112670843</v>
      </c>
      <c r="I31" s="83">
        <f>E31*'матер. тепло'!$F$40</f>
        <v>7.1649958181913727</v>
      </c>
      <c r="J31" s="83">
        <f t="shared" si="2"/>
        <v>0.48513214885989958</v>
      </c>
    </row>
    <row r="32" spans="1:10" x14ac:dyDescent="0.2">
      <c r="A32" s="164">
        <v>30</v>
      </c>
      <c r="B32" s="285" t="s">
        <v>360</v>
      </c>
      <c r="C32" s="330">
        <v>398.4</v>
      </c>
      <c r="D32" s="339">
        <v>198</v>
      </c>
      <c r="E32" s="83">
        <f t="shared" si="4"/>
        <v>1.3114161849710983E-2</v>
      </c>
      <c r="F32" s="83">
        <f t="shared" si="5"/>
        <v>126.65414902456648</v>
      </c>
      <c r="G32" s="83">
        <f t="shared" si="3"/>
        <v>27.863912785404626</v>
      </c>
      <c r="H32" s="83">
        <f>F32*'92'!$C$20/100</f>
        <v>25.189846112670843</v>
      </c>
      <c r="I32" s="83">
        <f>E32*'матер. тепло'!$F$40</f>
        <v>7.1649958181913727</v>
      </c>
      <c r="J32" s="83">
        <f t="shared" si="2"/>
        <v>0.46905849332538485</v>
      </c>
    </row>
    <row r="33" spans="1:10" x14ac:dyDescent="0.2">
      <c r="A33" s="164">
        <v>31</v>
      </c>
      <c r="B33" s="285" t="s">
        <v>361</v>
      </c>
      <c r="C33" s="330">
        <v>977.25</v>
      </c>
      <c r="D33" s="339">
        <v>480</v>
      </c>
      <c r="E33" s="83">
        <f t="shared" si="4"/>
        <v>3.1791907514450865E-2</v>
      </c>
      <c r="F33" s="83">
        <f t="shared" si="5"/>
        <v>307.04036127167632</v>
      </c>
      <c r="G33" s="83">
        <f t="shared" si="3"/>
        <v>67.5488794797688</v>
      </c>
      <c r="H33" s="83">
        <f>F33*'92'!$C$20/100</f>
        <v>61.066293606474773</v>
      </c>
      <c r="I33" s="83">
        <f>E33*'матер. тепло'!$F$40</f>
        <v>17.369686831979084</v>
      </c>
      <c r="J33" s="83">
        <f t="shared" si="2"/>
        <v>0.46357147218204042</v>
      </c>
    </row>
    <row r="34" spans="1:10" x14ac:dyDescent="0.2">
      <c r="A34" s="164">
        <v>32</v>
      </c>
      <c r="B34" s="285" t="s">
        <v>362</v>
      </c>
      <c r="C34" s="330">
        <v>796.2</v>
      </c>
      <c r="D34" s="339">
        <v>470</v>
      </c>
      <c r="E34" s="83">
        <f t="shared" si="4"/>
        <v>3.1129576107899806E-2</v>
      </c>
      <c r="F34" s="83">
        <f t="shared" si="5"/>
        <v>300.64368707851639</v>
      </c>
      <c r="G34" s="83">
        <f t="shared" si="3"/>
        <v>66.141611157273616</v>
      </c>
      <c r="H34" s="83">
        <f>F34*'92'!$C$20/100</f>
        <v>59.794079156339883</v>
      </c>
      <c r="I34" s="83">
        <f>E34*'матер. тепло'!$F$40</f>
        <v>17.007818356312853</v>
      </c>
      <c r="J34" s="83">
        <f t="shared" si="2"/>
        <v>0.55713036391414561</v>
      </c>
    </row>
    <row r="35" spans="1:10" x14ac:dyDescent="0.2">
      <c r="A35" s="164">
        <v>33</v>
      </c>
      <c r="B35" s="285" t="s">
        <v>363</v>
      </c>
      <c r="C35" s="330">
        <v>394.3</v>
      </c>
      <c r="D35" s="339">
        <v>180</v>
      </c>
      <c r="E35" s="83">
        <f t="shared" si="4"/>
        <v>1.1921965317919076E-2</v>
      </c>
      <c r="F35" s="83">
        <f t="shared" si="5"/>
        <v>115.14013547687863</v>
      </c>
      <c r="G35" s="83">
        <f t="shared" si="3"/>
        <v>25.330829804913296</v>
      </c>
      <c r="H35" s="83">
        <f>F35*'92'!$C$20/100</f>
        <v>22.899860102428043</v>
      </c>
      <c r="I35" s="83">
        <f>E35*'матер. тепло'!$F$40</f>
        <v>6.5136325619921571</v>
      </c>
      <c r="J35" s="83">
        <f t="shared" ref="J35:J98" si="6">(F35+G35+H35+I35)/C35</f>
        <v>0.43085076831400493</v>
      </c>
    </row>
    <row r="36" spans="1:10" x14ac:dyDescent="0.2">
      <c r="A36" s="164">
        <v>34</v>
      </c>
      <c r="B36" s="285" t="s">
        <v>364</v>
      </c>
      <c r="C36" s="330">
        <v>462.9</v>
      </c>
      <c r="D36" s="339">
        <v>260</v>
      </c>
      <c r="E36" s="83">
        <f t="shared" si="4"/>
        <v>1.7220616570327554E-2</v>
      </c>
      <c r="F36" s="83">
        <f t="shared" si="5"/>
        <v>166.31352902215801</v>
      </c>
      <c r="G36" s="83">
        <f t="shared" si="3"/>
        <v>36.588976384874762</v>
      </c>
      <c r="H36" s="83">
        <f>F36*'92'!$C$20/100</f>
        <v>33.077575703507165</v>
      </c>
      <c r="I36" s="83">
        <f>E36*'матер. тепло'!$F$40</f>
        <v>9.4085803673220045</v>
      </c>
      <c r="J36" s="83">
        <f t="shared" si="6"/>
        <v>0.53011160397032175</v>
      </c>
    </row>
    <row r="37" spans="1:10" ht="12.75" customHeight="1" x14ac:dyDescent="0.2">
      <c r="A37" s="164">
        <v>35</v>
      </c>
      <c r="B37" s="285" t="s">
        <v>365</v>
      </c>
      <c r="C37" s="330">
        <v>411.79</v>
      </c>
      <c r="D37" s="339">
        <v>270</v>
      </c>
      <c r="E37" s="83">
        <f t="shared" ref="E37:E100" si="7">D37/$E$163</f>
        <v>1.7882947976878612E-2</v>
      </c>
      <c r="F37" s="83">
        <f t="shared" ref="F37:F100" si="8">E37*$F$163</f>
        <v>172.71020321531793</v>
      </c>
      <c r="G37" s="83">
        <f t="shared" si="3"/>
        <v>37.996244707369947</v>
      </c>
      <c r="H37" s="83">
        <f>F37*'92'!$C$20/100</f>
        <v>34.349790153642061</v>
      </c>
      <c r="I37" s="83">
        <f>E37*'матер. тепло'!$F$40</f>
        <v>9.7704488429882357</v>
      </c>
      <c r="J37" s="83">
        <f t="shared" si="6"/>
        <v>0.61882679744364399</v>
      </c>
    </row>
    <row r="38" spans="1:10" x14ac:dyDescent="0.2">
      <c r="A38" s="164">
        <v>36</v>
      </c>
      <c r="B38" s="285" t="s">
        <v>366</v>
      </c>
      <c r="C38" s="330">
        <v>674.2</v>
      </c>
      <c r="D38" s="339">
        <v>350</v>
      </c>
      <c r="E38" s="83">
        <f t="shared" si="7"/>
        <v>2.318159922928709E-2</v>
      </c>
      <c r="F38" s="83">
        <f t="shared" si="8"/>
        <v>223.8835967605973</v>
      </c>
      <c r="G38" s="83">
        <f t="shared" si="3"/>
        <v>49.254391287331408</v>
      </c>
      <c r="H38" s="83">
        <f>F38*'92'!$C$20/100</f>
        <v>44.52750575472119</v>
      </c>
      <c r="I38" s="83">
        <f>E38*'матер. тепло'!$F$40</f>
        <v>12.665396648318083</v>
      </c>
      <c r="J38" s="83">
        <f t="shared" si="6"/>
        <v>0.48995979004889945</v>
      </c>
    </row>
    <row r="39" spans="1:10" x14ac:dyDescent="0.2">
      <c r="A39" s="164">
        <v>37</v>
      </c>
      <c r="B39" s="285" t="s">
        <v>367</v>
      </c>
      <c r="C39" s="330">
        <v>169</v>
      </c>
      <c r="D39" s="339">
        <v>100</v>
      </c>
      <c r="E39" s="83">
        <f t="shared" si="7"/>
        <v>6.6233140655105978E-3</v>
      </c>
      <c r="F39" s="83">
        <f t="shared" si="8"/>
        <v>63.966741931599238</v>
      </c>
      <c r="G39" s="83">
        <f t="shared" si="3"/>
        <v>14.072683224951831</v>
      </c>
      <c r="H39" s="83">
        <f>F39*'92'!$C$20/100</f>
        <v>12.722144501348913</v>
      </c>
      <c r="I39" s="83">
        <f>E39*'матер. тепло'!$F$40</f>
        <v>3.6186847566623097</v>
      </c>
      <c r="J39" s="83">
        <f t="shared" si="6"/>
        <v>0.5584630438731496</v>
      </c>
    </row>
    <row r="40" spans="1:10" x14ac:dyDescent="0.2">
      <c r="A40" s="164">
        <v>38</v>
      </c>
      <c r="B40" s="285" t="s">
        <v>368</v>
      </c>
      <c r="C40" s="330">
        <v>175.4</v>
      </c>
      <c r="D40" s="339">
        <v>100</v>
      </c>
      <c r="E40" s="83">
        <f t="shared" si="7"/>
        <v>6.6233140655105978E-3</v>
      </c>
      <c r="F40" s="83">
        <f t="shared" si="8"/>
        <v>63.966741931599238</v>
      </c>
      <c r="G40" s="83">
        <f t="shared" si="3"/>
        <v>14.072683224951831</v>
      </c>
      <c r="H40" s="83">
        <f>F40*'92'!$C$20/100</f>
        <v>12.722144501348913</v>
      </c>
      <c r="I40" s="83">
        <f>E40*'матер. тепло'!$F$40</f>
        <v>3.6186847566623097</v>
      </c>
      <c r="J40" s="83">
        <f t="shared" si="6"/>
        <v>0.53808582904539493</v>
      </c>
    </row>
    <row r="41" spans="1:10" x14ac:dyDescent="0.2">
      <c r="A41" s="164">
        <v>39</v>
      </c>
      <c r="B41" s="285" t="s">
        <v>369</v>
      </c>
      <c r="C41" s="330">
        <v>173.5</v>
      </c>
      <c r="D41" s="339">
        <v>100</v>
      </c>
      <c r="E41" s="83">
        <f t="shared" si="7"/>
        <v>6.6233140655105978E-3</v>
      </c>
      <c r="F41" s="83">
        <f t="shared" si="8"/>
        <v>63.966741931599238</v>
      </c>
      <c r="G41" s="83">
        <f t="shared" si="3"/>
        <v>14.072683224951831</v>
      </c>
      <c r="H41" s="83">
        <f>F41*'92'!$C$20/100</f>
        <v>12.722144501348913</v>
      </c>
      <c r="I41" s="83">
        <f>E41*'матер. тепло'!$F$40</f>
        <v>3.6186847566623097</v>
      </c>
      <c r="J41" s="83">
        <f t="shared" si="6"/>
        <v>0.54397841161130989</v>
      </c>
    </row>
    <row r="42" spans="1:10" x14ac:dyDescent="0.2">
      <c r="A42" s="164">
        <v>40</v>
      </c>
      <c r="B42" s="285" t="s">
        <v>370</v>
      </c>
      <c r="C42" s="330">
        <v>182</v>
      </c>
      <c r="D42" s="339">
        <v>100</v>
      </c>
      <c r="E42" s="83">
        <f t="shared" si="7"/>
        <v>6.6233140655105978E-3</v>
      </c>
      <c r="F42" s="83">
        <f t="shared" si="8"/>
        <v>63.966741931599238</v>
      </c>
      <c r="G42" s="83">
        <f t="shared" si="3"/>
        <v>14.072683224951831</v>
      </c>
      <c r="H42" s="83">
        <f>F42*'92'!$C$20/100</f>
        <v>12.722144501348913</v>
      </c>
      <c r="I42" s="83">
        <f>E42*'матер. тепло'!$F$40</f>
        <v>3.6186847566623097</v>
      </c>
      <c r="J42" s="83">
        <f t="shared" si="6"/>
        <v>0.51857282645363889</v>
      </c>
    </row>
    <row r="43" spans="1:10" x14ac:dyDescent="0.2">
      <c r="A43" s="164">
        <v>41</v>
      </c>
      <c r="B43" s="285" t="s">
        <v>371</v>
      </c>
      <c r="C43" s="330">
        <v>629.6</v>
      </c>
      <c r="D43" s="339">
        <v>180</v>
      </c>
      <c r="E43" s="83">
        <f t="shared" si="7"/>
        <v>1.1921965317919076E-2</v>
      </c>
      <c r="F43" s="83">
        <f t="shared" si="8"/>
        <v>115.14013547687863</v>
      </c>
      <c r="G43" s="83">
        <f t="shared" si="3"/>
        <v>25.330829804913296</v>
      </c>
      <c r="H43" s="83">
        <f>F43*'92'!$C$20/100</f>
        <v>22.899860102428043</v>
      </c>
      <c r="I43" s="83">
        <f>E43*'матер. тепло'!$F$40</f>
        <v>6.5136325619921571</v>
      </c>
      <c r="J43" s="83">
        <f t="shared" si="6"/>
        <v>0.26982918987644877</v>
      </c>
    </row>
    <row r="44" spans="1:10" x14ac:dyDescent="0.2">
      <c r="A44" s="164">
        <v>42</v>
      </c>
      <c r="B44" s="285" t="s">
        <v>372</v>
      </c>
      <c r="C44" s="330">
        <v>628.9</v>
      </c>
      <c r="D44" s="339">
        <v>180</v>
      </c>
      <c r="E44" s="83">
        <f t="shared" si="7"/>
        <v>1.1921965317919076E-2</v>
      </c>
      <c r="F44" s="83">
        <f t="shared" si="8"/>
        <v>115.14013547687863</v>
      </c>
      <c r="G44" s="83">
        <f t="shared" si="3"/>
        <v>25.330829804913296</v>
      </c>
      <c r="H44" s="83">
        <f>F44*'92'!$C$20/100</f>
        <v>22.899860102428043</v>
      </c>
      <c r="I44" s="83">
        <f>E44*'матер. тепло'!$F$40</f>
        <v>6.5136325619921571</v>
      </c>
      <c r="J44" s="83">
        <f t="shared" si="6"/>
        <v>0.27012952448117689</v>
      </c>
    </row>
    <row r="45" spans="1:10" ht="12.75" customHeight="1" x14ac:dyDescent="0.2">
      <c r="A45" s="164">
        <v>43</v>
      </c>
      <c r="B45" s="285" t="s">
        <v>373</v>
      </c>
      <c r="C45" s="330">
        <v>509.3</v>
      </c>
      <c r="D45" s="339">
        <v>180</v>
      </c>
      <c r="E45" s="83">
        <f t="shared" si="7"/>
        <v>1.1921965317919076E-2</v>
      </c>
      <c r="F45" s="83">
        <f t="shared" si="8"/>
        <v>115.14013547687863</v>
      </c>
      <c r="G45" s="83">
        <f t="shared" si="3"/>
        <v>25.330829804913296</v>
      </c>
      <c r="H45" s="83">
        <f>F45*'92'!$C$20/100</f>
        <v>22.899860102428043</v>
      </c>
      <c r="I45" s="83">
        <f>E45*'матер. тепло'!$F$40</f>
        <v>6.5136325619921571</v>
      </c>
      <c r="J45" s="83">
        <f t="shared" si="6"/>
        <v>0.33356461407070909</v>
      </c>
    </row>
    <row r="46" spans="1:10" x14ac:dyDescent="0.2">
      <c r="A46" s="164">
        <v>44</v>
      </c>
      <c r="B46" s="285" t="s">
        <v>374</v>
      </c>
      <c r="C46" s="330">
        <v>404.4</v>
      </c>
      <c r="D46" s="339">
        <v>196</v>
      </c>
      <c r="E46" s="83">
        <f t="shared" si="7"/>
        <v>1.2981695568400771E-2</v>
      </c>
      <c r="F46" s="83">
        <f t="shared" si="8"/>
        <v>125.3748141859345</v>
      </c>
      <c r="G46" s="83">
        <f t="shared" si="3"/>
        <v>27.582459120905586</v>
      </c>
      <c r="H46" s="83">
        <f>F46*'92'!$C$20/100</f>
        <v>24.935403222643867</v>
      </c>
      <c r="I46" s="83">
        <f>E46*'матер. тепло'!$F$40</f>
        <v>7.0926221230581259</v>
      </c>
      <c r="J46" s="83">
        <f t="shared" si="6"/>
        <v>0.45743150012992601</v>
      </c>
    </row>
    <row r="47" spans="1:10" x14ac:dyDescent="0.2">
      <c r="A47" s="164">
        <v>45</v>
      </c>
      <c r="B47" s="285" t="s">
        <v>375</v>
      </c>
      <c r="C47" s="330">
        <v>409.8</v>
      </c>
      <c r="D47" s="339">
        <v>251</v>
      </c>
      <c r="E47" s="83">
        <f t="shared" si="7"/>
        <v>1.6624518304431599E-2</v>
      </c>
      <c r="F47" s="83">
        <f t="shared" si="8"/>
        <v>160.55652224831408</v>
      </c>
      <c r="G47" s="83">
        <f t="shared" si="3"/>
        <v>35.322434894629097</v>
      </c>
      <c r="H47" s="83">
        <f>F47*'92'!$C$20/100</f>
        <v>31.932582698385769</v>
      </c>
      <c r="I47" s="83">
        <f>E47*'матер. тепло'!$F$40</f>
        <v>9.0828987392223972</v>
      </c>
      <c r="J47" s="83">
        <f t="shared" si="6"/>
        <v>0.57807330058699702</v>
      </c>
    </row>
    <row r="48" spans="1:10" x14ac:dyDescent="0.2">
      <c r="A48" s="164">
        <v>46</v>
      </c>
      <c r="B48" s="285" t="s">
        <v>376</v>
      </c>
      <c r="C48" s="330">
        <v>374.7</v>
      </c>
      <c r="D48" s="339">
        <v>164</v>
      </c>
      <c r="E48" s="83">
        <f t="shared" si="7"/>
        <v>1.086223506743738E-2</v>
      </c>
      <c r="F48" s="83">
        <f t="shared" si="8"/>
        <v>104.90545676782274</v>
      </c>
      <c r="G48" s="83">
        <f t="shared" si="3"/>
        <v>23.079200488921</v>
      </c>
      <c r="H48" s="83">
        <f>F48*'92'!$C$20/100</f>
        <v>20.864316982212213</v>
      </c>
      <c r="I48" s="83">
        <f>E48*'матер. тепло'!$F$40</f>
        <v>5.9346430009261875</v>
      </c>
      <c r="J48" s="83">
        <f t="shared" si="6"/>
        <v>0.413086782065338</v>
      </c>
    </row>
    <row r="49" spans="1:10" x14ac:dyDescent="0.2">
      <c r="A49" s="164">
        <v>47</v>
      </c>
      <c r="B49" s="285" t="s">
        <v>377</v>
      </c>
      <c r="C49" s="330">
        <v>618.4</v>
      </c>
      <c r="D49" s="339">
        <v>248</v>
      </c>
      <c r="E49" s="83">
        <f t="shared" si="7"/>
        <v>1.6425818882466282E-2</v>
      </c>
      <c r="F49" s="83">
        <f t="shared" si="8"/>
        <v>158.63751999036612</v>
      </c>
      <c r="G49" s="83">
        <f t="shared" si="3"/>
        <v>34.900254397880545</v>
      </c>
      <c r="H49" s="83">
        <f>F49*'92'!$C$20/100</f>
        <v>31.550918363345303</v>
      </c>
      <c r="I49" s="83">
        <f>E49*'матер. тепло'!$F$40</f>
        <v>8.9743381965225275</v>
      </c>
      <c r="J49" s="83">
        <f t="shared" si="6"/>
        <v>0.37849778613860691</v>
      </c>
    </row>
    <row r="50" spans="1:10" x14ac:dyDescent="0.2">
      <c r="A50" s="164">
        <v>48</v>
      </c>
      <c r="B50" s="285" t="s">
        <v>378</v>
      </c>
      <c r="C50" s="330">
        <v>1126.3</v>
      </c>
      <c r="D50" s="339">
        <v>596</v>
      </c>
      <c r="E50" s="83">
        <f t="shared" si="7"/>
        <v>3.947495183044316E-2</v>
      </c>
      <c r="F50" s="83">
        <f t="shared" si="8"/>
        <v>381.24178191233142</v>
      </c>
      <c r="G50" s="83">
        <f t="shared" si="3"/>
        <v>83.873192020712906</v>
      </c>
      <c r="H50" s="83">
        <f>F50*'92'!$C$20/100</f>
        <v>75.823981228039514</v>
      </c>
      <c r="I50" s="83">
        <f>E50*'матер. тепло'!$F$40</f>
        <v>21.567361149707363</v>
      </c>
      <c r="J50" s="83">
        <f t="shared" si="6"/>
        <v>0.4994284971240267</v>
      </c>
    </row>
    <row r="51" spans="1:10" x14ac:dyDescent="0.2">
      <c r="A51" s="164">
        <v>49</v>
      </c>
      <c r="B51" s="285" t="s">
        <v>379</v>
      </c>
      <c r="C51" s="330">
        <v>617</v>
      </c>
      <c r="D51" s="339">
        <v>250</v>
      </c>
      <c r="E51" s="83">
        <f t="shared" si="7"/>
        <v>1.6558285163776495E-2</v>
      </c>
      <c r="F51" s="83">
        <f t="shared" si="8"/>
        <v>159.91685482899808</v>
      </c>
      <c r="G51" s="83">
        <f t="shared" si="3"/>
        <v>35.181708062379577</v>
      </c>
      <c r="H51" s="83">
        <f>F51*'92'!$C$20/100</f>
        <v>31.805361253372276</v>
      </c>
      <c r="I51" s="83">
        <f>E51*'матер. тепло'!$F$40</f>
        <v>9.0467118916557734</v>
      </c>
      <c r="J51" s="83">
        <f t="shared" si="6"/>
        <v>0.38241594171216486</v>
      </c>
    </row>
    <row r="52" spans="1:10" x14ac:dyDescent="0.2">
      <c r="A52" s="164">
        <v>50</v>
      </c>
      <c r="B52" s="285" t="s">
        <v>380</v>
      </c>
      <c r="C52" s="330">
        <v>452</v>
      </c>
      <c r="D52" s="339">
        <v>250</v>
      </c>
      <c r="E52" s="83">
        <f t="shared" si="7"/>
        <v>1.6558285163776495E-2</v>
      </c>
      <c r="F52" s="83">
        <f t="shared" si="8"/>
        <v>159.91685482899808</v>
      </c>
      <c r="G52" s="83">
        <f t="shared" si="3"/>
        <v>35.181708062379577</v>
      </c>
      <c r="H52" s="83">
        <f>F52*'92'!$C$20/100</f>
        <v>31.805361253372276</v>
      </c>
      <c r="I52" s="83">
        <f>E52*'матер. тепло'!$F$40</f>
        <v>9.0467118916557734</v>
      </c>
      <c r="J52" s="83">
        <f t="shared" si="6"/>
        <v>0.52201468149647279</v>
      </c>
    </row>
    <row r="53" spans="1:10" x14ac:dyDescent="0.2">
      <c r="A53" s="164">
        <v>51</v>
      </c>
      <c r="B53" s="285" t="s">
        <v>381</v>
      </c>
      <c r="C53" s="330">
        <v>1245.5999999999999</v>
      </c>
      <c r="D53" s="339">
        <v>452</v>
      </c>
      <c r="E53" s="83">
        <f t="shared" si="7"/>
        <v>2.9937379576107901E-2</v>
      </c>
      <c r="F53" s="83">
        <f t="shared" si="8"/>
        <v>289.12967353082854</v>
      </c>
      <c r="G53" s="83">
        <f t="shared" si="3"/>
        <v>63.608528176782272</v>
      </c>
      <c r="H53" s="83">
        <f>F53*'92'!$C$20/100</f>
        <v>57.504093146097077</v>
      </c>
      <c r="I53" s="83">
        <f>E53*'матер. тепло'!$F$40</f>
        <v>16.356455100113639</v>
      </c>
      <c r="J53" s="83">
        <f t="shared" si="6"/>
        <v>0.34248454556344055</v>
      </c>
    </row>
    <row r="54" spans="1:10" x14ac:dyDescent="0.2">
      <c r="A54" s="164">
        <v>52</v>
      </c>
      <c r="B54" s="285" t="s">
        <v>382</v>
      </c>
      <c r="C54" s="330">
        <v>1275.5999999999999</v>
      </c>
      <c r="D54" s="339">
        <v>455</v>
      </c>
      <c r="E54" s="83">
        <f t="shared" si="7"/>
        <v>3.0136078998073218E-2</v>
      </c>
      <c r="F54" s="83">
        <f t="shared" si="8"/>
        <v>291.04867578877651</v>
      </c>
      <c r="G54" s="83">
        <f t="shared" si="3"/>
        <v>64.030708673530839</v>
      </c>
      <c r="H54" s="83">
        <f>F54*'92'!$C$20/100</f>
        <v>57.885757481137546</v>
      </c>
      <c r="I54" s="83">
        <f>E54*'матер. тепло'!$F$40</f>
        <v>16.465015642813508</v>
      </c>
      <c r="J54" s="83">
        <f t="shared" si="6"/>
        <v>0.33664954341976988</v>
      </c>
    </row>
    <row r="55" spans="1:10" x14ac:dyDescent="0.2">
      <c r="A55" s="164">
        <v>53</v>
      </c>
      <c r="B55" s="285" t="s">
        <v>383</v>
      </c>
      <c r="C55" s="330">
        <v>942.4</v>
      </c>
      <c r="D55" s="339">
        <v>180</v>
      </c>
      <c r="E55" s="83">
        <f t="shared" si="7"/>
        <v>1.1921965317919076E-2</v>
      </c>
      <c r="F55" s="83">
        <f t="shared" si="8"/>
        <v>115.14013547687863</v>
      </c>
      <c r="G55" s="83">
        <f t="shared" si="3"/>
        <v>25.330829804913296</v>
      </c>
      <c r="H55" s="83">
        <f>F55*'92'!$C$20/100</f>
        <v>22.899860102428043</v>
      </c>
      <c r="I55" s="83">
        <f>E55*'матер. тепло'!$F$40</f>
        <v>6.5136325619921571</v>
      </c>
      <c r="J55" s="83">
        <f t="shared" si="6"/>
        <v>0.18026788831304344</v>
      </c>
    </row>
    <row r="56" spans="1:10" x14ac:dyDescent="0.2">
      <c r="A56" s="164">
        <v>54</v>
      </c>
      <c r="B56" s="285" t="s">
        <v>384</v>
      </c>
      <c r="C56" s="330">
        <v>567.95000000000005</v>
      </c>
      <c r="D56" s="339">
        <v>310</v>
      </c>
      <c r="E56" s="83">
        <f t="shared" si="7"/>
        <v>2.0532273603082851E-2</v>
      </c>
      <c r="F56" s="83">
        <f t="shared" si="8"/>
        <v>198.29689998795763</v>
      </c>
      <c r="G56" s="83">
        <f t="shared" si="3"/>
        <v>43.625317997350678</v>
      </c>
      <c r="H56" s="83">
        <f>F56*'92'!$C$20/100</f>
        <v>39.438647954181626</v>
      </c>
      <c r="I56" s="83">
        <f>E56*'матер. тепло'!$F$40</f>
        <v>11.217922745653159</v>
      </c>
      <c r="J56" s="83">
        <f t="shared" si="6"/>
        <v>0.51514884881616874</v>
      </c>
    </row>
    <row r="57" spans="1:10" x14ac:dyDescent="0.2">
      <c r="A57" s="164">
        <v>55</v>
      </c>
      <c r="B57" s="285" t="s">
        <v>385</v>
      </c>
      <c r="C57" s="330">
        <v>1119.5999999999999</v>
      </c>
      <c r="D57" s="339">
        <v>680</v>
      </c>
      <c r="E57" s="83">
        <f t="shared" si="7"/>
        <v>4.5038535645472062E-2</v>
      </c>
      <c r="F57" s="83">
        <f t="shared" si="8"/>
        <v>434.97384513487481</v>
      </c>
      <c r="G57" s="83">
        <f t="shared" si="3"/>
        <v>95.694245929672448</v>
      </c>
      <c r="H57" s="83">
        <f>F57*'92'!$C$20/100</f>
        <v>86.510582609172602</v>
      </c>
      <c r="I57" s="83">
        <f>E57*'матер. тепло'!$F$40</f>
        <v>24.607056345303704</v>
      </c>
      <c r="J57" s="83">
        <f t="shared" si="6"/>
        <v>0.57322769740891721</v>
      </c>
    </row>
    <row r="58" spans="1:10" x14ac:dyDescent="0.2">
      <c r="A58" s="164">
        <v>56</v>
      </c>
      <c r="B58" s="285" t="s">
        <v>386</v>
      </c>
      <c r="C58" s="330">
        <v>946.6</v>
      </c>
      <c r="D58" s="339">
        <v>680</v>
      </c>
      <c r="E58" s="83">
        <f t="shared" si="7"/>
        <v>4.5038535645472062E-2</v>
      </c>
      <c r="F58" s="83">
        <f t="shared" si="8"/>
        <v>434.97384513487481</v>
      </c>
      <c r="G58" s="83">
        <f t="shared" si="3"/>
        <v>95.694245929672448</v>
      </c>
      <c r="H58" s="83">
        <f>F58*'92'!$C$20/100</f>
        <v>86.510582609172602</v>
      </c>
      <c r="I58" s="83">
        <f>E58*'матер. тепло'!$F$40</f>
        <v>24.607056345303704</v>
      </c>
      <c r="J58" s="83">
        <f>((F58+G58+H58+I58)/C58)*50/100</f>
        <v>0.33899520917970816</v>
      </c>
    </row>
    <row r="59" spans="1:10" x14ac:dyDescent="0.2">
      <c r="A59" s="164">
        <v>57</v>
      </c>
      <c r="B59" s="285" t="s">
        <v>387</v>
      </c>
      <c r="C59" s="330">
        <v>1375.7</v>
      </c>
      <c r="D59" s="339">
        <v>500</v>
      </c>
      <c r="E59" s="83">
        <f t="shared" si="7"/>
        <v>3.311657032755299E-2</v>
      </c>
      <c r="F59" s="83">
        <f t="shared" si="8"/>
        <v>319.83370965799617</v>
      </c>
      <c r="G59" s="83">
        <f t="shared" si="3"/>
        <v>70.363416124759155</v>
      </c>
      <c r="H59" s="83">
        <f>F59*'92'!$C$20/100</f>
        <v>63.610722506744551</v>
      </c>
      <c r="I59" s="83">
        <f>E59*'матер. тепло'!$F$40</f>
        <v>18.093423783311547</v>
      </c>
      <c r="J59" s="83">
        <f t="shared" si="6"/>
        <v>0.34302629357622405</v>
      </c>
    </row>
    <row r="60" spans="1:10" x14ac:dyDescent="0.2">
      <c r="A60" s="164">
        <v>58</v>
      </c>
      <c r="B60" s="285" t="s">
        <v>388</v>
      </c>
      <c r="C60" s="330">
        <v>1540.17</v>
      </c>
      <c r="D60" s="339">
        <v>1020</v>
      </c>
      <c r="E60" s="83">
        <f t="shared" si="7"/>
        <v>6.7557803468208097E-2</v>
      </c>
      <c r="F60" s="83">
        <f t="shared" si="8"/>
        <v>652.46076770231218</v>
      </c>
      <c r="G60" s="83">
        <f t="shared" si="3"/>
        <v>143.54136889450868</v>
      </c>
      <c r="H60" s="83">
        <f>F60*'92'!$C$20/100</f>
        <v>129.7658739137589</v>
      </c>
      <c r="I60" s="83">
        <f>E60*'матер. тепло'!$F$40</f>
        <v>36.910584517955556</v>
      </c>
      <c r="J60" s="83">
        <f t="shared" si="6"/>
        <v>0.62504697210602411</v>
      </c>
    </row>
    <row r="61" spans="1:10" x14ac:dyDescent="0.2">
      <c r="A61" s="164">
        <v>59</v>
      </c>
      <c r="B61" s="285" t="s">
        <v>389</v>
      </c>
      <c r="C61" s="330">
        <v>1571.33</v>
      </c>
      <c r="D61" s="339">
        <v>1020</v>
      </c>
      <c r="E61" s="83">
        <f t="shared" si="7"/>
        <v>6.7557803468208097E-2</v>
      </c>
      <c r="F61" s="83">
        <f t="shared" si="8"/>
        <v>652.46076770231218</v>
      </c>
      <c r="G61" s="83">
        <f t="shared" si="3"/>
        <v>143.54136889450868</v>
      </c>
      <c r="H61" s="83">
        <f>F61*'92'!$C$20/100</f>
        <v>129.7658739137589</v>
      </c>
      <c r="I61" s="83">
        <f>E61*'матер. тепло'!$F$40</f>
        <v>36.910584517955556</v>
      </c>
      <c r="J61" s="83">
        <f t="shared" si="6"/>
        <v>0.61265208137599059</v>
      </c>
    </row>
    <row r="62" spans="1:10" x14ac:dyDescent="0.2">
      <c r="A62" s="164">
        <v>60</v>
      </c>
      <c r="B62" s="285" t="s">
        <v>390</v>
      </c>
      <c r="C62" s="330">
        <v>1686.29</v>
      </c>
      <c r="D62" s="339">
        <v>398</v>
      </c>
      <c r="E62" s="83">
        <f t="shared" si="7"/>
        <v>2.6360789980732179E-2</v>
      </c>
      <c r="F62" s="83">
        <f t="shared" si="8"/>
        <v>254.58763288776495</v>
      </c>
      <c r="G62" s="83">
        <f t="shared" si="3"/>
        <v>56.009279235308284</v>
      </c>
      <c r="H62" s="83">
        <f>F62*'92'!$C$20/100</f>
        <v>50.634135115368665</v>
      </c>
      <c r="I62" s="83">
        <f>E62*'матер. тепло'!$F$40</f>
        <v>14.402365331515991</v>
      </c>
      <c r="J62" s="83">
        <f t="shared" si="6"/>
        <v>0.2227573030557958</v>
      </c>
    </row>
    <row r="63" spans="1:10" x14ac:dyDescent="0.2">
      <c r="A63" s="164">
        <v>61</v>
      </c>
      <c r="B63" s="285" t="s">
        <v>391</v>
      </c>
      <c r="C63" s="330">
        <v>454.2</v>
      </c>
      <c r="D63" s="339">
        <v>250</v>
      </c>
      <c r="E63" s="83">
        <f t="shared" si="7"/>
        <v>1.6558285163776495E-2</v>
      </c>
      <c r="F63" s="83">
        <f t="shared" si="8"/>
        <v>159.91685482899808</v>
      </c>
      <c r="G63" s="83">
        <f t="shared" si="3"/>
        <v>35.181708062379577</v>
      </c>
      <c r="H63" s="83">
        <f>F63*'92'!$C$20/100</f>
        <v>31.805361253372276</v>
      </c>
      <c r="I63" s="83">
        <f>E63*'матер. тепло'!$F$40</f>
        <v>9.0467118916557734</v>
      </c>
      <c r="J63" s="83">
        <f t="shared" si="6"/>
        <v>0.5194862087987796</v>
      </c>
    </row>
    <row r="64" spans="1:10" x14ac:dyDescent="0.2">
      <c r="A64" s="164">
        <v>62</v>
      </c>
      <c r="B64" s="285" t="s">
        <v>392</v>
      </c>
      <c r="C64" s="330">
        <v>752.4</v>
      </c>
      <c r="D64" s="339">
        <v>362</v>
      </c>
      <c r="E64" s="83">
        <f t="shared" si="7"/>
        <v>2.3976396917148361E-2</v>
      </c>
      <c r="F64" s="83">
        <f t="shared" si="8"/>
        <v>231.55960579238922</v>
      </c>
      <c r="G64" s="83">
        <f t="shared" si="3"/>
        <v>50.943113274325626</v>
      </c>
      <c r="H64" s="83">
        <f>F64*'92'!$C$20/100</f>
        <v>46.054163094883059</v>
      </c>
      <c r="I64" s="83">
        <f>E64*'матер. тепло'!$F$40</f>
        <v>13.09963881911756</v>
      </c>
      <c r="J64" s="83">
        <f t="shared" si="6"/>
        <v>0.45408894335554956</v>
      </c>
    </row>
    <row r="65" spans="1:10" x14ac:dyDescent="0.2">
      <c r="A65" s="164">
        <v>63</v>
      </c>
      <c r="B65" s="285" t="s">
        <v>393</v>
      </c>
      <c r="C65" s="330">
        <v>956.4</v>
      </c>
      <c r="D65" s="339">
        <v>514</v>
      </c>
      <c r="E65" s="83">
        <f t="shared" si="7"/>
        <v>3.4043834296724473E-2</v>
      </c>
      <c r="F65" s="83">
        <f t="shared" si="8"/>
        <v>328.78905352842008</v>
      </c>
      <c r="G65" s="83">
        <f t="shared" si="3"/>
        <v>72.333591776252419</v>
      </c>
      <c r="H65" s="83">
        <f>F65*'92'!$C$20/100</f>
        <v>65.391822736933406</v>
      </c>
      <c r="I65" s="83">
        <f>E65*'матер. тепло'!$F$40</f>
        <v>18.600039649244273</v>
      </c>
      <c r="J65" s="83">
        <f t="shared" si="6"/>
        <v>0.50722972364162511</v>
      </c>
    </row>
    <row r="66" spans="1:10" x14ac:dyDescent="0.2">
      <c r="A66" s="164">
        <v>64</v>
      </c>
      <c r="B66" s="285" t="s">
        <v>394</v>
      </c>
      <c r="C66" s="330">
        <v>955.5</v>
      </c>
      <c r="D66" s="339">
        <v>386</v>
      </c>
      <c r="E66" s="83">
        <f t="shared" si="7"/>
        <v>2.5565992292870907E-2</v>
      </c>
      <c r="F66" s="83">
        <f t="shared" si="8"/>
        <v>246.91162385597306</v>
      </c>
      <c r="G66" s="83">
        <f t="shared" si="3"/>
        <v>54.320557248314074</v>
      </c>
      <c r="H66" s="83">
        <f>F66*'92'!$C$20/100</f>
        <v>49.107477775206796</v>
      </c>
      <c r="I66" s="83">
        <f>E66*'матер. тепло'!$F$40</f>
        <v>13.968123160716516</v>
      </c>
      <c r="J66" s="83">
        <f t="shared" si="6"/>
        <v>0.38127449716400885</v>
      </c>
    </row>
    <row r="67" spans="1:10" x14ac:dyDescent="0.2">
      <c r="A67" s="164">
        <v>65</v>
      </c>
      <c r="B67" s="285" t="s">
        <v>395</v>
      </c>
      <c r="C67" s="330">
        <v>1548.5</v>
      </c>
      <c r="D67" s="339">
        <v>1024</v>
      </c>
      <c r="E67" s="83">
        <f t="shared" si="7"/>
        <v>6.7822736030828515E-2</v>
      </c>
      <c r="F67" s="83">
        <f t="shared" si="8"/>
        <v>655.01943737957617</v>
      </c>
      <c r="G67" s="83">
        <f t="shared" si="3"/>
        <v>144.10427622350676</v>
      </c>
      <c r="H67" s="83">
        <f>F67*'92'!$C$20/100</f>
        <v>130.27475969381285</v>
      </c>
      <c r="I67" s="83">
        <f>E67*'матер. тепло'!$F$40</f>
        <v>37.055331908222044</v>
      </c>
      <c r="J67" s="83">
        <f t="shared" si="6"/>
        <v>0.6241225735906476</v>
      </c>
    </row>
    <row r="68" spans="1:10" x14ac:dyDescent="0.2">
      <c r="A68" s="164">
        <v>66</v>
      </c>
      <c r="B68" s="285" t="s">
        <v>396</v>
      </c>
      <c r="C68" s="330">
        <v>1567.3</v>
      </c>
      <c r="D68" s="339">
        <v>1024</v>
      </c>
      <c r="E68" s="83">
        <f t="shared" si="7"/>
        <v>6.7822736030828515E-2</v>
      </c>
      <c r="F68" s="83">
        <f t="shared" si="8"/>
        <v>655.01943737957617</v>
      </c>
      <c r="G68" s="83">
        <f t="shared" ref="G68:G131" si="9">F68*22/100</f>
        <v>144.10427622350676</v>
      </c>
      <c r="H68" s="83">
        <f>F68*'92'!$C$20/100</f>
        <v>130.27475969381285</v>
      </c>
      <c r="I68" s="83">
        <f>E68*'матер. тепло'!$F$40</f>
        <v>37.055331908222044</v>
      </c>
      <c r="J68" s="83">
        <f t="shared" si="6"/>
        <v>0.61663612914254951</v>
      </c>
    </row>
    <row r="69" spans="1:10" x14ac:dyDescent="0.2">
      <c r="A69" s="164">
        <v>67</v>
      </c>
      <c r="B69" s="285" t="s">
        <v>397</v>
      </c>
      <c r="C69" s="330">
        <v>1558.46</v>
      </c>
      <c r="D69" s="339">
        <v>1028</v>
      </c>
      <c r="E69" s="83">
        <f t="shared" si="7"/>
        <v>6.8087668593448947E-2</v>
      </c>
      <c r="F69" s="83">
        <f t="shared" si="8"/>
        <v>657.57810705684017</v>
      </c>
      <c r="G69" s="83">
        <f t="shared" si="9"/>
        <v>144.66718355250484</v>
      </c>
      <c r="H69" s="83">
        <f>F69*'92'!$C$20/100</f>
        <v>130.78364547386681</v>
      </c>
      <c r="I69" s="83">
        <f>E69*'матер. тепло'!$F$40</f>
        <v>37.200079298488546</v>
      </c>
      <c r="J69" s="83">
        <f>((F69+G69+H69+I69)/C69)*50/100</f>
        <v>0.31127812564380875</v>
      </c>
    </row>
    <row r="70" spans="1:10" x14ac:dyDescent="0.2">
      <c r="A70" s="164">
        <v>68</v>
      </c>
      <c r="B70" s="285" t="s">
        <v>398</v>
      </c>
      <c r="C70" s="330">
        <v>1575.7</v>
      </c>
      <c r="D70" s="339">
        <v>1023</v>
      </c>
      <c r="E70" s="83">
        <f t="shared" si="7"/>
        <v>6.7756502890173417E-2</v>
      </c>
      <c r="F70" s="83">
        <f t="shared" si="8"/>
        <v>654.37976996026021</v>
      </c>
      <c r="G70" s="83">
        <f t="shared" si="9"/>
        <v>143.96354939125723</v>
      </c>
      <c r="H70" s="83">
        <f>F70*'92'!$C$20/100</f>
        <v>130.14753824879938</v>
      </c>
      <c r="I70" s="83">
        <f>E70*'матер. тепло'!$F$40</f>
        <v>37.019145060655426</v>
      </c>
      <c r="J70" s="83">
        <f t="shared" si="6"/>
        <v>0.61274989062700536</v>
      </c>
    </row>
    <row r="71" spans="1:10" x14ac:dyDescent="0.2">
      <c r="A71" s="164">
        <v>69</v>
      </c>
      <c r="B71" s="285" t="s">
        <v>399</v>
      </c>
      <c r="C71" s="330">
        <v>1546.3</v>
      </c>
      <c r="D71" s="339">
        <v>1024</v>
      </c>
      <c r="E71" s="83">
        <f t="shared" si="7"/>
        <v>6.7822736030828515E-2</v>
      </c>
      <c r="F71" s="83">
        <f t="shared" si="8"/>
        <v>655.01943737957617</v>
      </c>
      <c r="G71" s="83">
        <f t="shared" si="9"/>
        <v>144.10427622350676</v>
      </c>
      <c r="H71" s="83">
        <f>F71*'92'!$C$20/100</f>
        <v>130.27475969381285</v>
      </c>
      <c r="I71" s="83">
        <f>E71*'матер. тепло'!$F$40</f>
        <v>37.055331908222044</v>
      </c>
      <c r="J71" s="83">
        <f t="shared" si="6"/>
        <v>0.62501054465829253</v>
      </c>
    </row>
    <row r="72" spans="1:10" x14ac:dyDescent="0.2">
      <c r="A72" s="164">
        <v>70</v>
      </c>
      <c r="B72" s="285" t="s">
        <v>400</v>
      </c>
      <c r="C72" s="330">
        <v>563.1</v>
      </c>
      <c r="D72" s="339">
        <v>180</v>
      </c>
      <c r="E72" s="83">
        <f t="shared" si="7"/>
        <v>1.1921965317919076E-2</v>
      </c>
      <c r="F72" s="83">
        <f t="shared" si="8"/>
        <v>115.14013547687863</v>
      </c>
      <c r="G72" s="83">
        <f t="shared" si="9"/>
        <v>25.330829804913296</v>
      </c>
      <c r="H72" s="83">
        <f>F72*'92'!$C$20/100</f>
        <v>22.899860102428043</v>
      </c>
      <c r="I72" s="83">
        <f>E72*'матер. тепло'!$F$40</f>
        <v>6.5136325619921571</v>
      </c>
      <c r="J72" s="83">
        <f t="shared" si="6"/>
        <v>0.30169500612007127</v>
      </c>
    </row>
    <row r="73" spans="1:10" x14ac:dyDescent="0.2">
      <c r="A73" s="164">
        <v>71</v>
      </c>
      <c r="B73" s="285" t="s">
        <v>401</v>
      </c>
      <c r="C73" s="330">
        <v>549.6</v>
      </c>
      <c r="D73" s="339">
        <v>320</v>
      </c>
      <c r="E73" s="83">
        <f t="shared" si="7"/>
        <v>2.119460500963391E-2</v>
      </c>
      <c r="F73" s="83">
        <f t="shared" si="8"/>
        <v>204.69357418111753</v>
      </c>
      <c r="G73" s="83">
        <f t="shared" si="9"/>
        <v>45.032586319845862</v>
      </c>
      <c r="H73" s="83">
        <f>F73*'92'!$C$20/100</f>
        <v>40.710862404316515</v>
      </c>
      <c r="I73" s="83">
        <f>E73*'матер. тепло'!$F$40</f>
        <v>11.57979122131939</v>
      </c>
      <c r="J73" s="83">
        <f t="shared" si="6"/>
        <v>0.54952113196251684</v>
      </c>
    </row>
    <row r="74" spans="1:10" x14ac:dyDescent="0.2">
      <c r="A74" s="164">
        <v>72</v>
      </c>
      <c r="B74" s="285" t="s">
        <v>402</v>
      </c>
      <c r="C74" s="330">
        <v>983</v>
      </c>
      <c r="D74" s="339">
        <v>322</v>
      </c>
      <c r="E74" s="83">
        <f t="shared" si="7"/>
        <v>2.1327071290944122E-2</v>
      </c>
      <c r="F74" s="83">
        <f t="shared" si="8"/>
        <v>205.97290901974952</v>
      </c>
      <c r="G74" s="83">
        <f t="shared" si="9"/>
        <v>45.314039984344888</v>
      </c>
      <c r="H74" s="83">
        <f>F74*'92'!$C$20/100</f>
        <v>40.965305294343487</v>
      </c>
      <c r="I74" s="83">
        <f>E74*'матер. тепло'!$F$40</f>
        <v>11.652164916452636</v>
      </c>
      <c r="J74" s="83">
        <f t="shared" si="6"/>
        <v>0.30916014162247257</v>
      </c>
    </row>
    <row r="75" spans="1:10" x14ac:dyDescent="0.2">
      <c r="A75" s="164">
        <v>73</v>
      </c>
      <c r="B75" s="285" t="s">
        <v>403</v>
      </c>
      <c r="C75" s="330">
        <v>1093.5999999999999</v>
      </c>
      <c r="D75" s="339">
        <v>501</v>
      </c>
      <c r="E75" s="83">
        <f t="shared" si="7"/>
        <v>3.3182803468208094E-2</v>
      </c>
      <c r="F75" s="83">
        <f t="shared" si="8"/>
        <v>320.47337707731219</v>
      </c>
      <c r="G75" s="83">
        <f t="shared" si="9"/>
        <v>70.504142957008682</v>
      </c>
      <c r="H75" s="83">
        <f>F75*'92'!$C$20/100</f>
        <v>63.737943951758055</v>
      </c>
      <c r="I75" s="83">
        <f>E75*'матер. тепло'!$F$40</f>
        <v>18.129610630878172</v>
      </c>
      <c r="J75" s="83">
        <f t="shared" si="6"/>
        <v>0.43237479390723954</v>
      </c>
    </row>
    <row r="76" spans="1:10" x14ac:dyDescent="0.2">
      <c r="A76" s="164">
        <v>74</v>
      </c>
      <c r="B76" s="285" t="s">
        <v>404</v>
      </c>
      <c r="C76" s="330">
        <v>773.53</v>
      </c>
      <c r="D76" s="339">
        <v>350</v>
      </c>
      <c r="E76" s="83">
        <f t="shared" si="7"/>
        <v>2.318159922928709E-2</v>
      </c>
      <c r="F76" s="83">
        <f t="shared" si="8"/>
        <v>223.8835967605973</v>
      </c>
      <c r="G76" s="83">
        <f t="shared" si="9"/>
        <v>49.254391287331408</v>
      </c>
      <c r="H76" s="83">
        <f>F76*'92'!$C$20/100</f>
        <v>44.52750575472119</v>
      </c>
      <c r="I76" s="83">
        <f>E76*'матер. тепло'!$F$40</f>
        <v>12.665396648318083</v>
      </c>
      <c r="J76" s="83">
        <f t="shared" si="6"/>
        <v>0.42704341195683171</v>
      </c>
    </row>
    <row r="77" spans="1:10" x14ac:dyDescent="0.2">
      <c r="A77" s="164">
        <v>75</v>
      </c>
      <c r="B77" s="285" t="s">
        <v>405</v>
      </c>
      <c r="C77" s="330">
        <v>1603.4</v>
      </c>
      <c r="D77" s="339">
        <v>828</v>
      </c>
      <c r="E77" s="83">
        <f t="shared" si="7"/>
        <v>5.4841040462427749E-2</v>
      </c>
      <c r="F77" s="83">
        <f t="shared" si="8"/>
        <v>529.64462319364168</v>
      </c>
      <c r="G77" s="83">
        <f t="shared" si="9"/>
        <v>116.52181710260116</v>
      </c>
      <c r="H77" s="83">
        <f>F77*'92'!$C$20/100</f>
        <v>105.339356471169</v>
      </c>
      <c r="I77" s="83">
        <f>E77*'матер. тепло'!$F$40</f>
        <v>29.962709785163923</v>
      </c>
      <c r="J77" s="83">
        <f t="shared" si="6"/>
        <v>0.48738212957002358</v>
      </c>
    </row>
    <row r="78" spans="1:10" x14ac:dyDescent="0.2">
      <c r="A78" s="164">
        <v>76</v>
      </c>
      <c r="B78" s="285" t="s">
        <v>406</v>
      </c>
      <c r="C78" s="330">
        <v>561.1</v>
      </c>
      <c r="D78" s="339">
        <v>210</v>
      </c>
      <c r="E78" s="83">
        <f t="shared" si="7"/>
        <v>1.3908959537572254E-2</v>
      </c>
      <c r="F78" s="83">
        <f t="shared" si="8"/>
        <v>134.33015805635839</v>
      </c>
      <c r="G78" s="83">
        <f t="shared" si="9"/>
        <v>29.552634772398847</v>
      </c>
      <c r="H78" s="83">
        <f>F78*'92'!$C$20/100</f>
        <v>26.716503452832711</v>
      </c>
      <c r="I78" s="83">
        <f>E78*'матер. тепло'!$F$40</f>
        <v>7.5992379889908497</v>
      </c>
      <c r="J78" s="83">
        <f t="shared" si="6"/>
        <v>0.35323210527638704</v>
      </c>
    </row>
    <row r="79" spans="1:10" x14ac:dyDescent="0.2">
      <c r="A79" s="164">
        <v>77</v>
      </c>
      <c r="B79" s="285" t="s">
        <v>407</v>
      </c>
      <c r="C79" s="330">
        <v>780.4</v>
      </c>
      <c r="D79" s="339">
        <v>430</v>
      </c>
      <c r="E79" s="83">
        <f t="shared" si="7"/>
        <v>2.8480250481695567E-2</v>
      </c>
      <c r="F79" s="83">
        <f t="shared" si="8"/>
        <v>275.0569903058767</v>
      </c>
      <c r="G79" s="83">
        <f t="shared" si="9"/>
        <v>60.512537867292878</v>
      </c>
      <c r="H79" s="83">
        <f>F79*'92'!$C$20/100</f>
        <v>54.705221355800312</v>
      </c>
      <c r="I79" s="83">
        <f>E79*'матер. тепло'!$F$40</f>
        <v>15.560344453647931</v>
      </c>
      <c r="J79" s="83">
        <f t="shared" si="6"/>
        <v>0.52003471807101209</v>
      </c>
    </row>
    <row r="80" spans="1:10" x14ac:dyDescent="0.2">
      <c r="A80" s="164">
        <v>78</v>
      </c>
      <c r="B80" s="285" t="s">
        <v>408</v>
      </c>
      <c r="C80" s="330">
        <v>1890.1</v>
      </c>
      <c r="D80" s="87">
        <f>[5]Лист1!$D$35+[5]Лист1!$D$36</f>
        <v>761</v>
      </c>
      <c r="E80" s="83">
        <f t="shared" si="7"/>
        <v>5.0403420038535644E-2</v>
      </c>
      <c r="F80" s="83">
        <f t="shared" si="8"/>
        <v>486.78690609947017</v>
      </c>
      <c r="G80" s="83">
        <f t="shared" si="9"/>
        <v>107.09311934188344</v>
      </c>
      <c r="H80" s="83">
        <f>F80*'92'!$C$20/100</f>
        <v>96.81551965526522</v>
      </c>
      <c r="I80" s="83">
        <f>E80*'матер. тепло'!$F$40</f>
        <v>27.538190998200175</v>
      </c>
      <c r="J80" s="83">
        <f t="shared" si="6"/>
        <v>0.37999774408487336</v>
      </c>
    </row>
    <row r="81" spans="1:10" x14ac:dyDescent="0.2">
      <c r="A81" s="164">
        <v>79</v>
      </c>
      <c r="B81" s="285" t="s">
        <v>409</v>
      </c>
      <c r="C81" s="330">
        <v>1734.5</v>
      </c>
      <c r="D81" s="339">
        <v>589</v>
      </c>
      <c r="E81" s="83">
        <f t="shared" si="7"/>
        <v>3.9011319845857421E-2</v>
      </c>
      <c r="F81" s="83">
        <f t="shared" si="8"/>
        <v>376.76410997711952</v>
      </c>
      <c r="G81" s="83">
        <f t="shared" si="9"/>
        <v>82.888104194966289</v>
      </c>
      <c r="H81" s="83">
        <f>F81*'92'!$C$20/100</f>
        <v>74.933431112945087</v>
      </c>
      <c r="I81" s="83">
        <f>E81*'матер. тепло'!$F$40</f>
        <v>21.314053216741005</v>
      </c>
      <c r="J81" s="83">
        <f t="shared" si="6"/>
        <v>0.32049564629678406</v>
      </c>
    </row>
    <row r="82" spans="1:10" x14ac:dyDescent="0.2">
      <c r="A82" s="164">
        <v>80</v>
      </c>
      <c r="B82" s="285" t="s">
        <v>410</v>
      </c>
      <c r="C82" s="330">
        <v>1565.58</v>
      </c>
      <c r="D82" s="339">
        <v>675</v>
      </c>
      <c r="E82" s="83">
        <f t="shared" si="7"/>
        <v>4.4707369942196533E-2</v>
      </c>
      <c r="F82" s="83">
        <f t="shared" si="8"/>
        <v>431.77550803829484</v>
      </c>
      <c r="G82" s="83">
        <f t="shared" si="9"/>
        <v>94.990611768424856</v>
      </c>
      <c r="H82" s="83">
        <f>F82*'92'!$C$20/100</f>
        <v>85.874475384105153</v>
      </c>
      <c r="I82" s="83">
        <f>E82*'матер. тепло'!$F$40</f>
        <v>24.42612210747059</v>
      </c>
      <c r="J82" s="83">
        <f t="shared" si="6"/>
        <v>0.40692057722907515</v>
      </c>
    </row>
    <row r="83" spans="1:10" x14ac:dyDescent="0.2">
      <c r="A83" s="164">
        <v>81</v>
      </c>
      <c r="B83" s="285" t="s">
        <v>411</v>
      </c>
      <c r="C83" s="330">
        <v>2043.8</v>
      </c>
      <c r="D83" s="339">
        <v>1358</v>
      </c>
      <c r="E83" s="83">
        <f t="shared" si="7"/>
        <v>8.9944605009633916E-2</v>
      </c>
      <c r="F83" s="83">
        <f t="shared" si="8"/>
        <v>868.66835543111767</v>
      </c>
      <c r="G83" s="83">
        <f t="shared" si="9"/>
        <v>191.10703819484587</v>
      </c>
      <c r="H83" s="83">
        <f>F83*'92'!$C$20/100</f>
        <v>172.76672232831822</v>
      </c>
      <c r="I83" s="83">
        <f>E83*'матер. тепло'!$F$40</f>
        <v>49.141738995474164</v>
      </c>
      <c r="J83" s="83">
        <f t="shared" si="6"/>
        <v>0.62710825665415204</v>
      </c>
    </row>
    <row r="84" spans="1:10" x14ac:dyDescent="0.2">
      <c r="A84" s="164">
        <v>82</v>
      </c>
      <c r="B84" s="285" t="s">
        <v>412</v>
      </c>
      <c r="C84" s="330">
        <v>1277.5999999999999</v>
      </c>
      <c r="D84" s="339">
        <v>685</v>
      </c>
      <c r="E84" s="83">
        <f t="shared" si="7"/>
        <v>4.5369701348747592E-2</v>
      </c>
      <c r="F84" s="83">
        <f t="shared" si="8"/>
        <v>438.17218223145477</v>
      </c>
      <c r="G84" s="83">
        <f t="shared" si="9"/>
        <v>96.39788009092004</v>
      </c>
      <c r="H84" s="83">
        <f>F84*'92'!$C$20/100</f>
        <v>87.146689834240036</v>
      </c>
      <c r="I84" s="83">
        <f>E84*'матер. тепло'!$F$40</f>
        <v>24.787990583136818</v>
      </c>
      <c r="J84" s="83">
        <f t="shared" si="6"/>
        <v>0.50603063771113943</v>
      </c>
    </row>
    <row r="85" spans="1:10" x14ac:dyDescent="0.2">
      <c r="A85" s="164">
        <v>83</v>
      </c>
      <c r="B85" s="285" t="s">
        <v>413</v>
      </c>
      <c r="C85" s="330">
        <v>1281.1500000000001</v>
      </c>
      <c r="D85" s="339">
        <v>685</v>
      </c>
      <c r="E85" s="83">
        <f t="shared" si="7"/>
        <v>4.5369701348747592E-2</v>
      </c>
      <c r="F85" s="83">
        <f t="shared" si="8"/>
        <v>438.17218223145477</v>
      </c>
      <c r="G85" s="83">
        <f t="shared" si="9"/>
        <v>96.39788009092004</v>
      </c>
      <c r="H85" s="83">
        <f>F85*'92'!$C$20/100</f>
        <v>87.146689834240036</v>
      </c>
      <c r="I85" s="83">
        <f>E85*'матер. тепло'!$F$40</f>
        <v>24.787990583136818</v>
      </c>
      <c r="J85" s="83">
        <f t="shared" si="6"/>
        <v>0.50462845313956339</v>
      </c>
    </row>
    <row r="86" spans="1:10" x14ac:dyDescent="0.2">
      <c r="A86" s="164">
        <v>84</v>
      </c>
      <c r="B86" s="285" t="s">
        <v>414</v>
      </c>
      <c r="C86" s="330">
        <v>1492.3</v>
      </c>
      <c r="D86" s="339">
        <v>448</v>
      </c>
      <c r="E86" s="83">
        <f t="shared" si="7"/>
        <v>2.9672447013487476E-2</v>
      </c>
      <c r="F86" s="83">
        <f t="shared" si="8"/>
        <v>286.57100385356455</v>
      </c>
      <c r="G86" s="83">
        <f t="shared" si="9"/>
        <v>63.0456208477842</v>
      </c>
      <c r="H86" s="83">
        <f>F86*'92'!$C$20/100</f>
        <v>56.995207366043111</v>
      </c>
      <c r="I86" s="83">
        <f>E86*'матер. тепло'!$F$40</f>
        <v>16.211707709847147</v>
      </c>
      <c r="J86" s="83">
        <f t="shared" si="6"/>
        <v>0.28333682220548084</v>
      </c>
    </row>
    <row r="87" spans="1:10" x14ac:dyDescent="0.2">
      <c r="A87" s="164">
        <v>85</v>
      </c>
      <c r="B87" s="285" t="s">
        <v>415</v>
      </c>
      <c r="C87" s="330">
        <v>4130.75</v>
      </c>
      <c r="D87" s="339">
        <v>2170</v>
      </c>
      <c r="E87" s="83">
        <f t="shared" si="7"/>
        <v>0.14372591522157996</v>
      </c>
      <c r="F87" s="83">
        <f t="shared" si="8"/>
        <v>1388.0782999157034</v>
      </c>
      <c r="G87" s="83">
        <f t="shared" si="9"/>
        <v>305.37722598145479</v>
      </c>
      <c r="H87" s="83">
        <f>F87*'92'!$C$20/100</f>
        <v>276.07053567927136</v>
      </c>
      <c r="I87" s="83">
        <f>E87*'матер. тепло'!$F$40</f>
        <v>78.525459219572113</v>
      </c>
      <c r="J87" s="83">
        <f t="shared" si="6"/>
        <v>0.49580621456055235</v>
      </c>
    </row>
    <row r="88" spans="1:10" x14ac:dyDescent="0.2">
      <c r="A88" s="164">
        <v>86</v>
      </c>
      <c r="B88" s="285" t="s">
        <v>416</v>
      </c>
      <c r="C88" s="330">
        <v>3262.1</v>
      </c>
      <c r="D88" s="339">
        <v>1818</v>
      </c>
      <c r="E88" s="83">
        <f t="shared" si="7"/>
        <v>0.12041184971098266</v>
      </c>
      <c r="F88" s="83">
        <f t="shared" si="8"/>
        <v>1162.9153683164741</v>
      </c>
      <c r="G88" s="83">
        <f t="shared" si="9"/>
        <v>255.84138102962433</v>
      </c>
      <c r="H88" s="83">
        <f>F88*'92'!$C$20/100</f>
        <v>231.28858703452318</v>
      </c>
      <c r="I88" s="83">
        <f>E88*'матер. тепло'!$F$40</f>
        <v>65.787688876120782</v>
      </c>
      <c r="J88" s="83">
        <f t="shared" si="6"/>
        <v>0.52599032073104512</v>
      </c>
    </row>
    <row r="89" spans="1:10" x14ac:dyDescent="0.2">
      <c r="A89" s="164">
        <v>87</v>
      </c>
      <c r="B89" s="285" t="s">
        <v>417</v>
      </c>
      <c r="C89" s="330">
        <v>1516.8</v>
      </c>
      <c r="D89" s="339">
        <v>844</v>
      </c>
      <c r="E89" s="83">
        <f t="shared" si="7"/>
        <v>5.5900770712909442E-2</v>
      </c>
      <c r="F89" s="83">
        <f t="shared" si="8"/>
        <v>539.87930190269753</v>
      </c>
      <c r="G89" s="83">
        <f t="shared" si="9"/>
        <v>118.77344641859345</v>
      </c>
      <c r="H89" s="83">
        <f>F89*'92'!$C$20/100</f>
        <v>107.3748995913848</v>
      </c>
      <c r="I89" s="83">
        <f>E89*'матер. тепло'!$F$40</f>
        <v>30.54169934622989</v>
      </c>
      <c r="J89" s="83">
        <f t="shared" si="6"/>
        <v>0.52516439033419415</v>
      </c>
    </row>
    <row r="90" spans="1:10" x14ac:dyDescent="0.2">
      <c r="A90" s="164">
        <v>88</v>
      </c>
      <c r="B90" s="285" t="s">
        <v>418</v>
      </c>
      <c r="C90" s="330">
        <v>752.42</v>
      </c>
      <c r="D90" s="339">
        <v>263</v>
      </c>
      <c r="E90" s="83">
        <f t="shared" si="7"/>
        <v>1.7419315992292871E-2</v>
      </c>
      <c r="F90" s="83">
        <f t="shared" si="8"/>
        <v>168.23253128010597</v>
      </c>
      <c r="G90" s="83">
        <f t="shared" si="9"/>
        <v>37.011156881623315</v>
      </c>
      <c r="H90" s="83">
        <f>F90*'92'!$C$20/100</f>
        <v>33.459240038547634</v>
      </c>
      <c r="I90" s="83">
        <f>E90*'матер. тепло'!$F$40</f>
        <v>9.5171409100218742</v>
      </c>
      <c r="J90" s="83">
        <f t="shared" si="6"/>
        <v>0.32989562891775709</v>
      </c>
    </row>
    <row r="91" spans="1:10" x14ac:dyDescent="0.2">
      <c r="A91" s="164">
        <v>89</v>
      </c>
      <c r="B91" s="285" t="s">
        <v>419</v>
      </c>
      <c r="C91" s="330">
        <v>771.7</v>
      </c>
      <c r="D91" s="339">
        <v>263</v>
      </c>
      <c r="E91" s="83">
        <f t="shared" si="7"/>
        <v>1.7419315992292871E-2</v>
      </c>
      <c r="F91" s="83">
        <f t="shared" si="8"/>
        <v>168.23253128010597</v>
      </c>
      <c r="G91" s="83">
        <f t="shared" si="9"/>
        <v>37.011156881623315</v>
      </c>
      <c r="H91" s="83">
        <f>F91*'92'!$C$20/100</f>
        <v>33.459240038547634</v>
      </c>
      <c r="I91" s="83">
        <f>E91*'матер. тепло'!$F$40</f>
        <v>9.5171409100218742</v>
      </c>
      <c r="J91" s="83">
        <f t="shared" si="6"/>
        <v>0.32165358184566384</v>
      </c>
    </row>
    <row r="92" spans="1:10" x14ac:dyDescent="0.2">
      <c r="A92" s="164">
        <v>90</v>
      </c>
      <c r="B92" s="285" t="s">
        <v>420</v>
      </c>
      <c r="C92" s="330">
        <v>1545</v>
      </c>
      <c r="D92" s="339">
        <v>597</v>
      </c>
      <c r="E92" s="83">
        <f t="shared" si="7"/>
        <v>3.9541184971098264E-2</v>
      </c>
      <c r="F92" s="83">
        <f t="shared" si="8"/>
        <v>381.88144933164739</v>
      </c>
      <c r="G92" s="83">
        <f t="shared" si="9"/>
        <v>84.013918852962433</v>
      </c>
      <c r="H92" s="83">
        <f>F92*'92'!$C$20/100</f>
        <v>75.95120267305299</v>
      </c>
      <c r="I92" s="83">
        <f>E92*'матер. тепло'!$F$40</f>
        <v>21.603547997273985</v>
      </c>
      <c r="J92" s="83">
        <f t="shared" si="6"/>
        <v>0.3646926335630658</v>
      </c>
    </row>
    <row r="93" spans="1:10" x14ac:dyDescent="0.2">
      <c r="A93" s="164">
        <v>91</v>
      </c>
      <c r="B93" s="285" t="s">
        <v>421</v>
      </c>
      <c r="C93" s="330">
        <v>769.7</v>
      </c>
      <c r="D93" s="339">
        <v>365</v>
      </c>
      <c r="E93" s="83">
        <f t="shared" si="7"/>
        <v>2.4175096339113682E-2</v>
      </c>
      <c r="F93" s="83">
        <f t="shared" si="8"/>
        <v>233.47860805033721</v>
      </c>
      <c r="G93" s="83">
        <f t="shared" si="9"/>
        <v>51.365293771074185</v>
      </c>
      <c r="H93" s="83">
        <f>F93*'92'!$C$20/100</f>
        <v>46.435827429923528</v>
      </c>
      <c r="I93" s="83">
        <f>E93*'матер. тепло'!$F$40</f>
        <v>13.20819936181743</v>
      </c>
      <c r="J93" s="83">
        <f t="shared" si="6"/>
        <v>0.44756129480726559</v>
      </c>
    </row>
    <row r="94" spans="1:10" x14ac:dyDescent="0.2">
      <c r="A94" s="164">
        <v>92</v>
      </c>
      <c r="B94" s="285" t="s">
        <v>422</v>
      </c>
      <c r="C94" s="330">
        <v>776.9</v>
      </c>
      <c r="D94" s="339">
        <v>265</v>
      </c>
      <c r="E94" s="83">
        <f t="shared" si="7"/>
        <v>1.7551782273603083E-2</v>
      </c>
      <c r="F94" s="83">
        <f t="shared" si="8"/>
        <v>169.51186611873797</v>
      </c>
      <c r="G94" s="83">
        <f t="shared" si="9"/>
        <v>37.292610546122354</v>
      </c>
      <c r="H94" s="83">
        <f>F94*'92'!$C$20/100</f>
        <v>33.713682928574613</v>
      </c>
      <c r="I94" s="83">
        <f>E94*'матер. тепло'!$F$40</f>
        <v>9.5895146051551201</v>
      </c>
      <c r="J94" s="83">
        <f t="shared" si="6"/>
        <v>0.32193033105752356</v>
      </c>
    </row>
    <row r="95" spans="1:10" x14ac:dyDescent="0.2">
      <c r="A95" s="164">
        <v>93</v>
      </c>
      <c r="B95" s="285" t="s">
        <v>423</v>
      </c>
      <c r="C95" s="330">
        <v>1935.6</v>
      </c>
      <c r="D95" s="339">
        <v>679</v>
      </c>
      <c r="E95" s="83">
        <f t="shared" si="7"/>
        <v>4.4972302504816958E-2</v>
      </c>
      <c r="F95" s="83">
        <f t="shared" si="8"/>
        <v>434.33417771555884</v>
      </c>
      <c r="G95" s="83">
        <f t="shared" si="9"/>
        <v>95.553519097422935</v>
      </c>
      <c r="H95" s="83">
        <f>F95*'92'!$C$20/100</f>
        <v>86.383361164159112</v>
      </c>
      <c r="I95" s="83">
        <f>E95*'матер. тепло'!$F$40</f>
        <v>24.570869497737082</v>
      </c>
      <c r="J95" s="83">
        <f t="shared" si="6"/>
        <v>0.33108179762082968</v>
      </c>
    </row>
    <row r="96" spans="1:10" x14ac:dyDescent="0.2">
      <c r="A96" s="164">
        <v>94</v>
      </c>
      <c r="B96" s="285" t="s">
        <v>424</v>
      </c>
      <c r="C96" s="330">
        <v>1513.72</v>
      </c>
      <c r="D96" s="339">
        <v>400</v>
      </c>
      <c r="E96" s="83">
        <f t="shared" si="7"/>
        <v>2.6493256262042391E-2</v>
      </c>
      <c r="F96" s="83">
        <f t="shared" si="8"/>
        <v>255.86696772639695</v>
      </c>
      <c r="G96" s="83">
        <f t="shared" si="9"/>
        <v>56.290732899807324</v>
      </c>
      <c r="H96" s="83">
        <f>F96*'92'!$C$20/100</f>
        <v>50.888578005395651</v>
      </c>
      <c r="I96" s="83">
        <f>E96*'матер. тепло'!$F$40</f>
        <v>14.474739026649239</v>
      </c>
      <c r="J96" s="83">
        <f t="shared" si="6"/>
        <v>0.24939950430611282</v>
      </c>
    </row>
    <row r="97" spans="1:10" x14ac:dyDescent="0.2">
      <c r="A97" s="164">
        <v>95</v>
      </c>
      <c r="B97" s="285" t="s">
        <v>425</v>
      </c>
      <c r="C97" s="330">
        <v>1500.3</v>
      </c>
      <c r="D97" s="339">
        <v>658</v>
      </c>
      <c r="E97" s="83">
        <f t="shared" si="7"/>
        <v>4.3581406551059729E-2</v>
      </c>
      <c r="F97" s="83">
        <f t="shared" si="8"/>
        <v>420.90116190992296</v>
      </c>
      <c r="G97" s="83">
        <f t="shared" si="9"/>
        <v>92.598255620183039</v>
      </c>
      <c r="H97" s="83">
        <f>F97*'92'!$C$20/100</f>
        <v>83.711710818875829</v>
      </c>
      <c r="I97" s="83">
        <f>E97*'матер. тепло'!$F$40</f>
        <v>23.810945698837994</v>
      </c>
      <c r="J97" s="83">
        <f t="shared" si="6"/>
        <v>0.41393192964595071</v>
      </c>
    </row>
    <row r="98" spans="1:10" x14ac:dyDescent="0.2">
      <c r="A98" s="164">
        <v>96</v>
      </c>
      <c r="B98" s="285" t="s">
        <v>426</v>
      </c>
      <c r="C98" s="330">
        <v>735.9</v>
      </c>
      <c r="D98" s="339">
        <v>200</v>
      </c>
      <c r="E98" s="83">
        <f t="shared" si="7"/>
        <v>1.3246628131021196E-2</v>
      </c>
      <c r="F98" s="83">
        <f t="shared" si="8"/>
        <v>127.93348386319848</v>
      </c>
      <c r="G98" s="83">
        <f t="shared" si="9"/>
        <v>28.145366449903662</v>
      </c>
      <c r="H98" s="83">
        <f>F98*'92'!$C$20/100</f>
        <v>25.444289002697825</v>
      </c>
      <c r="I98" s="83">
        <f>E98*'матер. тепло'!$F$40</f>
        <v>7.2373695133246194</v>
      </c>
      <c r="J98" s="83">
        <f t="shared" si="6"/>
        <v>0.25650293359033094</v>
      </c>
    </row>
    <row r="99" spans="1:10" x14ac:dyDescent="0.2">
      <c r="A99" s="164">
        <v>97</v>
      </c>
      <c r="B99" s="285" t="s">
        <v>427</v>
      </c>
      <c r="C99" s="330">
        <v>757.7</v>
      </c>
      <c r="D99" s="339">
        <v>260</v>
      </c>
      <c r="E99" s="83">
        <f t="shared" si="7"/>
        <v>1.7220616570327554E-2</v>
      </c>
      <c r="F99" s="83">
        <f t="shared" si="8"/>
        <v>166.31352902215801</v>
      </c>
      <c r="G99" s="83">
        <f t="shared" si="9"/>
        <v>36.588976384874762</v>
      </c>
      <c r="H99" s="83">
        <f>F99*'92'!$C$20/100</f>
        <v>33.077575703507165</v>
      </c>
      <c r="I99" s="83">
        <f>E99*'матер. тепло'!$F$40</f>
        <v>9.4085803673220045</v>
      </c>
      <c r="J99" s="83">
        <f t="shared" ref="J99:J160" si="10">(F99+G99+H99+I99)/C99</f>
        <v>0.32385992012387743</v>
      </c>
    </row>
    <row r="100" spans="1:10" x14ac:dyDescent="0.2">
      <c r="A100" s="164">
        <v>98</v>
      </c>
      <c r="B100" s="285" t="s">
        <v>428</v>
      </c>
      <c r="C100" s="330">
        <v>1915.15</v>
      </c>
      <c r="D100" s="339">
        <v>642</v>
      </c>
      <c r="E100" s="83">
        <f t="shared" si="7"/>
        <v>4.2521676300578036E-2</v>
      </c>
      <c r="F100" s="83">
        <f t="shared" si="8"/>
        <v>410.66648320086711</v>
      </c>
      <c r="G100" s="83">
        <f t="shared" si="9"/>
        <v>90.346626304190764</v>
      </c>
      <c r="H100" s="83">
        <f>F100*'92'!$C$20/100</f>
        <v>81.676167698660009</v>
      </c>
      <c r="I100" s="83">
        <f>E100*'матер. тепло'!$F$40</f>
        <v>23.231956137772027</v>
      </c>
      <c r="J100" s="83">
        <f t="shared" si="10"/>
        <v>0.31638317277575639</v>
      </c>
    </row>
    <row r="101" spans="1:10" x14ac:dyDescent="0.2">
      <c r="A101" s="164">
        <v>99</v>
      </c>
      <c r="B101" s="285" t="s">
        <v>429</v>
      </c>
      <c r="C101" s="330">
        <v>1544.5</v>
      </c>
      <c r="D101" s="339">
        <v>720</v>
      </c>
      <c r="E101" s="83">
        <f t="shared" ref="E101:E160" si="11">D101/$E$163</f>
        <v>4.7687861271676305E-2</v>
      </c>
      <c r="F101" s="83">
        <f t="shared" ref="F101:F160" si="12">E101*$F$163</f>
        <v>460.56054190751451</v>
      </c>
      <c r="G101" s="83">
        <f t="shared" si="9"/>
        <v>101.32331921965319</v>
      </c>
      <c r="H101" s="83">
        <f>F101*'92'!$C$20/100</f>
        <v>91.599440409712173</v>
      </c>
      <c r="I101" s="83">
        <f>E101*'матер. тепло'!$F$40</f>
        <v>26.054530247968628</v>
      </c>
      <c r="J101" s="83">
        <f t="shared" si="10"/>
        <v>0.43997269782120335</v>
      </c>
    </row>
    <row r="102" spans="1:10" x14ac:dyDescent="0.2">
      <c r="A102" s="164">
        <v>100</v>
      </c>
      <c r="B102" s="285" t="s">
        <v>430</v>
      </c>
      <c r="C102" s="330">
        <v>1552.3</v>
      </c>
      <c r="D102" s="339">
        <v>720</v>
      </c>
      <c r="E102" s="83">
        <f t="shared" si="11"/>
        <v>4.7687861271676305E-2</v>
      </c>
      <c r="F102" s="83">
        <f t="shared" si="12"/>
        <v>460.56054190751451</v>
      </c>
      <c r="G102" s="83">
        <f t="shared" si="9"/>
        <v>101.32331921965319</v>
      </c>
      <c r="H102" s="83">
        <f>F102*'92'!$C$20/100</f>
        <v>91.599440409712173</v>
      </c>
      <c r="I102" s="83">
        <f>E102*'матер. тепло'!$F$40</f>
        <v>26.054530247968628</v>
      </c>
      <c r="J102" s="83">
        <f t="shared" si="10"/>
        <v>0.43776192217023036</v>
      </c>
    </row>
    <row r="103" spans="1:10" x14ac:dyDescent="0.2">
      <c r="A103" s="164">
        <v>101</v>
      </c>
      <c r="B103" s="285" t="s">
        <v>431</v>
      </c>
      <c r="C103" s="330">
        <v>1287.0999999999999</v>
      </c>
      <c r="D103" s="339">
        <v>308</v>
      </c>
      <c r="E103" s="83">
        <f t="shared" si="11"/>
        <v>2.0399807321772639E-2</v>
      </c>
      <c r="F103" s="83">
        <f t="shared" si="12"/>
        <v>197.01756514932563</v>
      </c>
      <c r="G103" s="83">
        <f t="shared" si="9"/>
        <v>43.343864332851638</v>
      </c>
      <c r="H103" s="83">
        <f>F103*'92'!$C$20/100</f>
        <v>39.184205064154646</v>
      </c>
      <c r="I103" s="83">
        <f>E103*'матер. тепло'!$F$40</f>
        <v>11.145549050519913</v>
      </c>
      <c r="J103" s="83">
        <f t="shared" si="10"/>
        <v>0.22584972698069447</v>
      </c>
    </row>
    <row r="104" spans="1:10" x14ac:dyDescent="0.2">
      <c r="A104" s="164">
        <v>102</v>
      </c>
      <c r="B104" s="285" t="s">
        <v>432</v>
      </c>
      <c r="C104" s="330">
        <v>3473.9</v>
      </c>
      <c r="D104" s="339">
        <v>938</v>
      </c>
      <c r="E104" s="83">
        <f t="shared" si="11"/>
        <v>6.2126685934489403E-2</v>
      </c>
      <c r="F104" s="83">
        <f t="shared" si="12"/>
        <v>600.00803931840085</v>
      </c>
      <c r="G104" s="83">
        <f t="shared" si="9"/>
        <v>132.00176865004818</v>
      </c>
      <c r="H104" s="83">
        <f>F104*'92'!$C$20/100</f>
        <v>119.33371542265279</v>
      </c>
      <c r="I104" s="83">
        <f>E104*'матер. тепло'!$F$40</f>
        <v>33.943263017492463</v>
      </c>
      <c r="J104" s="83">
        <f t="shared" si="10"/>
        <v>0.25483945606050667</v>
      </c>
    </row>
    <row r="105" spans="1:10" x14ac:dyDescent="0.2">
      <c r="A105" s="164">
        <v>103</v>
      </c>
      <c r="B105" s="285" t="s">
        <v>433</v>
      </c>
      <c r="C105" s="330">
        <v>1838.18</v>
      </c>
      <c r="D105" s="339">
        <v>615</v>
      </c>
      <c r="E105" s="83">
        <f t="shared" si="11"/>
        <v>4.0733381502890173E-2</v>
      </c>
      <c r="F105" s="83">
        <f t="shared" si="12"/>
        <v>393.3954628793353</v>
      </c>
      <c r="G105" s="83">
        <f t="shared" si="9"/>
        <v>86.547001833453763</v>
      </c>
      <c r="H105" s="83">
        <f>F105*'92'!$C$20/100</f>
        <v>78.241188683295803</v>
      </c>
      <c r="I105" s="83">
        <f>E105*'матер. тепло'!$F$40</f>
        <v>22.254911253473203</v>
      </c>
      <c r="J105" s="83">
        <f t="shared" si="10"/>
        <v>0.31576807747312996</v>
      </c>
    </row>
    <row r="106" spans="1:10" x14ac:dyDescent="0.2">
      <c r="A106" s="164">
        <v>104</v>
      </c>
      <c r="B106" s="285" t="s">
        <v>434</v>
      </c>
      <c r="C106" s="330">
        <v>4517.6000000000004</v>
      </c>
      <c r="D106" s="339">
        <v>2650</v>
      </c>
      <c r="E106" s="83">
        <f t="shared" si="11"/>
        <v>0.17551782273603084</v>
      </c>
      <c r="F106" s="83">
        <f t="shared" si="12"/>
        <v>1695.1186611873798</v>
      </c>
      <c r="G106" s="83">
        <f t="shared" si="9"/>
        <v>372.92610546122359</v>
      </c>
      <c r="H106" s="83">
        <f>F106*'92'!$C$20/100</f>
        <v>337.13682928574616</v>
      </c>
      <c r="I106" s="83">
        <f>E106*'матер. тепло'!$F$40</f>
        <v>95.895146051551208</v>
      </c>
      <c r="J106" s="83">
        <f t="shared" si="10"/>
        <v>0.55362952496588913</v>
      </c>
    </row>
    <row r="107" spans="1:10" x14ac:dyDescent="0.2">
      <c r="A107" s="164">
        <v>105</v>
      </c>
      <c r="B107" s="285" t="s">
        <v>435</v>
      </c>
      <c r="C107" s="330">
        <v>4524.9399999999996</v>
      </c>
      <c r="D107" s="339">
        <v>2650</v>
      </c>
      <c r="E107" s="83">
        <f t="shared" si="11"/>
        <v>0.17551782273603084</v>
      </c>
      <c r="F107" s="83">
        <f t="shared" si="12"/>
        <v>1695.1186611873798</v>
      </c>
      <c r="G107" s="83">
        <f t="shared" si="9"/>
        <v>372.92610546122359</v>
      </c>
      <c r="H107" s="83">
        <f>F107*'92'!$C$20/100</f>
        <v>337.13682928574616</v>
      </c>
      <c r="I107" s="83">
        <f>E107*'матер. тепло'!$F$40</f>
        <v>95.895146051551208</v>
      </c>
      <c r="J107" s="83">
        <f t="shared" si="10"/>
        <v>0.55273147091141561</v>
      </c>
    </row>
    <row r="108" spans="1:10" x14ac:dyDescent="0.2">
      <c r="A108" s="164">
        <v>106</v>
      </c>
      <c r="B108" s="285" t="s">
        <v>436</v>
      </c>
      <c r="C108" s="330">
        <v>4742.2700000000004</v>
      </c>
      <c r="D108" s="339">
        <v>2580</v>
      </c>
      <c r="E108" s="83">
        <f t="shared" si="11"/>
        <v>0.17088150289017343</v>
      </c>
      <c r="F108" s="83">
        <f t="shared" si="12"/>
        <v>1650.3419418352603</v>
      </c>
      <c r="G108" s="83">
        <f t="shared" si="9"/>
        <v>363.07522720375727</v>
      </c>
      <c r="H108" s="83">
        <f>F108*'92'!$C$20/100</f>
        <v>328.23132813480197</v>
      </c>
      <c r="I108" s="83">
        <f>E108*'матер. тепло'!$F$40</f>
        <v>93.362066721887587</v>
      </c>
      <c r="J108" s="83">
        <f t="shared" si="10"/>
        <v>0.51346940682325271</v>
      </c>
    </row>
    <row r="109" spans="1:10" x14ac:dyDescent="0.2">
      <c r="A109" s="164">
        <v>107</v>
      </c>
      <c r="B109" s="285" t="s">
        <v>437</v>
      </c>
      <c r="C109" s="330">
        <v>2538.3000000000002</v>
      </c>
      <c r="D109" s="339">
        <v>1480</v>
      </c>
      <c r="E109" s="83">
        <f t="shared" si="11"/>
        <v>9.8025048169556844E-2</v>
      </c>
      <c r="F109" s="83">
        <f t="shared" si="12"/>
        <v>946.70778058766871</v>
      </c>
      <c r="G109" s="83">
        <f t="shared" si="9"/>
        <v>208.27571172928711</v>
      </c>
      <c r="H109" s="83">
        <f>F109*'92'!$C$20/100</f>
        <v>188.2877386199639</v>
      </c>
      <c r="I109" s="83">
        <f>E109*'матер. тепло'!$F$40</f>
        <v>53.556534398602182</v>
      </c>
      <c r="J109" s="83">
        <f t="shared" si="10"/>
        <v>0.55030050243687578</v>
      </c>
    </row>
    <row r="110" spans="1:10" x14ac:dyDescent="0.2">
      <c r="A110" s="164">
        <v>108</v>
      </c>
      <c r="B110" s="285" t="s">
        <v>438</v>
      </c>
      <c r="C110" s="330">
        <v>4452.8999999999996</v>
      </c>
      <c r="D110" s="339">
        <v>2650</v>
      </c>
      <c r="E110" s="83">
        <f t="shared" si="11"/>
        <v>0.17551782273603084</v>
      </c>
      <c r="F110" s="83">
        <f t="shared" si="12"/>
        <v>1695.1186611873798</v>
      </c>
      <c r="G110" s="83">
        <f t="shared" si="9"/>
        <v>372.92610546122359</v>
      </c>
      <c r="H110" s="83">
        <f>F110*'92'!$C$20/100</f>
        <v>337.13682928574616</v>
      </c>
      <c r="I110" s="83">
        <f>E110*'матер. тепло'!$F$40</f>
        <v>95.895146051551208</v>
      </c>
      <c r="J110" s="83">
        <f t="shared" si="10"/>
        <v>0.56167368276536656</v>
      </c>
    </row>
    <row r="111" spans="1:10" x14ac:dyDescent="0.2">
      <c r="A111" s="164">
        <v>109</v>
      </c>
      <c r="B111" s="285" t="s">
        <v>439</v>
      </c>
      <c r="C111" s="330">
        <v>1573.08</v>
      </c>
      <c r="D111" s="339">
        <v>884</v>
      </c>
      <c r="E111" s="83">
        <f t="shared" si="11"/>
        <v>5.8550096339113678E-2</v>
      </c>
      <c r="F111" s="83">
        <f t="shared" si="12"/>
        <v>565.46599867533723</v>
      </c>
      <c r="G111" s="83">
        <f t="shared" si="9"/>
        <v>124.40251970857418</v>
      </c>
      <c r="H111" s="83">
        <f>F111*'92'!$C$20/100</f>
        <v>112.46375739192437</v>
      </c>
      <c r="I111" s="83">
        <f>E111*'матер. тепло'!$F$40</f>
        <v>31.989173248894815</v>
      </c>
      <c r="J111" s="83">
        <f t="shared" si="10"/>
        <v>0.53037445586030629</v>
      </c>
    </row>
    <row r="112" spans="1:10" x14ac:dyDescent="0.2">
      <c r="A112" s="164">
        <v>110</v>
      </c>
      <c r="B112" s="285" t="s">
        <v>440</v>
      </c>
      <c r="C112" s="330">
        <v>3168.45</v>
      </c>
      <c r="D112" s="339">
        <v>1480</v>
      </c>
      <c r="E112" s="83">
        <f t="shared" si="11"/>
        <v>9.8025048169556844E-2</v>
      </c>
      <c r="F112" s="83">
        <f t="shared" si="12"/>
        <v>946.70778058766871</v>
      </c>
      <c r="G112" s="83">
        <f t="shared" si="9"/>
        <v>208.27571172928711</v>
      </c>
      <c r="H112" s="83">
        <f>F112*'92'!$C$20/100</f>
        <v>188.2877386199639</v>
      </c>
      <c r="I112" s="83">
        <f>E112*'матер. тепло'!$F$40</f>
        <v>53.556534398602182</v>
      </c>
      <c r="J112" s="83">
        <f t="shared" si="10"/>
        <v>0.44085523373748109</v>
      </c>
    </row>
    <row r="113" spans="1:10" x14ac:dyDescent="0.2">
      <c r="A113" s="164">
        <v>111</v>
      </c>
      <c r="B113" s="285" t="s">
        <v>441</v>
      </c>
      <c r="C113" s="330">
        <v>3182.6</v>
      </c>
      <c r="D113" s="339">
        <v>1480</v>
      </c>
      <c r="E113" s="83">
        <f t="shared" si="11"/>
        <v>9.8025048169556844E-2</v>
      </c>
      <c r="F113" s="83">
        <f t="shared" si="12"/>
        <v>946.70778058766871</v>
      </c>
      <c r="G113" s="83">
        <f t="shared" si="9"/>
        <v>208.27571172928711</v>
      </c>
      <c r="H113" s="83">
        <f>F113*'92'!$C$20/100</f>
        <v>188.2877386199639</v>
      </c>
      <c r="I113" s="83">
        <f>E113*'матер. тепло'!$F$40</f>
        <v>53.556534398602182</v>
      </c>
      <c r="J113" s="83">
        <f t="shared" si="10"/>
        <v>0.43889516914960158</v>
      </c>
    </row>
    <row r="114" spans="1:10" x14ac:dyDescent="0.2">
      <c r="A114" s="164">
        <v>112</v>
      </c>
      <c r="B114" s="285" t="s">
        <v>442</v>
      </c>
      <c r="C114" s="330">
        <v>2283.1999999999998</v>
      </c>
      <c r="D114" s="339">
        <v>1280</v>
      </c>
      <c r="E114" s="83">
        <f t="shared" si="11"/>
        <v>8.477842003853564E-2</v>
      </c>
      <c r="F114" s="83">
        <f t="shared" si="12"/>
        <v>818.7742967244701</v>
      </c>
      <c r="G114" s="83">
        <f t="shared" si="9"/>
        <v>180.13034527938345</v>
      </c>
      <c r="H114" s="83">
        <f>F114*'92'!$C$20/100</f>
        <v>162.84344961726606</v>
      </c>
      <c r="I114" s="83">
        <f>E114*'матер. тепло'!$F$40</f>
        <v>46.319164885277559</v>
      </c>
      <c r="J114" s="83">
        <f t="shared" si="10"/>
        <v>0.52911144731359372</v>
      </c>
    </row>
    <row r="115" spans="1:10" x14ac:dyDescent="0.2">
      <c r="A115" s="164">
        <v>113</v>
      </c>
      <c r="B115" s="285" t="s">
        <v>443</v>
      </c>
      <c r="C115" s="330">
        <v>1091.7</v>
      </c>
      <c r="D115" s="339">
        <v>590</v>
      </c>
      <c r="E115" s="83">
        <f t="shared" si="11"/>
        <v>3.9077552986512526E-2</v>
      </c>
      <c r="F115" s="83">
        <f t="shared" si="12"/>
        <v>377.40377739643549</v>
      </c>
      <c r="G115" s="83">
        <f t="shared" si="9"/>
        <v>83.028831027215801</v>
      </c>
      <c r="H115" s="83">
        <f>F115*'92'!$C$20/100</f>
        <v>75.060652557958576</v>
      </c>
      <c r="I115" s="83">
        <f>E115*'матер. тепло'!$F$40</f>
        <v>21.350240064307627</v>
      </c>
      <c r="J115" s="83">
        <f t="shared" si="10"/>
        <v>0.51007007515427083</v>
      </c>
    </row>
    <row r="116" spans="1:10" x14ac:dyDescent="0.2">
      <c r="A116" s="164">
        <v>114</v>
      </c>
      <c r="B116" s="285" t="s">
        <v>444</v>
      </c>
      <c r="C116" s="330">
        <v>1733.3</v>
      </c>
      <c r="D116" s="339">
        <v>550</v>
      </c>
      <c r="E116" s="83">
        <f t="shared" si="11"/>
        <v>3.6428227360308284E-2</v>
      </c>
      <c r="F116" s="83">
        <f t="shared" si="12"/>
        <v>351.81708062379579</v>
      </c>
      <c r="G116" s="83">
        <f t="shared" si="9"/>
        <v>77.399757737235078</v>
      </c>
      <c r="H116" s="83">
        <f>F116*'92'!$C$20/100</f>
        <v>69.971794757419005</v>
      </c>
      <c r="I116" s="83">
        <f>E116*'матер. тепло'!$F$40</f>
        <v>19.902766161642699</v>
      </c>
      <c r="J116" s="83">
        <f t="shared" si="10"/>
        <v>0.29948156653787145</v>
      </c>
    </row>
    <row r="117" spans="1:10" x14ac:dyDescent="0.2">
      <c r="A117" s="164">
        <v>115</v>
      </c>
      <c r="B117" s="285" t="s">
        <v>445</v>
      </c>
      <c r="C117" s="330">
        <v>1752.82</v>
      </c>
      <c r="D117" s="339">
        <v>560</v>
      </c>
      <c r="E117" s="83">
        <f t="shared" si="11"/>
        <v>3.7090558766859343E-2</v>
      </c>
      <c r="F117" s="83">
        <f t="shared" si="12"/>
        <v>358.21375481695566</v>
      </c>
      <c r="G117" s="83">
        <f t="shared" si="9"/>
        <v>78.807026059730248</v>
      </c>
      <c r="H117" s="83">
        <f>F117*'92'!$C$20/100</f>
        <v>71.244009207553887</v>
      </c>
      <c r="I117" s="83">
        <f>E117*'матер. тепло'!$F$40</f>
        <v>20.26463463730893</v>
      </c>
      <c r="J117" s="83">
        <f t="shared" si="10"/>
        <v>0.30153091858921549</v>
      </c>
    </row>
    <row r="118" spans="1:10" x14ac:dyDescent="0.2">
      <c r="A118" s="164">
        <v>116</v>
      </c>
      <c r="B118" s="285" t="s">
        <v>446</v>
      </c>
      <c r="C118" s="330">
        <v>3688.59</v>
      </c>
      <c r="D118" s="339">
        <v>1315</v>
      </c>
      <c r="E118" s="83">
        <f t="shared" si="11"/>
        <v>8.709657996146436E-2</v>
      </c>
      <c r="F118" s="83">
        <f t="shared" si="12"/>
        <v>841.16265640052995</v>
      </c>
      <c r="G118" s="83">
        <f t="shared" si="9"/>
        <v>185.05578440811661</v>
      </c>
      <c r="H118" s="83">
        <f>F118*'92'!$C$20/100</f>
        <v>167.29620019273818</v>
      </c>
      <c r="I118" s="83">
        <f>E118*'матер. тепло'!$F$40</f>
        <v>47.585704550109369</v>
      </c>
      <c r="J118" s="83">
        <f t="shared" si="10"/>
        <v>0.3364701269459317</v>
      </c>
    </row>
    <row r="119" spans="1:10" x14ac:dyDescent="0.2">
      <c r="A119" s="164">
        <v>117</v>
      </c>
      <c r="B119" s="285" t="s">
        <v>447</v>
      </c>
      <c r="C119" s="330">
        <v>3868.13</v>
      </c>
      <c r="D119" s="339">
        <v>1066</v>
      </c>
      <c r="E119" s="83">
        <f t="shared" si="11"/>
        <v>7.0604527938342973E-2</v>
      </c>
      <c r="F119" s="83">
        <f t="shared" si="12"/>
        <v>681.88546899084793</v>
      </c>
      <c r="G119" s="83">
        <f t="shared" si="9"/>
        <v>150.01480317798655</v>
      </c>
      <c r="H119" s="83">
        <f>F119*'92'!$C$20/100</f>
        <v>135.61806038437942</v>
      </c>
      <c r="I119" s="83">
        <f>E119*'матер. тепло'!$F$40</f>
        <v>38.57517950602022</v>
      </c>
      <c r="J119" s="83">
        <f t="shared" si="10"/>
        <v>0.26009816424454041</v>
      </c>
    </row>
    <row r="120" spans="1:10" x14ac:dyDescent="0.2">
      <c r="A120" s="164">
        <v>118</v>
      </c>
      <c r="B120" s="285" t="s">
        <v>448</v>
      </c>
      <c r="C120" s="330">
        <v>2821.38</v>
      </c>
      <c r="D120" s="339">
        <v>896</v>
      </c>
      <c r="E120" s="83">
        <f t="shared" si="11"/>
        <v>5.9344894026974952E-2</v>
      </c>
      <c r="F120" s="83">
        <f t="shared" si="12"/>
        <v>573.1420077071291</v>
      </c>
      <c r="G120" s="83">
        <f t="shared" si="9"/>
        <v>126.0912416955684</v>
      </c>
      <c r="H120" s="83">
        <f>F120*'92'!$C$20/100</f>
        <v>113.99041473208622</v>
      </c>
      <c r="I120" s="83">
        <f>E120*'матер. тепло'!$F$40</f>
        <v>32.423415419694294</v>
      </c>
      <c r="J120" s="83">
        <f t="shared" si="10"/>
        <v>0.2997281754157462</v>
      </c>
    </row>
    <row r="121" spans="1:10" x14ac:dyDescent="0.2">
      <c r="A121" s="164">
        <v>119</v>
      </c>
      <c r="B121" s="285" t="s">
        <v>449</v>
      </c>
      <c r="C121" s="330">
        <v>4277.29</v>
      </c>
      <c r="D121" s="339">
        <v>1204</v>
      </c>
      <c r="E121" s="83">
        <f t="shared" si="11"/>
        <v>7.9744701348747588E-2</v>
      </c>
      <c r="F121" s="83">
        <f t="shared" si="12"/>
        <v>770.1595728564547</v>
      </c>
      <c r="G121" s="83">
        <f t="shared" si="9"/>
        <v>169.43510602842005</v>
      </c>
      <c r="H121" s="83">
        <f>F121*'92'!$C$20/100</f>
        <v>153.17461979624088</v>
      </c>
      <c r="I121" s="83">
        <f>E121*'матер. тепло'!$F$40</f>
        <v>43.568964470214205</v>
      </c>
      <c r="J121" s="83">
        <f t="shared" si="10"/>
        <v>0.2656678090920489</v>
      </c>
    </row>
    <row r="122" spans="1:10" x14ac:dyDescent="0.2">
      <c r="A122" s="164">
        <v>120</v>
      </c>
      <c r="B122" s="285" t="s">
        <v>450</v>
      </c>
      <c r="C122" s="330">
        <v>2171.3000000000002</v>
      </c>
      <c r="D122" s="339">
        <v>903</v>
      </c>
      <c r="E122" s="83">
        <f t="shared" si="11"/>
        <v>5.9808526011560698E-2</v>
      </c>
      <c r="F122" s="83">
        <f t="shared" si="12"/>
        <v>577.61967964234111</v>
      </c>
      <c r="G122" s="83">
        <f t="shared" si="9"/>
        <v>127.07632952131503</v>
      </c>
      <c r="H122" s="83">
        <f>F122*'92'!$C$20/100</f>
        <v>114.88096484718068</v>
      </c>
      <c r="I122" s="83">
        <f>E122*'матер. тепло'!$F$40</f>
        <v>32.676723352660659</v>
      </c>
      <c r="J122" s="83">
        <f t="shared" si="10"/>
        <v>0.39250849599940013</v>
      </c>
    </row>
    <row r="123" spans="1:10" x14ac:dyDescent="0.2">
      <c r="A123" s="164">
        <v>121</v>
      </c>
      <c r="B123" s="285" t="s">
        <v>451</v>
      </c>
      <c r="C123" s="330">
        <v>5707.1</v>
      </c>
      <c r="D123" s="339">
        <v>1560</v>
      </c>
      <c r="E123" s="83">
        <f t="shared" si="11"/>
        <v>0.10332369942196531</v>
      </c>
      <c r="F123" s="83">
        <f t="shared" si="12"/>
        <v>997.88117413294799</v>
      </c>
      <c r="G123" s="83">
        <f t="shared" si="9"/>
        <v>219.53385830924856</v>
      </c>
      <c r="H123" s="83">
        <f>F123*'92'!$C$20/100</f>
        <v>198.46545422104299</v>
      </c>
      <c r="I123" s="83">
        <f>E123*'матер. тепло'!$F$40</f>
        <v>56.451482203932024</v>
      </c>
      <c r="J123" s="83">
        <f t="shared" si="10"/>
        <v>0.25798250755500546</v>
      </c>
    </row>
    <row r="124" spans="1:10" x14ac:dyDescent="0.2">
      <c r="A124" s="164">
        <v>122</v>
      </c>
      <c r="B124" s="285" t="s">
        <v>452</v>
      </c>
      <c r="C124" s="330">
        <v>1727.35</v>
      </c>
      <c r="D124" s="339">
        <v>652</v>
      </c>
      <c r="E124" s="83">
        <f t="shared" si="11"/>
        <v>4.3184007707129095E-2</v>
      </c>
      <c r="F124" s="83">
        <f t="shared" si="12"/>
        <v>417.06315739402697</v>
      </c>
      <c r="G124" s="83">
        <f t="shared" si="9"/>
        <v>91.753894626685948</v>
      </c>
      <c r="H124" s="83">
        <f>F124*'92'!$C$20/100</f>
        <v>82.948382148794906</v>
      </c>
      <c r="I124" s="83">
        <f>E124*'матер. тепло'!$F$40</f>
        <v>23.593824613438258</v>
      </c>
      <c r="J124" s="83">
        <f t="shared" si="10"/>
        <v>0.35624468624363692</v>
      </c>
    </row>
    <row r="125" spans="1:10" x14ac:dyDescent="0.2">
      <c r="A125" s="164">
        <v>123</v>
      </c>
      <c r="B125" s="285" t="s">
        <v>453</v>
      </c>
      <c r="C125" s="330">
        <v>2522.5500000000002</v>
      </c>
      <c r="D125" s="339">
        <v>649</v>
      </c>
      <c r="E125" s="83">
        <f t="shared" si="11"/>
        <v>4.2985308285163774E-2</v>
      </c>
      <c r="F125" s="83">
        <f t="shared" si="12"/>
        <v>415.14415513607901</v>
      </c>
      <c r="G125" s="83">
        <f t="shared" si="9"/>
        <v>91.331714129937396</v>
      </c>
      <c r="H125" s="83">
        <f>F125*'92'!$C$20/100</f>
        <v>82.566717813754423</v>
      </c>
      <c r="I125" s="83">
        <f>E125*'матер. тепло'!$F$40</f>
        <v>23.485264070738388</v>
      </c>
      <c r="J125" s="83">
        <f t="shared" si="10"/>
        <v>0.24282089597847778</v>
      </c>
    </row>
    <row r="126" spans="1:10" x14ac:dyDescent="0.2">
      <c r="A126" s="164">
        <v>124</v>
      </c>
      <c r="B126" s="285" t="s">
        <v>454</v>
      </c>
      <c r="C126" s="330">
        <v>2516.6999999999998</v>
      </c>
      <c r="D126" s="339">
        <v>844</v>
      </c>
      <c r="E126" s="83">
        <f t="shared" si="11"/>
        <v>5.5900770712909442E-2</v>
      </c>
      <c r="F126" s="83">
        <f t="shared" si="12"/>
        <v>539.87930190269753</v>
      </c>
      <c r="G126" s="83">
        <f t="shared" si="9"/>
        <v>118.77344641859345</v>
      </c>
      <c r="H126" s="83">
        <f>F126*'92'!$C$20/100</f>
        <v>107.3748995913848</v>
      </c>
      <c r="I126" s="83">
        <f>E126*'матер. тепло'!$F$40</f>
        <v>30.54169934622989</v>
      </c>
      <c r="J126" s="83">
        <f t="shared" si="10"/>
        <v>0.31651342919652947</v>
      </c>
    </row>
    <row r="127" spans="1:10" x14ac:dyDescent="0.2">
      <c r="A127" s="164">
        <v>125</v>
      </c>
      <c r="B127" s="285" t="s">
        <v>455</v>
      </c>
      <c r="C127" s="330">
        <v>1774.47</v>
      </c>
      <c r="D127" s="339">
        <v>652</v>
      </c>
      <c r="E127" s="83">
        <f t="shared" si="11"/>
        <v>4.3184007707129095E-2</v>
      </c>
      <c r="F127" s="83">
        <f t="shared" si="12"/>
        <v>417.06315739402697</v>
      </c>
      <c r="G127" s="83">
        <f t="shared" si="9"/>
        <v>91.753894626685948</v>
      </c>
      <c r="H127" s="83">
        <f>F127*'92'!$C$20/100</f>
        <v>82.948382148794906</v>
      </c>
      <c r="I127" s="83">
        <f>E127*'матер. тепло'!$F$40</f>
        <v>23.593824613438258</v>
      </c>
      <c r="J127" s="83">
        <f t="shared" si="10"/>
        <v>0.34678481957032026</v>
      </c>
    </row>
    <row r="128" spans="1:10" x14ac:dyDescent="0.2">
      <c r="A128" s="164">
        <v>126</v>
      </c>
      <c r="B128" s="285" t="s">
        <v>456</v>
      </c>
      <c r="C128" s="330">
        <v>1727.7</v>
      </c>
      <c r="D128" s="339">
        <v>650</v>
      </c>
      <c r="E128" s="83">
        <f t="shared" si="11"/>
        <v>4.3051541425818886E-2</v>
      </c>
      <c r="F128" s="83">
        <f t="shared" si="12"/>
        <v>415.78382255539503</v>
      </c>
      <c r="G128" s="83">
        <f t="shared" si="9"/>
        <v>91.472440962186909</v>
      </c>
      <c r="H128" s="83">
        <f>F128*'92'!$C$20/100</f>
        <v>82.693939258767927</v>
      </c>
      <c r="I128" s="83">
        <f>E128*'матер. тепло'!$F$40</f>
        <v>23.521450918305014</v>
      </c>
      <c r="J128" s="83">
        <f t="shared" si="10"/>
        <v>0.35507996393740521</v>
      </c>
    </row>
    <row r="129" spans="1:10" x14ac:dyDescent="0.2">
      <c r="A129" s="164">
        <v>127</v>
      </c>
      <c r="B129" s="285" t="s">
        <v>457</v>
      </c>
      <c r="C129" s="330">
        <v>3216.3</v>
      </c>
      <c r="D129" s="339">
        <v>904</v>
      </c>
      <c r="E129" s="83">
        <f t="shared" si="11"/>
        <v>5.9874759152215802E-2</v>
      </c>
      <c r="F129" s="83">
        <f t="shared" si="12"/>
        <v>578.25934706165708</v>
      </c>
      <c r="G129" s="83">
        <f t="shared" si="9"/>
        <v>127.21705635356454</v>
      </c>
      <c r="H129" s="83">
        <f>F129*'92'!$C$20/100</f>
        <v>115.00818629219415</v>
      </c>
      <c r="I129" s="83">
        <f>E129*'матер. тепло'!$F$40</f>
        <v>32.712910200227277</v>
      </c>
      <c r="J129" s="83">
        <f t="shared" si="10"/>
        <v>0.26527298445656283</v>
      </c>
    </row>
    <row r="130" spans="1:10" x14ac:dyDescent="0.2">
      <c r="A130" s="164">
        <v>128</v>
      </c>
      <c r="B130" s="285" t="s">
        <v>458</v>
      </c>
      <c r="C130" s="330">
        <v>3895.1</v>
      </c>
      <c r="D130" s="339">
        <v>1190</v>
      </c>
      <c r="E130" s="83">
        <f t="shared" si="11"/>
        <v>7.8817437379576111E-2</v>
      </c>
      <c r="F130" s="83">
        <f t="shared" si="12"/>
        <v>761.2042289860309</v>
      </c>
      <c r="G130" s="83">
        <f t="shared" si="9"/>
        <v>167.46493037692679</v>
      </c>
      <c r="H130" s="83">
        <f>F130*'92'!$C$20/100</f>
        <v>151.39351956605205</v>
      </c>
      <c r="I130" s="83">
        <f>E130*'матер. тепло'!$F$40</f>
        <v>43.062348604281482</v>
      </c>
      <c r="J130" s="83">
        <f t="shared" si="10"/>
        <v>0.28834305346031969</v>
      </c>
    </row>
    <row r="131" spans="1:10" x14ac:dyDescent="0.2">
      <c r="A131" s="164">
        <v>129</v>
      </c>
      <c r="B131" s="285" t="s">
        <v>459</v>
      </c>
      <c r="C131" s="330">
        <v>4002.8</v>
      </c>
      <c r="D131" s="339">
        <v>1200</v>
      </c>
      <c r="E131" s="83">
        <f t="shared" si="11"/>
        <v>7.947976878612717E-2</v>
      </c>
      <c r="F131" s="83">
        <f t="shared" si="12"/>
        <v>767.60090317919082</v>
      </c>
      <c r="G131" s="83">
        <f t="shared" si="9"/>
        <v>168.87219869942197</v>
      </c>
      <c r="H131" s="83">
        <f>F131*'92'!$C$20/100</f>
        <v>152.66573401618695</v>
      </c>
      <c r="I131" s="83">
        <f>E131*'матер. тепло'!$F$40</f>
        <v>43.424217079947717</v>
      </c>
      <c r="J131" s="83">
        <f t="shared" si="10"/>
        <v>0.28294270335134092</v>
      </c>
    </row>
    <row r="132" spans="1:10" x14ac:dyDescent="0.2">
      <c r="A132" s="164">
        <v>130</v>
      </c>
      <c r="B132" s="285" t="s">
        <v>460</v>
      </c>
      <c r="C132" s="330">
        <v>3852.63</v>
      </c>
      <c r="D132" s="339">
        <v>1200</v>
      </c>
      <c r="E132" s="83">
        <f t="shared" si="11"/>
        <v>7.947976878612717E-2</v>
      </c>
      <c r="F132" s="83">
        <f t="shared" si="12"/>
        <v>767.60090317919082</v>
      </c>
      <c r="G132" s="83">
        <f t="shared" ref="G132:G160" si="13">F132*22/100</f>
        <v>168.87219869942197</v>
      </c>
      <c r="H132" s="83">
        <f>F132*'92'!$C$20/100</f>
        <v>152.66573401618695</v>
      </c>
      <c r="I132" s="83">
        <f>E132*'матер. тепло'!$F$40</f>
        <v>43.424217079947717</v>
      </c>
      <c r="J132" s="83">
        <f t="shared" si="10"/>
        <v>0.29397140472216315</v>
      </c>
    </row>
    <row r="133" spans="1:10" x14ac:dyDescent="0.2">
      <c r="A133" s="164">
        <v>131</v>
      </c>
      <c r="B133" s="285" t="s">
        <v>461</v>
      </c>
      <c r="C133" s="330">
        <v>3560.4</v>
      </c>
      <c r="D133" s="339">
        <v>1020</v>
      </c>
      <c r="E133" s="83">
        <f t="shared" si="11"/>
        <v>6.7557803468208097E-2</v>
      </c>
      <c r="F133" s="83">
        <f t="shared" si="12"/>
        <v>652.46076770231218</v>
      </c>
      <c r="G133" s="83">
        <f t="shared" si="13"/>
        <v>143.54136889450868</v>
      </c>
      <c r="H133" s="83">
        <f>F133*'92'!$C$20/100</f>
        <v>129.7658739137589</v>
      </c>
      <c r="I133" s="83">
        <f>E133*'матер. тепло'!$F$40</f>
        <v>36.910584517955556</v>
      </c>
      <c r="J133" s="83">
        <f t="shared" si="10"/>
        <v>0.27038495535011103</v>
      </c>
    </row>
    <row r="134" spans="1:10" x14ac:dyDescent="0.2">
      <c r="A134" s="164">
        <v>132</v>
      </c>
      <c r="B134" s="285" t="s">
        <v>462</v>
      </c>
      <c r="C134" s="330">
        <v>944.7</v>
      </c>
      <c r="D134" s="339">
        <v>380</v>
      </c>
      <c r="E134" s="83">
        <f t="shared" si="11"/>
        <v>2.516859344894027E-2</v>
      </c>
      <c r="F134" s="83">
        <f t="shared" si="12"/>
        <v>243.07361934007707</v>
      </c>
      <c r="G134" s="83">
        <f t="shared" si="13"/>
        <v>53.476196254816962</v>
      </c>
      <c r="H134" s="83">
        <f>F134*'92'!$C$20/100</f>
        <v>48.344149105125865</v>
      </c>
      <c r="I134" s="83">
        <f>E134*'матер. тепло'!$F$40</f>
        <v>13.751002075316777</v>
      </c>
      <c r="J134" s="83">
        <f t="shared" si="10"/>
        <v>0.37963900367877274</v>
      </c>
    </row>
    <row r="135" spans="1:10" x14ac:dyDescent="0.2">
      <c r="A135" s="164">
        <v>133</v>
      </c>
      <c r="B135" s="285" t="s">
        <v>463</v>
      </c>
      <c r="C135" s="330">
        <v>2428.5</v>
      </c>
      <c r="D135" s="339">
        <v>760</v>
      </c>
      <c r="E135" s="83">
        <f t="shared" si="11"/>
        <v>5.033718689788054E-2</v>
      </c>
      <c r="F135" s="83">
        <f t="shared" si="12"/>
        <v>486.14723868015415</v>
      </c>
      <c r="G135" s="83">
        <f t="shared" si="13"/>
        <v>106.95239250963392</v>
      </c>
      <c r="H135" s="83">
        <f>F135*'92'!$C$20/100</f>
        <v>96.68829821025173</v>
      </c>
      <c r="I135" s="83">
        <f>E135*'матер. тепло'!$F$40</f>
        <v>27.502004150633553</v>
      </c>
      <c r="J135" s="83">
        <f t="shared" si="10"/>
        <v>0.29536336567867955</v>
      </c>
    </row>
    <row r="136" spans="1:10" x14ac:dyDescent="0.2">
      <c r="A136" s="164">
        <v>134</v>
      </c>
      <c r="B136" s="285" t="s">
        <v>464</v>
      </c>
      <c r="C136" s="330">
        <v>4861.91</v>
      </c>
      <c r="D136" s="339">
        <v>790</v>
      </c>
      <c r="E136" s="83">
        <f t="shared" si="11"/>
        <v>5.2324181117533716E-2</v>
      </c>
      <c r="F136" s="83">
        <f t="shared" si="12"/>
        <v>505.33726125963392</v>
      </c>
      <c r="G136" s="83">
        <f t="shared" si="13"/>
        <v>111.17419747711946</v>
      </c>
      <c r="H136" s="83">
        <f>F136*'92'!$C$20/100</f>
        <v>100.50494156065639</v>
      </c>
      <c r="I136" s="83">
        <f>E136*'матер. тепло'!$F$40</f>
        <v>28.587609577632243</v>
      </c>
      <c r="J136" s="83">
        <f t="shared" si="10"/>
        <v>0.1533561933221804</v>
      </c>
    </row>
    <row r="137" spans="1:10" x14ac:dyDescent="0.2">
      <c r="A137" s="164">
        <v>135</v>
      </c>
      <c r="B137" s="285" t="s">
        <v>465</v>
      </c>
      <c r="C137" s="330">
        <v>3078.77</v>
      </c>
      <c r="D137" s="339">
        <v>900</v>
      </c>
      <c r="E137" s="83">
        <f t="shared" si="11"/>
        <v>5.9609826589595377E-2</v>
      </c>
      <c r="F137" s="83">
        <f t="shared" si="12"/>
        <v>575.70067738439309</v>
      </c>
      <c r="G137" s="83">
        <f t="shared" si="13"/>
        <v>126.65414902456649</v>
      </c>
      <c r="H137" s="83">
        <f>F137*'92'!$C$20/100</f>
        <v>114.49930051214019</v>
      </c>
      <c r="I137" s="83">
        <f>E137*'матер. тепло'!$F$40</f>
        <v>32.568162809960782</v>
      </c>
      <c r="J137" s="83">
        <f t="shared" si="10"/>
        <v>0.27589663720611168</v>
      </c>
    </row>
    <row r="138" spans="1:10" x14ac:dyDescent="0.2">
      <c r="A138" s="164">
        <v>136</v>
      </c>
      <c r="B138" s="285" t="s">
        <v>466</v>
      </c>
      <c r="C138" s="330">
        <v>3188.68</v>
      </c>
      <c r="D138" s="339">
        <v>1358</v>
      </c>
      <c r="E138" s="83">
        <f t="shared" si="11"/>
        <v>8.9944605009633916E-2</v>
      </c>
      <c r="F138" s="83">
        <f t="shared" si="12"/>
        <v>868.66835543111767</v>
      </c>
      <c r="G138" s="83">
        <f t="shared" si="13"/>
        <v>191.10703819484587</v>
      </c>
      <c r="H138" s="83">
        <f>F138*'92'!$C$20/100</f>
        <v>172.76672232831822</v>
      </c>
      <c r="I138" s="83">
        <f>E138*'матер. тепло'!$F$40</f>
        <v>49.141738995474164</v>
      </c>
      <c r="J138" s="83">
        <f t="shared" si="10"/>
        <v>0.40194809606161669</v>
      </c>
    </row>
    <row r="139" spans="1:10" x14ac:dyDescent="0.2">
      <c r="A139" s="164">
        <v>137</v>
      </c>
      <c r="B139" s="285" t="s">
        <v>467</v>
      </c>
      <c r="C139" s="330">
        <v>2782.65</v>
      </c>
      <c r="D139" s="339">
        <v>720</v>
      </c>
      <c r="E139" s="83">
        <f t="shared" si="11"/>
        <v>4.7687861271676305E-2</v>
      </c>
      <c r="F139" s="83">
        <f t="shared" si="12"/>
        <v>460.56054190751451</v>
      </c>
      <c r="G139" s="83">
        <f t="shared" si="13"/>
        <v>101.32331921965319</v>
      </c>
      <c r="H139" s="83">
        <f>F139*'92'!$C$20/100</f>
        <v>91.599440409712173</v>
      </c>
      <c r="I139" s="83">
        <f>E139*'матер. тепло'!$F$40</f>
        <v>26.054530247968628</v>
      </c>
      <c r="J139" s="83">
        <f t="shared" si="10"/>
        <v>0.24420528337550484</v>
      </c>
    </row>
    <row r="140" spans="1:10" x14ac:dyDescent="0.2">
      <c r="A140" s="164">
        <v>138</v>
      </c>
      <c r="B140" s="285" t="s">
        <v>468</v>
      </c>
      <c r="C140" s="330">
        <v>2258.6</v>
      </c>
      <c r="D140" s="339">
        <v>754</v>
      </c>
      <c r="E140" s="83">
        <f t="shared" si="11"/>
        <v>4.9939788053949906E-2</v>
      </c>
      <c r="F140" s="83">
        <f t="shared" si="12"/>
        <v>482.30923416425821</v>
      </c>
      <c r="G140" s="83">
        <f t="shared" si="13"/>
        <v>106.1080315161368</v>
      </c>
      <c r="H140" s="83">
        <f>F140*'92'!$C$20/100</f>
        <v>95.924969540170792</v>
      </c>
      <c r="I140" s="83">
        <f>E140*'матер. тепло'!$F$40</f>
        <v>27.284883065233814</v>
      </c>
      <c r="J140" s="83">
        <f t="shared" si="10"/>
        <v>0.31507443473204622</v>
      </c>
    </row>
    <row r="141" spans="1:10" x14ac:dyDescent="0.2">
      <c r="A141" s="164">
        <v>139</v>
      </c>
      <c r="B141" s="285" t="s">
        <v>469</v>
      </c>
      <c r="C141" s="330">
        <v>1910</v>
      </c>
      <c r="D141" s="339">
        <v>600</v>
      </c>
      <c r="E141" s="83">
        <f t="shared" si="11"/>
        <v>3.9739884393063585E-2</v>
      </c>
      <c r="F141" s="83">
        <f t="shared" si="12"/>
        <v>383.80045158959541</v>
      </c>
      <c r="G141" s="83">
        <f t="shared" si="13"/>
        <v>84.436099349710986</v>
      </c>
      <c r="H141" s="83">
        <f>F141*'92'!$C$20/100</f>
        <v>76.332867008093473</v>
      </c>
      <c r="I141" s="83">
        <f>E141*'матер. тепло'!$F$40</f>
        <v>21.712108539973858</v>
      </c>
      <c r="J141" s="83">
        <f t="shared" si="10"/>
        <v>0.29648247460071925</v>
      </c>
    </row>
    <row r="142" spans="1:10" x14ac:dyDescent="0.2">
      <c r="A142" s="164">
        <v>140</v>
      </c>
      <c r="B142" s="285" t="s">
        <v>470</v>
      </c>
      <c r="C142" s="330">
        <v>2522.5</v>
      </c>
      <c r="D142" s="339">
        <v>378</v>
      </c>
      <c r="E142" s="83">
        <f t="shared" si="11"/>
        <v>2.5036127167630057E-2</v>
      </c>
      <c r="F142" s="83">
        <f t="shared" si="12"/>
        <v>241.79428450144511</v>
      </c>
      <c r="G142" s="83">
        <f t="shared" si="13"/>
        <v>53.194742590317922</v>
      </c>
      <c r="H142" s="83">
        <f>F142*'92'!$C$20/100</f>
        <v>48.089706215098886</v>
      </c>
      <c r="I142" s="83">
        <f>E142*'матер. тепло'!$F$40</f>
        <v>13.678628380183529</v>
      </c>
      <c r="J142" s="83">
        <f t="shared" si="10"/>
        <v>0.14143007400873953</v>
      </c>
    </row>
    <row r="143" spans="1:10" x14ac:dyDescent="0.2">
      <c r="A143" s="164">
        <v>141</v>
      </c>
      <c r="B143" s="285" t="s">
        <v>471</v>
      </c>
      <c r="C143" s="330">
        <v>3459.82</v>
      </c>
      <c r="D143" s="339">
        <v>1045</v>
      </c>
      <c r="E143" s="83">
        <f t="shared" si="11"/>
        <v>6.9213631984585744E-2</v>
      </c>
      <c r="F143" s="83">
        <f t="shared" si="12"/>
        <v>668.45245318521199</v>
      </c>
      <c r="G143" s="83">
        <f t="shared" si="13"/>
        <v>147.05953970074665</v>
      </c>
      <c r="H143" s="83">
        <f>F143*'92'!$C$20/100</f>
        <v>132.94641003909612</v>
      </c>
      <c r="I143" s="83">
        <f>E143*'матер. тепло'!$F$40</f>
        <v>37.815255707121132</v>
      </c>
      <c r="J143" s="83">
        <f t="shared" si="10"/>
        <v>0.28506502032827596</v>
      </c>
    </row>
    <row r="144" spans="1:10" x14ac:dyDescent="0.2">
      <c r="A144" s="164">
        <v>142</v>
      </c>
      <c r="B144" s="285" t="s">
        <v>472</v>
      </c>
      <c r="C144" s="330">
        <v>1752.03</v>
      </c>
      <c r="D144" s="339">
        <v>540</v>
      </c>
      <c r="E144" s="83">
        <f t="shared" si="11"/>
        <v>3.5765895953757225E-2</v>
      </c>
      <c r="F144" s="83">
        <f t="shared" si="12"/>
        <v>345.42040643063586</v>
      </c>
      <c r="G144" s="83">
        <f t="shared" si="13"/>
        <v>75.992489414739893</v>
      </c>
      <c r="H144" s="83">
        <f>F144*'92'!$C$20/100</f>
        <v>68.699580307284123</v>
      </c>
      <c r="I144" s="83">
        <f>E144*'матер. тепло'!$F$40</f>
        <v>19.540897685976471</v>
      </c>
      <c r="J144" s="83">
        <f t="shared" si="10"/>
        <v>0.29089306338283955</v>
      </c>
    </row>
    <row r="145" spans="1:10" x14ac:dyDescent="0.2">
      <c r="A145" s="164">
        <v>143</v>
      </c>
      <c r="B145" s="285" t="s">
        <v>473</v>
      </c>
      <c r="C145" s="330">
        <v>4953.7</v>
      </c>
      <c r="D145" s="339">
        <v>1812</v>
      </c>
      <c r="E145" s="83">
        <f t="shared" si="11"/>
        <v>0.12001445086705202</v>
      </c>
      <c r="F145" s="83">
        <f t="shared" si="12"/>
        <v>1159.077363800578</v>
      </c>
      <c r="G145" s="83">
        <f t="shared" si="13"/>
        <v>254.99702003612717</v>
      </c>
      <c r="H145" s="83">
        <f>F145*'92'!$C$20/100</f>
        <v>230.52525836444227</v>
      </c>
      <c r="I145" s="83">
        <f>E145*'матер. тепло'!$F$40</f>
        <v>65.570567790721043</v>
      </c>
      <c r="J145" s="83">
        <f t="shared" si="10"/>
        <v>0.34523087994668</v>
      </c>
    </row>
    <row r="146" spans="1:10" x14ac:dyDescent="0.2">
      <c r="A146" s="164">
        <v>144</v>
      </c>
      <c r="B146" s="285" t="s">
        <v>474</v>
      </c>
      <c r="C146" s="330">
        <v>1706.17</v>
      </c>
      <c r="D146" s="339">
        <v>570</v>
      </c>
      <c r="E146" s="83">
        <f t="shared" si="11"/>
        <v>3.7752890173410408E-2</v>
      </c>
      <c r="F146" s="83">
        <f t="shared" si="12"/>
        <v>364.61042901011564</v>
      </c>
      <c r="G146" s="83">
        <f t="shared" si="13"/>
        <v>80.214294382225447</v>
      </c>
      <c r="H146" s="83">
        <f>F146*'92'!$C$20/100</f>
        <v>72.516223657688798</v>
      </c>
      <c r="I146" s="83">
        <f>E146*'матер. тепло'!$F$40</f>
        <v>20.626503112975165</v>
      </c>
      <c r="J146" s="83">
        <f t="shared" si="10"/>
        <v>0.31530706211163306</v>
      </c>
    </row>
    <row r="147" spans="1:10" x14ac:dyDescent="0.2">
      <c r="A147" s="164">
        <v>145</v>
      </c>
      <c r="B147" s="285" t="s">
        <v>475</v>
      </c>
      <c r="C147" s="330">
        <v>1135.3399999999999</v>
      </c>
      <c r="D147" s="339">
        <v>550</v>
      </c>
      <c r="E147" s="83">
        <f t="shared" si="11"/>
        <v>3.6428227360308284E-2</v>
      </c>
      <c r="F147" s="83">
        <f t="shared" si="12"/>
        <v>351.81708062379579</v>
      </c>
      <c r="G147" s="83">
        <f t="shared" si="13"/>
        <v>77.399757737235078</v>
      </c>
      <c r="H147" s="83">
        <f>F147*'92'!$C$20/100</f>
        <v>69.971794757419005</v>
      </c>
      <c r="I147" s="83">
        <f>E147*'матер. тепло'!$F$40</f>
        <v>19.902766161642699</v>
      </c>
      <c r="J147" s="83">
        <f t="shared" si="10"/>
        <v>0.45721228819568815</v>
      </c>
    </row>
    <row r="148" spans="1:10" x14ac:dyDescent="0.2">
      <c r="A148" s="164">
        <v>146</v>
      </c>
      <c r="B148" s="285" t="s">
        <v>476</v>
      </c>
      <c r="C148" s="330">
        <v>1716.28</v>
      </c>
      <c r="D148" s="339">
        <v>500</v>
      </c>
      <c r="E148" s="83">
        <f t="shared" si="11"/>
        <v>3.311657032755299E-2</v>
      </c>
      <c r="F148" s="83">
        <f t="shared" si="12"/>
        <v>319.83370965799617</v>
      </c>
      <c r="G148" s="83">
        <f t="shared" si="13"/>
        <v>70.363416124759155</v>
      </c>
      <c r="H148" s="83">
        <f>F148*'92'!$C$20/100</f>
        <v>63.610722506744551</v>
      </c>
      <c r="I148" s="83">
        <f>E148*'матер. тепло'!$F$40</f>
        <v>18.093423783311547</v>
      </c>
      <c r="J148" s="83">
        <f t="shared" si="10"/>
        <v>0.27495587670590549</v>
      </c>
    </row>
    <row r="149" spans="1:10" x14ac:dyDescent="0.2">
      <c r="A149" s="164">
        <v>147</v>
      </c>
      <c r="B149" s="285" t="s">
        <v>477</v>
      </c>
      <c r="C149" s="330">
        <v>2696.17</v>
      </c>
      <c r="D149" s="339">
        <v>1024</v>
      </c>
      <c r="E149" s="83">
        <f t="shared" si="11"/>
        <v>6.7822736030828515E-2</v>
      </c>
      <c r="F149" s="83">
        <f t="shared" si="12"/>
        <v>655.01943737957617</v>
      </c>
      <c r="G149" s="83">
        <f t="shared" si="13"/>
        <v>144.10427622350676</v>
      </c>
      <c r="H149" s="83">
        <f>F149*'92'!$C$20/100</f>
        <v>130.27475969381285</v>
      </c>
      <c r="I149" s="83">
        <f>E149*'матер. тепло'!$F$40</f>
        <v>37.055331908222044</v>
      </c>
      <c r="J149" s="83">
        <f t="shared" si="10"/>
        <v>0.35845432788181669</v>
      </c>
    </row>
    <row r="150" spans="1:10" x14ac:dyDescent="0.2">
      <c r="A150" s="164">
        <v>148</v>
      </c>
      <c r="B150" s="285" t="s">
        <v>478</v>
      </c>
      <c r="C150" s="330">
        <v>1747.74</v>
      </c>
      <c r="D150" s="339">
        <v>538</v>
      </c>
      <c r="E150" s="83">
        <f t="shared" si="11"/>
        <v>3.5633429672447016E-2</v>
      </c>
      <c r="F150" s="83">
        <f t="shared" si="12"/>
        <v>344.14107159200387</v>
      </c>
      <c r="G150" s="83">
        <f t="shared" si="13"/>
        <v>75.711035750240853</v>
      </c>
      <c r="H150" s="83">
        <f>F150*'92'!$C$20/100</f>
        <v>68.445137417257143</v>
      </c>
      <c r="I150" s="83">
        <f>E150*'матер. тепло'!$F$40</f>
        <v>19.468523990843227</v>
      </c>
      <c r="J150" s="83">
        <f t="shared" si="10"/>
        <v>0.29052706280702223</v>
      </c>
    </row>
    <row r="151" spans="1:10" x14ac:dyDescent="0.2">
      <c r="A151" s="164">
        <v>149</v>
      </c>
      <c r="B151" s="285" t="s">
        <v>479</v>
      </c>
      <c r="C151" s="330">
        <v>1129.0999999999999</v>
      </c>
      <c r="D151" s="339">
        <v>311</v>
      </c>
      <c r="E151" s="83">
        <f t="shared" si="11"/>
        <v>2.0598506743737959E-2</v>
      </c>
      <c r="F151" s="83">
        <f t="shared" si="12"/>
        <v>198.93656740727363</v>
      </c>
      <c r="G151" s="83">
        <f t="shared" si="13"/>
        <v>43.766044829600197</v>
      </c>
      <c r="H151" s="83">
        <f>F151*'92'!$C$20/100</f>
        <v>39.565869399195115</v>
      </c>
      <c r="I151" s="83">
        <f>E151*'матер. тепло'!$F$40</f>
        <v>11.254109593219782</v>
      </c>
      <c r="J151" s="83">
        <f t="shared" si="10"/>
        <v>0.25996155453838343</v>
      </c>
    </row>
    <row r="152" spans="1:10" x14ac:dyDescent="0.2">
      <c r="A152" s="164">
        <v>150</v>
      </c>
      <c r="B152" s="285" t="s">
        <v>480</v>
      </c>
      <c r="C152" s="330">
        <v>1724</v>
      </c>
      <c r="D152" s="339">
        <v>666</v>
      </c>
      <c r="E152" s="83">
        <f t="shared" si="11"/>
        <v>4.4111271676300579E-2</v>
      </c>
      <c r="F152" s="83">
        <f t="shared" si="12"/>
        <v>426.01850126445089</v>
      </c>
      <c r="G152" s="83">
        <f t="shared" si="13"/>
        <v>93.724070278179184</v>
      </c>
      <c r="H152" s="83">
        <f>F152*'92'!$C$20/100</f>
        <v>84.729482378983732</v>
      </c>
      <c r="I152" s="83">
        <f>E152*'матер. тепло'!$F$40</f>
        <v>24.100440479370981</v>
      </c>
      <c r="J152" s="83">
        <f t="shared" si="10"/>
        <v>0.36460121484975921</v>
      </c>
    </row>
    <row r="153" spans="1:10" x14ac:dyDescent="0.2">
      <c r="A153" s="164">
        <v>151</v>
      </c>
      <c r="B153" s="285" t="s">
        <v>481</v>
      </c>
      <c r="C153" s="330">
        <v>1775.1</v>
      </c>
      <c r="D153" s="339">
        <v>664</v>
      </c>
      <c r="E153" s="83">
        <f t="shared" si="11"/>
        <v>4.397880539499037E-2</v>
      </c>
      <c r="F153" s="83">
        <f t="shared" si="12"/>
        <v>424.73916642581895</v>
      </c>
      <c r="G153" s="83">
        <f t="shared" si="13"/>
        <v>93.442616613680173</v>
      </c>
      <c r="H153" s="83">
        <f>F153*'92'!$C$20/100</f>
        <v>84.475039488956767</v>
      </c>
      <c r="I153" s="83">
        <f>E153*'матер. тепло'!$F$40</f>
        <v>24.028066784237737</v>
      </c>
      <c r="J153" s="83">
        <f t="shared" si="10"/>
        <v>0.35304201978068483</v>
      </c>
    </row>
    <row r="154" spans="1:10" x14ac:dyDescent="0.2">
      <c r="A154" s="164">
        <v>152</v>
      </c>
      <c r="B154" s="285" t="s">
        <v>482</v>
      </c>
      <c r="C154" s="330">
        <v>3140.4</v>
      </c>
      <c r="D154" s="339">
        <v>1359</v>
      </c>
      <c r="E154" s="83">
        <f t="shared" si="11"/>
        <v>9.0010838150289013E-2</v>
      </c>
      <c r="F154" s="83">
        <f t="shared" si="12"/>
        <v>869.30802285043353</v>
      </c>
      <c r="G154" s="83">
        <f t="shared" si="13"/>
        <v>191.24776502709537</v>
      </c>
      <c r="H154" s="83">
        <f>F154*'92'!$C$20/100</f>
        <v>172.8939437733317</v>
      </c>
      <c r="I154" s="83">
        <f>E154*'матер. тепло'!$F$40</f>
        <v>49.177925843040782</v>
      </c>
      <c r="J154" s="83">
        <f t="shared" si="10"/>
        <v>0.40842811663925027</v>
      </c>
    </row>
    <row r="155" spans="1:10" x14ac:dyDescent="0.2">
      <c r="A155" s="164">
        <v>153</v>
      </c>
      <c r="B155" s="285" t="s">
        <v>483</v>
      </c>
      <c r="C155" s="330">
        <v>6074.77</v>
      </c>
      <c r="D155" s="339">
        <v>1530</v>
      </c>
      <c r="E155" s="83">
        <f t="shared" si="11"/>
        <v>0.10133670520231214</v>
      </c>
      <c r="F155" s="83">
        <f t="shared" si="12"/>
        <v>978.69115155346822</v>
      </c>
      <c r="G155" s="83">
        <f t="shared" si="13"/>
        <v>215.31205334176303</v>
      </c>
      <c r="H155" s="83">
        <f>F155*'92'!$C$20/100</f>
        <v>194.64881087063833</v>
      </c>
      <c r="I155" s="83">
        <f>E155*'матер. тепло'!$F$40</f>
        <v>55.365876776933334</v>
      </c>
      <c r="J155" s="83">
        <f t="shared" si="10"/>
        <v>0.23770741814797972</v>
      </c>
    </row>
    <row r="156" spans="1:10" x14ac:dyDescent="0.2">
      <c r="A156" s="164">
        <v>154</v>
      </c>
      <c r="B156" s="285" t="s">
        <v>484</v>
      </c>
      <c r="C156" s="330">
        <v>1960.16</v>
      </c>
      <c r="D156" s="339">
        <v>310</v>
      </c>
      <c r="E156" s="83">
        <f t="shared" si="11"/>
        <v>2.0532273603082851E-2</v>
      </c>
      <c r="F156" s="83">
        <f t="shared" si="12"/>
        <v>198.29689998795763</v>
      </c>
      <c r="G156" s="83">
        <f t="shared" si="13"/>
        <v>43.625317997350678</v>
      </c>
      <c r="H156" s="83">
        <f>F156*'92'!$C$20/100</f>
        <v>39.438647954181626</v>
      </c>
      <c r="I156" s="83">
        <f>E156*'матер. тепло'!$F$40</f>
        <v>11.217922745653159</v>
      </c>
      <c r="J156" s="83">
        <f t="shared" si="10"/>
        <v>0.14926270747548315</v>
      </c>
    </row>
    <row r="157" spans="1:10" x14ac:dyDescent="0.2">
      <c r="A157" s="164">
        <v>155</v>
      </c>
      <c r="B157" s="285" t="s">
        <v>485</v>
      </c>
      <c r="C157" s="330">
        <v>5972.33</v>
      </c>
      <c r="D157" s="339">
        <v>570</v>
      </c>
      <c r="E157" s="83">
        <f t="shared" si="11"/>
        <v>3.7752890173410408E-2</v>
      </c>
      <c r="F157" s="83">
        <f t="shared" si="12"/>
        <v>364.61042901011564</v>
      </c>
      <c r="G157" s="83">
        <f t="shared" si="13"/>
        <v>80.214294382225447</v>
      </c>
      <c r="H157" s="83">
        <f>F157*'92'!$C$20/100</f>
        <v>72.516223657688798</v>
      </c>
      <c r="I157" s="83">
        <f>E157*'матер. тепло'!$F$40</f>
        <v>20.626503112975165</v>
      </c>
      <c r="J157" s="83">
        <f t="shared" si="10"/>
        <v>9.0076645155744067E-2</v>
      </c>
    </row>
    <row r="158" spans="1:10" x14ac:dyDescent="0.2">
      <c r="A158" s="164">
        <v>156</v>
      </c>
      <c r="B158" s="285" t="s">
        <v>486</v>
      </c>
      <c r="C158" s="330">
        <v>2589.9</v>
      </c>
      <c r="D158" s="339">
        <v>310</v>
      </c>
      <c r="E158" s="83">
        <f t="shared" si="11"/>
        <v>2.0532273603082851E-2</v>
      </c>
      <c r="F158" s="83">
        <f t="shared" si="12"/>
        <v>198.29689998795763</v>
      </c>
      <c r="G158" s="83">
        <f t="shared" si="13"/>
        <v>43.625317997350678</v>
      </c>
      <c r="H158" s="83">
        <f>F158*'92'!$C$20/100</f>
        <v>39.438647954181626</v>
      </c>
      <c r="I158" s="83">
        <f>E158*'матер. тепло'!$F$40</f>
        <v>11.217922745653159</v>
      </c>
      <c r="J158" s="83">
        <f t="shared" si="10"/>
        <v>0.11296914501916795</v>
      </c>
    </row>
    <row r="159" spans="1:10" x14ac:dyDescent="0.2">
      <c r="A159" s="164">
        <v>157</v>
      </c>
      <c r="B159" s="285" t="s">
        <v>487</v>
      </c>
      <c r="C159" s="330">
        <v>3904.03</v>
      </c>
      <c r="D159" s="339">
        <v>1336</v>
      </c>
      <c r="E159" s="83">
        <f t="shared" si="11"/>
        <v>8.8487475915221575E-2</v>
      </c>
      <c r="F159" s="83">
        <f t="shared" si="12"/>
        <v>854.59567220616566</v>
      </c>
      <c r="G159" s="83">
        <f t="shared" si="13"/>
        <v>188.01104788535645</v>
      </c>
      <c r="H159" s="83">
        <f>F159*'92'!$C$20/100</f>
        <v>169.96785053802145</v>
      </c>
      <c r="I159" s="83">
        <f>E159*'матер. тепло'!$F$40</f>
        <v>48.34562834900845</v>
      </c>
      <c r="J159" s="83">
        <f t="shared" si="10"/>
        <v>0.32297912643564519</v>
      </c>
    </row>
    <row r="160" spans="1:10" x14ac:dyDescent="0.2">
      <c r="A160" s="164">
        <v>158</v>
      </c>
      <c r="B160" s="285" t="s">
        <v>488</v>
      </c>
      <c r="C160" s="330">
        <v>3894.85</v>
      </c>
      <c r="D160" s="339">
        <v>1200</v>
      </c>
      <c r="E160" s="83">
        <f t="shared" si="11"/>
        <v>7.947976878612717E-2</v>
      </c>
      <c r="F160" s="83">
        <f t="shared" si="12"/>
        <v>767.60090317919082</v>
      </c>
      <c r="G160" s="83">
        <f t="shared" si="13"/>
        <v>168.87219869942197</v>
      </c>
      <c r="H160" s="83">
        <f>F160*'92'!$C$20/100</f>
        <v>152.66573401618695</v>
      </c>
      <c r="I160" s="83">
        <f>E160*'матер. тепло'!$F$40</f>
        <v>43.424217079947717</v>
      </c>
      <c r="J160" s="83">
        <f t="shared" si="10"/>
        <v>0.29078476782796447</v>
      </c>
    </row>
    <row r="161" spans="1:23" s="70" customFormat="1" ht="10.5" x14ac:dyDescent="0.2">
      <c r="A161" s="165">
        <v>159</v>
      </c>
      <c r="B161" s="193" t="s">
        <v>22</v>
      </c>
      <c r="C161" s="166">
        <f>SUM(C3:C160)</f>
        <v>264830.12</v>
      </c>
      <c r="D161" s="254">
        <f>SUM(D3:D160)</f>
        <v>104962</v>
      </c>
      <c r="E161" s="166">
        <f>'матер. тепло'!D3</f>
        <v>6.9519629094412334</v>
      </c>
      <c r="F161" s="166">
        <f>E161*ЗП!M52</f>
        <v>67140.771666245186</v>
      </c>
      <c r="G161" s="166">
        <f>F161*22/100</f>
        <v>14770.96976657394</v>
      </c>
      <c r="H161" s="166">
        <f>F161*'92'!$C$20/100</f>
        <v>13353.417311505844</v>
      </c>
      <c r="I161" s="166">
        <f>'матер. тепло'!F39/12</f>
        <v>3798.243894287893</v>
      </c>
      <c r="J161" s="166">
        <f>(F161+G161+H161+I161)/C161</f>
        <v>0.37406395707033951</v>
      </c>
    </row>
    <row r="163" spans="1:23" x14ac:dyDescent="0.2">
      <c r="E163" s="263">
        <f>D161/E161</f>
        <v>15098.181818181818</v>
      </c>
      <c r="F163" s="263">
        <f>F161/E161</f>
        <v>9657.8150000000005</v>
      </c>
      <c r="I163" s="263"/>
    </row>
    <row r="166" spans="1:23" s="370" customFormat="1" ht="15.75" customHeight="1" x14ac:dyDescent="0.2">
      <c r="A166" s="404"/>
      <c r="B166" s="364" t="s">
        <v>234</v>
      </c>
      <c r="C166" s="367"/>
      <c r="D166" s="458"/>
      <c r="E166" s="509" t="s">
        <v>648</v>
      </c>
      <c r="F166" s="509"/>
      <c r="G166" s="366"/>
      <c r="H166" s="503"/>
      <c r="I166" s="503"/>
      <c r="J166" s="503"/>
      <c r="K166" s="503"/>
      <c r="L166" s="503"/>
      <c r="M166" s="367"/>
      <c r="N166" s="368"/>
      <c r="O166" s="368"/>
      <c r="P166" s="369"/>
      <c r="Q166" s="369"/>
      <c r="R166" s="369"/>
      <c r="S166" s="369"/>
      <c r="T166" s="369"/>
      <c r="U166" s="368"/>
      <c r="V166" s="368"/>
      <c r="W166" s="369"/>
    </row>
  </sheetData>
  <mergeCells count="3">
    <mergeCell ref="A1:J1"/>
    <mergeCell ref="E166:F166"/>
    <mergeCell ref="H166:L166"/>
  </mergeCells>
  <phoneticPr fontId="2" type="noConversion"/>
  <pageMargins left="0.78740157480314965" right="0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Лист1</vt:lpstr>
      <vt:lpstr>Заг тариф</vt:lpstr>
      <vt:lpstr>матер1</vt:lpstr>
      <vt:lpstr>Прибуд. терит</vt:lpstr>
      <vt:lpstr>мат.сіль</vt:lpstr>
      <vt:lpstr>сіль</vt:lpstr>
      <vt:lpstr>то ліфтів</vt:lpstr>
      <vt:lpstr>матер. тепло</vt:lpstr>
      <vt:lpstr>ТО тепло</vt:lpstr>
      <vt:lpstr>мат.вода</vt:lpstr>
      <vt:lpstr>ТО вода</vt:lpstr>
      <vt:lpstr>мат. канал</vt:lpstr>
      <vt:lpstr>ТО злив.кан</vt:lpstr>
      <vt:lpstr>Дератизац</vt:lpstr>
      <vt:lpstr>Дезінсекц</vt:lpstr>
      <vt:lpstr>Димовентканали</vt:lpstr>
      <vt:lpstr>мат вода</vt:lpstr>
      <vt:lpstr>ПР вода</vt:lpstr>
      <vt:lpstr>мат тепло</vt:lpstr>
      <vt:lpstr>ПР тепло</vt:lpstr>
      <vt:lpstr>мат елкт</vt:lpstr>
      <vt:lpstr>ПР елект</vt:lpstr>
      <vt:lpstr>мат. рул.шиф</vt:lpstr>
      <vt:lpstr>ПР шиф.рул.</vt:lpstr>
      <vt:lpstr>мат.кон.елем</vt:lpstr>
      <vt:lpstr>ПР кон.елем</vt:lpstr>
      <vt:lpstr>Осв. місць заг.кор.</vt:lpstr>
      <vt:lpstr>ЗП 92</vt:lpstr>
      <vt:lpstr>ЗП</vt:lpstr>
      <vt:lpstr>91</vt:lpstr>
      <vt:lpstr>92</vt:lpstr>
      <vt:lpstr>Утрмання</vt:lpstr>
      <vt:lpstr>прямі в-ти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rezerv2</cp:lastModifiedBy>
  <cp:lastPrinted>2018-10-29T08:40:46Z</cp:lastPrinted>
  <dcterms:created xsi:type="dcterms:W3CDTF">2014-08-27T13:31:25Z</dcterms:created>
  <dcterms:modified xsi:type="dcterms:W3CDTF">2019-07-18T05:44:21Z</dcterms:modified>
</cp:coreProperties>
</file>