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Евгений\разобрать с 11.10.2020\паспарта_DATA\ДАТА_2020\паспорта\34\"/>
    </mc:Choice>
  </mc:AlternateContent>
  <bookViews>
    <workbookView xWindow="0" yWindow="0" windowWidth="28800" windowHeight="12300"/>
  </bookViews>
  <sheets>
    <sheet name="Легкові автомобілі інших країн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6" i="1" l="1"/>
  <c r="C323" i="1"/>
  <c r="C322" i="1"/>
  <c r="C320" i="1"/>
  <c r="C319" i="1"/>
  <c r="C318" i="1"/>
  <c r="C317" i="1"/>
  <c r="C316" i="1"/>
  <c r="C315" i="1"/>
  <c r="C314" i="1"/>
  <c r="C313" i="1"/>
  <c r="C312" i="1"/>
  <c r="C311" i="1"/>
  <c r="C306" i="1"/>
  <c r="C305" i="1"/>
  <c r="C304" i="1"/>
  <c r="C303" i="1"/>
  <c r="C302" i="1"/>
  <c r="C301" i="1"/>
  <c r="C299" i="1"/>
  <c r="C297" i="1"/>
  <c r="C295" i="1"/>
  <c r="C293" i="1"/>
  <c r="C292" i="1"/>
  <c r="C291" i="1"/>
  <c r="C290" i="1"/>
  <c r="C288" i="1"/>
  <c r="C286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2" i="1"/>
  <c r="C251" i="1"/>
  <c r="C250" i="1"/>
  <c r="C249" i="1"/>
  <c r="C248" i="1"/>
  <c r="C247" i="1"/>
  <c r="C245" i="1"/>
  <c r="C243" i="1"/>
  <c r="C241" i="1"/>
  <c r="C240" i="1"/>
  <c r="C239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4" i="1"/>
  <c r="C173" i="1"/>
  <c r="C172" i="1"/>
  <c r="C171" i="1"/>
  <c r="C170" i="1"/>
  <c r="C169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49" i="1"/>
  <c r="C147" i="1"/>
  <c r="C145" i="1"/>
  <c r="C144" i="1"/>
  <c r="C143" i="1"/>
  <c r="C129" i="1"/>
  <c r="C126" i="1"/>
  <c r="C125" i="1"/>
  <c r="C123" i="1"/>
  <c r="C122" i="1"/>
  <c r="C121" i="1"/>
  <c r="C120" i="1"/>
  <c r="C119" i="1"/>
  <c r="C118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97" i="1"/>
  <c r="C96" i="1"/>
  <c r="C95" i="1"/>
  <c r="C94" i="1"/>
  <c r="C93" i="1"/>
  <c r="C92" i="1"/>
  <c r="C74" i="1"/>
  <c r="C73" i="1"/>
  <c r="C72" i="1"/>
  <c r="C71" i="1"/>
  <c r="C69" i="1"/>
  <c r="C67" i="1"/>
  <c r="C65" i="1"/>
  <c r="C64" i="1"/>
  <c r="C63" i="1"/>
  <c r="C62" i="1"/>
  <c r="C61" i="1"/>
  <c r="C53" i="1"/>
  <c r="C52" i="1"/>
  <c r="C51" i="1"/>
  <c r="C50" i="1"/>
  <c r="C49" i="1"/>
  <c r="C47" i="1"/>
  <c r="C46" i="1"/>
  <c r="C45" i="1"/>
  <c r="C44" i="1"/>
  <c r="C43" i="1"/>
  <c r="C42" i="1"/>
  <c r="C41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<sst xmlns="http://schemas.openxmlformats.org/spreadsheetml/2006/main" count="659" uniqueCount="368">
  <si>
    <t>Марка</t>
  </si>
  <si>
    <t>Модель</t>
  </si>
  <si>
    <t>Середня ціна, грн</t>
  </si>
  <si>
    <t>Hyundai</t>
  </si>
  <si>
    <t>I10</t>
  </si>
  <si>
    <t xml:space="preserve">Kona </t>
  </si>
  <si>
    <t>SANTA FE</t>
  </si>
  <si>
    <t>Suzuki</t>
  </si>
  <si>
    <t>VITARA</t>
  </si>
  <si>
    <t>JIMNY</t>
  </si>
  <si>
    <t>Toyota</t>
  </si>
  <si>
    <t>Corolla</t>
  </si>
  <si>
    <t>Corolla Hybrid</t>
  </si>
  <si>
    <t>C-HR</t>
  </si>
  <si>
    <t>C-HR Hybrid</t>
  </si>
  <si>
    <t>Rav4</t>
  </si>
  <si>
    <t>Rav4 Hybrid</t>
  </si>
  <si>
    <t>Land Cruiser 200</t>
  </si>
  <si>
    <t>Land Cruiser Prado</t>
  </si>
  <si>
    <t>Highlander</t>
  </si>
  <si>
    <t>Hilux</t>
  </si>
  <si>
    <t>Subaru</t>
  </si>
  <si>
    <t>Outback</t>
  </si>
  <si>
    <t>XV</t>
  </si>
  <si>
    <t>Forester</t>
  </si>
  <si>
    <t>Honda</t>
  </si>
  <si>
    <t>CR-V</t>
  </si>
  <si>
    <t>HR-V</t>
  </si>
  <si>
    <t>Mitsubishi</t>
  </si>
  <si>
    <t>Eclipse Cross</t>
  </si>
  <si>
    <t>ASX</t>
  </si>
  <si>
    <t>L200</t>
  </si>
  <si>
    <t>Outlander</t>
  </si>
  <si>
    <t>Pajero Sport</t>
  </si>
  <si>
    <t>Jeep</t>
  </si>
  <si>
    <t>Renegade</t>
  </si>
  <si>
    <t>Wrangler</t>
  </si>
  <si>
    <t>Rolls-Royce</t>
  </si>
  <si>
    <t>Phantom SWB</t>
  </si>
  <si>
    <t>Phantom EWB</t>
  </si>
  <si>
    <t>Cullinan</t>
  </si>
  <si>
    <t>Wraith</t>
  </si>
  <si>
    <t>Wraith Black Badge</t>
  </si>
  <si>
    <t>Dawn</t>
  </si>
  <si>
    <t>Dawn Black Badge</t>
  </si>
  <si>
    <t>Jaguar</t>
  </si>
  <si>
    <t>XE</t>
  </si>
  <si>
    <t>XF</t>
  </si>
  <si>
    <t>I-Pace</t>
  </si>
  <si>
    <t>E-Pace</t>
  </si>
  <si>
    <t>F-Pace</t>
  </si>
  <si>
    <t>Mercedes-Benz</t>
  </si>
  <si>
    <t>A-Class</t>
  </si>
  <si>
    <t>A-Class AMG</t>
  </si>
  <si>
    <t>B-Class</t>
  </si>
  <si>
    <t>C-Class Sedan</t>
  </si>
  <si>
    <t>C-Class Sedan AMG</t>
  </si>
  <si>
    <t>C-Class Coupe</t>
  </si>
  <si>
    <t>C-Class Coupe AMG</t>
  </si>
  <si>
    <t>C-Class Cabrio</t>
  </si>
  <si>
    <t>C-Class Cabrio AMG</t>
  </si>
  <si>
    <t>CLA-Class Coupe</t>
  </si>
  <si>
    <t>CLA-Class Coupe AMG</t>
  </si>
  <si>
    <t>CLA-Class Shooting Break</t>
  </si>
  <si>
    <t>CLS-Class Coupe</t>
  </si>
  <si>
    <t>CLS-Class Coupe AMG</t>
  </si>
  <si>
    <t>E-Class</t>
  </si>
  <si>
    <t>E-Class AMG</t>
  </si>
  <si>
    <t>E-Class Cabrio</t>
  </si>
  <si>
    <t>E-Class Cabrio AMG</t>
  </si>
  <si>
    <t>E-Class Coupe</t>
  </si>
  <si>
    <t>E-Class Coupe AMG</t>
  </si>
  <si>
    <t>G-Class</t>
  </si>
  <si>
    <t>G-Class AMG</t>
  </si>
  <si>
    <t>GLE-Class Coupe</t>
  </si>
  <si>
    <t>GLE-Class Coupe AMG</t>
  </si>
  <si>
    <t>GLS-Class</t>
  </si>
  <si>
    <t>S-Class</t>
  </si>
  <si>
    <t>BMW</t>
  </si>
  <si>
    <t>BMW 2 серії купе (F22)</t>
  </si>
  <si>
    <t>BMW 2 cерії Gran Coupe (F44)</t>
  </si>
  <si>
    <t>BMW 2 серії купе (F87)</t>
  </si>
  <si>
    <t>BMW 2 серії кабріо (F23)</t>
  </si>
  <si>
    <t>BMW 2 серії Active Tourer (F45)</t>
  </si>
  <si>
    <t>BMW 2 серії Gran Tourer (F46)</t>
  </si>
  <si>
    <t>BMW 3 серії седан (G20)</t>
  </si>
  <si>
    <t>BMW 3 cерії Універсал (G21)</t>
  </si>
  <si>
    <t>BMW 3 серії Gran Turismo (F34)</t>
  </si>
  <si>
    <t>BMW 4 серії Gran Coupe (F36)</t>
  </si>
  <si>
    <t>BMW 5 серії седан (G30)</t>
  </si>
  <si>
    <t>BMW 5 серії седан (F90)</t>
  </si>
  <si>
    <t>BMW 6 Серії Gran Turismo (G32)</t>
  </si>
  <si>
    <t>BMW 7 серії седан (подовжена версія, G12)</t>
  </si>
  <si>
    <t>BMW 8 серії кабріо (F91)</t>
  </si>
  <si>
    <t>BMW 8 cерії (G15)</t>
  </si>
  <si>
    <t>BMW 8 серії кабріо (F92)</t>
  </si>
  <si>
    <t>BMW 8 cерії (G16)</t>
  </si>
  <si>
    <t>BMW 8 cерії Gran Coupe (F93)</t>
  </si>
  <si>
    <t>BMW Z4 (G29)</t>
  </si>
  <si>
    <t>BMW X1 (F48) SAV</t>
  </si>
  <si>
    <t>BMW X2 (F39) SAV</t>
  </si>
  <si>
    <t>BMW X3 (G01) SAV</t>
  </si>
  <si>
    <t>BMW X3 (F97) SAV</t>
  </si>
  <si>
    <t>BMW X4 (G02) SAC</t>
  </si>
  <si>
    <t>BMW X4 (F98) SAV</t>
  </si>
  <si>
    <t>BMW X5 (G05) SAV</t>
  </si>
  <si>
    <t>BMW X5 (F95) SAV</t>
  </si>
  <si>
    <t>BMW X6 (G06) SAC</t>
  </si>
  <si>
    <t>BMW X6 (F96) SAV</t>
  </si>
  <si>
    <t>BMW X7 (G07) SAV</t>
  </si>
  <si>
    <t>MINI</t>
  </si>
  <si>
    <t>Clubman</t>
  </si>
  <si>
    <t>Hatch 5D</t>
  </si>
  <si>
    <t>Hatch 3D</t>
  </si>
  <si>
    <t>Cabrio</t>
  </si>
  <si>
    <t>Volvo</t>
  </si>
  <si>
    <t>XC40</t>
  </si>
  <si>
    <t>XC90</t>
  </si>
  <si>
    <t>S90</t>
  </si>
  <si>
    <t>V90 Cross Country</t>
  </si>
  <si>
    <t>V60 Cross Country</t>
  </si>
  <si>
    <t>Volkswagen</t>
  </si>
  <si>
    <t>Touareg R-Line</t>
  </si>
  <si>
    <t>Maserati</t>
  </si>
  <si>
    <t>Ghibli</t>
  </si>
  <si>
    <t>Lexus</t>
  </si>
  <si>
    <t>ES</t>
  </si>
  <si>
    <t>NX</t>
  </si>
  <si>
    <t>RX</t>
  </si>
  <si>
    <t>LC</t>
  </si>
  <si>
    <t>UX</t>
  </si>
  <si>
    <t>Audi</t>
  </si>
  <si>
    <t>A6</t>
  </si>
  <si>
    <t>A7 Sportback</t>
  </si>
  <si>
    <t>A8</t>
  </si>
  <si>
    <t>A8L</t>
  </si>
  <si>
    <t>Q2</t>
  </si>
  <si>
    <t>Q3</t>
  </si>
  <si>
    <t>Q3 Sportback</t>
  </si>
  <si>
    <t>Q5</t>
  </si>
  <si>
    <t>Q7</t>
  </si>
  <si>
    <t>Mazda</t>
  </si>
  <si>
    <t>CX-5</t>
  </si>
  <si>
    <t>CX-3</t>
  </si>
  <si>
    <t>CX-9</t>
  </si>
  <si>
    <t>Aston Martin</t>
  </si>
  <si>
    <t>Land Rover</t>
  </si>
  <si>
    <t>Discovery Sport</t>
  </si>
  <si>
    <t>Range Rover Evoque</t>
  </si>
  <si>
    <t>New Defender</t>
  </si>
  <si>
    <t xml:space="preserve">Range Rover </t>
  </si>
  <si>
    <t>Range Rover Sport</t>
  </si>
  <si>
    <t>Infiniti</t>
  </si>
  <si>
    <t xml:space="preserve">Q50 </t>
  </si>
  <si>
    <t xml:space="preserve">Q60 </t>
  </si>
  <si>
    <t>QX50</t>
  </si>
  <si>
    <t xml:space="preserve">QX60 </t>
  </si>
  <si>
    <t>QX80</t>
  </si>
  <si>
    <t>Great Wall</t>
  </si>
  <si>
    <t>WINGLE 5</t>
  </si>
  <si>
    <t>WINGLE 6</t>
  </si>
  <si>
    <t>WINGLE 7</t>
  </si>
  <si>
    <t>Seat</t>
  </si>
  <si>
    <t>Arona</t>
  </si>
  <si>
    <t>Porsche</t>
  </si>
  <si>
    <t>718 Cayman</t>
  </si>
  <si>
    <t>718 Boxster</t>
  </si>
  <si>
    <t>Panamera</t>
  </si>
  <si>
    <t>Panamera GTS</t>
  </si>
  <si>
    <t>Cayenne</t>
  </si>
  <si>
    <t>Cayenne S</t>
  </si>
  <si>
    <t>Cayenne Turbo</t>
  </si>
  <si>
    <t>Cayenne Coupe</t>
  </si>
  <si>
    <t>Cayenne Coupe Turbo</t>
  </si>
  <si>
    <t>FIAT</t>
  </si>
  <si>
    <t>QUBO</t>
  </si>
  <si>
    <t>Doblo Combi</t>
  </si>
  <si>
    <t>Doblo Panorama</t>
  </si>
  <si>
    <t>Alfa-Romeo</t>
  </si>
  <si>
    <t>GIULETTA</t>
  </si>
  <si>
    <t>Giulia</t>
  </si>
  <si>
    <t>Stelvio</t>
  </si>
  <si>
    <t>Skoda</t>
  </si>
  <si>
    <t>Fabia</t>
  </si>
  <si>
    <t>Fabia Combi</t>
  </si>
  <si>
    <t>Octavia</t>
  </si>
  <si>
    <t>Octavia Combi</t>
  </si>
  <si>
    <t>Skala</t>
  </si>
  <si>
    <t>Kodiaq</t>
  </si>
  <si>
    <t>Karoq</t>
  </si>
  <si>
    <t>Ford</t>
  </si>
  <si>
    <t>Focus Active</t>
  </si>
  <si>
    <t>Ranger</t>
  </si>
  <si>
    <t>Renault</t>
  </si>
  <si>
    <t>Logan</t>
  </si>
  <si>
    <t>Lodgy</t>
  </si>
  <si>
    <t>Sandero</t>
  </si>
  <si>
    <t>Duster NEW</t>
  </si>
  <si>
    <t xml:space="preserve">Koleos </t>
  </si>
  <si>
    <t>Dokker</t>
  </si>
  <si>
    <t>Megane Sedan</t>
  </si>
  <si>
    <t>Kadjar</t>
  </si>
  <si>
    <t>Peugeot</t>
  </si>
  <si>
    <t>New 3008</t>
  </si>
  <si>
    <t>New 5008</t>
  </si>
  <si>
    <t>508 New</t>
  </si>
  <si>
    <t>RIFTER</t>
  </si>
  <si>
    <t>Opel</t>
  </si>
  <si>
    <t>Astra J SEDAN</t>
  </si>
  <si>
    <t>CROSSLAND X</t>
  </si>
  <si>
    <t>GRANDLAND X</t>
  </si>
  <si>
    <t>Nissan</t>
  </si>
  <si>
    <t>X-Trail New</t>
  </si>
  <si>
    <t>Navara</t>
  </si>
  <si>
    <t>Qashqai</t>
  </si>
  <si>
    <t xml:space="preserve">KIA </t>
  </si>
  <si>
    <t>Picanto</t>
  </si>
  <si>
    <t>KIA</t>
  </si>
  <si>
    <t>Rio 5-door Hatchback</t>
  </si>
  <si>
    <t>Cee'd SW</t>
  </si>
  <si>
    <t>Stonic</t>
  </si>
  <si>
    <t>Sportage FL</t>
  </si>
  <si>
    <t>New Sorento</t>
  </si>
  <si>
    <t>Stinger</t>
  </si>
  <si>
    <t>Soul EV</t>
  </si>
  <si>
    <t>Citroen</t>
  </si>
  <si>
    <t>C3</t>
  </si>
  <si>
    <t>C3 Aircross</t>
  </si>
  <si>
    <t>New C-Elysee</t>
  </si>
  <si>
    <t>C5 Aircross</t>
  </si>
  <si>
    <t>Chery</t>
  </si>
  <si>
    <t>Tiggo 2</t>
  </si>
  <si>
    <t>Tiggo 4</t>
  </si>
  <si>
    <t>Tiggo 7</t>
  </si>
  <si>
    <t>Tiggo 8</t>
  </si>
  <si>
    <t>Ravon</t>
  </si>
  <si>
    <t>R2</t>
  </si>
  <si>
    <t>R4</t>
  </si>
  <si>
    <t>R3</t>
  </si>
  <si>
    <t>Lada</t>
  </si>
  <si>
    <t xml:space="preserve">Largus </t>
  </si>
  <si>
    <t>Granta</t>
  </si>
  <si>
    <t>Vesta SW Cross</t>
  </si>
  <si>
    <t>Vesta SW</t>
  </si>
  <si>
    <t>Vesta Sedan</t>
  </si>
  <si>
    <t>XRAY</t>
  </si>
  <si>
    <t xml:space="preserve">Tucson </t>
  </si>
  <si>
    <t>H-1</t>
  </si>
  <si>
    <t>CR-V Hybrid</t>
  </si>
  <si>
    <t>Civic</t>
  </si>
  <si>
    <t xml:space="preserve">A4 </t>
  </si>
  <si>
    <t xml:space="preserve">SQ5 </t>
  </si>
  <si>
    <t xml:space="preserve">SQ7 </t>
  </si>
  <si>
    <t>Q8</t>
  </si>
  <si>
    <t>SQ8</t>
  </si>
  <si>
    <t>RANGE ROVER VELAR</t>
  </si>
  <si>
    <t>HAVAL</t>
  </si>
  <si>
    <t>HAVAL H9</t>
  </si>
  <si>
    <t>HAVAL H2 FL</t>
  </si>
  <si>
    <t>911 Carrera Cabriolet</t>
  </si>
  <si>
    <t>Cayenne Coupe S</t>
  </si>
  <si>
    <t>Cayenne  Coupe Turbo E-Hybrid</t>
  </si>
  <si>
    <t>Fiorino combi</t>
  </si>
  <si>
    <t>Ducato combi</t>
  </si>
  <si>
    <t>Kamiq</t>
  </si>
  <si>
    <t>Fiesta active</t>
  </si>
  <si>
    <t xml:space="preserve">Ford  </t>
  </si>
  <si>
    <t>Traveller</t>
  </si>
  <si>
    <t>COMBO LIFE</t>
  </si>
  <si>
    <t>CLA-Class Shooting Break AMG</t>
  </si>
  <si>
    <t>GLC-Class Coupe</t>
  </si>
  <si>
    <t>GLC-Class Coupe AMG</t>
  </si>
  <si>
    <t xml:space="preserve">John Cooper Works ALL4 Clubman </t>
  </si>
  <si>
    <t>John Cooper Works HATCH</t>
  </si>
  <si>
    <t>John Cooper Works CABRIO</t>
  </si>
  <si>
    <t xml:space="preserve">John Cooper Works ALL4 Countryman </t>
  </si>
  <si>
    <t>NIVA</t>
  </si>
  <si>
    <t xml:space="preserve">Accent </t>
  </si>
  <si>
    <t>i30 Hatchback</t>
  </si>
  <si>
    <t>i30 Wagon</t>
  </si>
  <si>
    <t>New ELANTRA</t>
  </si>
  <si>
    <t>Palisade</t>
  </si>
  <si>
    <t>SX 4</t>
  </si>
  <si>
    <t>Yaris Гібрид</t>
  </si>
  <si>
    <t>Highlander Гібрид</t>
  </si>
  <si>
    <t>jazz Hybrid</t>
  </si>
  <si>
    <t>Crosstar Hybrid</t>
  </si>
  <si>
    <t>Grand Cherokee Overland</t>
  </si>
  <si>
    <t>NX Hybrid</t>
  </si>
  <si>
    <t>RX Hybrid</t>
  </si>
  <si>
    <t>LC Sport+</t>
  </si>
  <si>
    <t>LC Sport+ Hybrid</t>
  </si>
  <si>
    <t>LC Hybrid</t>
  </si>
  <si>
    <t>UX Hybrid</t>
  </si>
  <si>
    <t>GX</t>
  </si>
  <si>
    <t>RX L</t>
  </si>
  <si>
    <t>RS 7 Sportback</t>
  </si>
  <si>
    <t>RS e-tron GT</t>
  </si>
  <si>
    <t>e-tron GT quattro</t>
  </si>
  <si>
    <t xml:space="preserve">MX-5 </t>
  </si>
  <si>
    <t>CX-30</t>
  </si>
  <si>
    <t>DBX White Stone AML Special</t>
  </si>
  <si>
    <t>DBX Onyx Black</t>
  </si>
  <si>
    <t>DBX Intense blue</t>
  </si>
  <si>
    <t>DBX Divine Red</t>
  </si>
  <si>
    <t xml:space="preserve">DB11 AMR V12 Coupe </t>
  </si>
  <si>
    <t xml:space="preserve">DBS Superleggera </t>
  </si>
  <si>
    <t>Discovery 5</t>
  </si>
  <si>
    <t>HAVAL Jolion</t>
  </si>
  <si>
    <t>Ibiza 5Dstyle</t>
  </si>
  <si>
    <t>718 Cayman GT4</t>
  </si>
  <si>
    <t>718 Cayman GTS</t>
  </si>
  <si>
    <t>718 Boxster GTS</t>
  </si>
  <si>
    <t>Taycan 4S</t>
  </si>
  <si>
    <t>Panamera Turbo S</t>
  </si>
  <si>
    <t>Panamera 4  E-Hybrid</t>
  </si>
  <si>
    <t>500 x cross</t>
  </si>
  <si>
    <t>Talento</t>
  </si>
  <si>
    <t>Superb</t>
  </si>
  <si>
    <t>Superb Combi</t>
  </si>
  <si>
    <t>Fiesta</t>
  </si>
  <si>
    <t>Ford Mondeo Titanium</t>
  </si>
  <si>
    <t>Mondeo</t>
  </si>
  <si>
    <t>Raptor</t>
  </si>
  <si>
    <t>Trafic</t>
  </si>
  <si>
    <t>ZAFIRA LIFE</t>
  </si>
  <si>
    <t>Rio Sedan</t>
  </si>
  <si>
    <t>New Rio X-Line</t>
  </si>
  <si>
    <t>ProCeed</t>
  </si>
  <si>
    <t>Sportage FL 4x4</t>
  </si>
  <si>
    <t xml:space="preserve"> Berlingo</t>
  </si>
  <si>
    <t>Tiggo 7 pro</t>
  </si>
  <si>
    <t>F-Type  R-Dynamic Coupe</t>
  </si>
  <si>
    <t>F-Type  Rirst Edition</t>
  </si>
  <si>
    <t>CLA-Class</t>
  </si>
  <si>
    <t>GLA-Class H247</t>
  </si>
  <si>
    <t>GLS-Class AMG</t>
  </si>
  <si>
    <t>AMG GT R190</t>
  </si>
  <si>
    <t>EQ Class</t>
  </si>
  <si>
    <t>AMG GT C190</t>
  </si>
  <si>
    <t>AMG  GT4 X 290</t>
  </si>
  <si>
    <t>V Class</t>
  </si>
  <si>
    <t>V Class V 200 d long</t>
  </si>
  <si>
    <t>V Class V 200 d extra long</t>
  </si>
  <si>
    <t>V classAVG V 300 d long</t>
  </si>
  <si>
    <t>V class AVG V 300 d extra long</t>
  </si>
  <si>
    <t>V class EXC V 300 d long</t>
  </si>
  <si>
    <t>BMW 1 серії (F40) 5-дверний хетчбек</t>
  </si>
  <si>
    <t>BMW 4 серії купе (G82)</t>
  </si>
  <si>
    <t>BMW 4 серії кабріо (G23)</t>
  </si>
  <si>
    <t>BMW 5 серії універсал (G31)</t>
  </si>
  <si>
    <t>BMW 7 серії (G11)</t>
  </si>
  <si>
    <t>BMW 8 серії convertible (G14)</t>
  </si>
  <si>
    <t xml:space="preserve"> Countryman</t>
  </si>
  <si>
    <t xml:space="preserve">Golf </t>
  </si>
  <si>
    <t>Passat Limousine</t>
  </si>
  <si>
    <t xml:space="preserve">T-Roc </t>
  </si>
  <si>
    <t>T-Cross</t>
  </si>
  <si>
    <t xml:space="preserve">Tiguan </t>
  </si>
  <si>
    <t>Touareg</t>
  </si>
  <si>
    <t>Levante Trofeo 3.8 590HP AWD</t>
  </si>
  <si>
    <t>levante Granlusso</t>
  </si>
  <si>
    <t>Levante GTS3,8 550HP AWD</t>
  </si>
  <si>
    <t xml:space="preserve">Levante GranSport S </t>
  </si>
  <si>
    <t xml:space="preserve">Levante GTS </t>
  </si>
  <si>
    <t>Levante GranSport diesel</t>
  </si>
  <si>
    <t>Quattroporte GranSport SQ4  M156</t>
  </si>
  <si>
    <t>GranLusso 3.0V6  350HP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</si>
</sst>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/>
    <xf numFmtId="164" fontId="3" fillId="0" borderId="2" xfId="0" applyNumberFormat="1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0" borderId="0" xfId="0" applyFont="1"/>
    <xf numFmtId="0" fontId="2" fillId="0" borderId="3" xfId="0" applyFont="1" applyBorder="1"/>
    <xf numFmtId="2" fontId="4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tabSelected="1" zoomScale="140" zoomScaleNormal="140" workbookViewId="0">
      <selection activeCell="B335" sqref="B335"/>
    </sheetView>
  </sheetViews>
  <sheetFormatPr defaultRowHeight="15" x14ac:dyDescent="0.25"/>
  <cols>
    <col min="1" max="1" width="14" style="1" customWidth="1"/>
    <col min="2" max="2" width="23.140625" style="1" customWidth="1"/>
    <col min="3" max="3" width="18.42578125" style="13" customWidth="1"/>
    <col min="4" max="16384" width="9.140625" style="1"/>
  </cols>
  <sheetData>
    <row r="1" spans="1:7" x14ac:dyDescent="0.25">
      <c r="A1" s="7" t="s">
        <v>0</v>
      </c>
      <c r="B1" s="7" t="s">
        <v>1</v>
      </c>
      <c r="C1" s="10" t="s">
        <v>2</v>
      </c>
    </row>
    <row r="2" spans="1:7" x14ac:dyDescent="0.25">
      <c r="A2" s="9" t="s">
        <v>235</v>
      </c>
      <c r="B2" s="6" t="s">
        <v>236</v>
      </c>
      <c r="C2" s="11">
        <v>300633.33333333331</v>
      </c>
    </row>
    <row r="3" spans="1:7" x14ac:dyDescent="0.25">
      <c r="A3" s="9" t="s">
        <v>235</v>
      </c>
      <c r="B3" s="6" t="s">
        <v>237</v>
      </c>
      <c r="C3" s="11">
        <v>316550</v>
      </c>
    </row>
    <row r="4" spans="1:7" x14ac:dyDescent="0.25">
      <c r="A4" s="9" t="s">
        <v>235</v>
      </c>
      <c r="B4" s="6" t="s">
        <v>238</v>
      </c>
      <c r="C4" s="11">
        <v>316550</v>
      </c>
    </row>
    <row r="5" spans="1:7" x14ac:dyDescent="0.25">
      <c r="A5" s="9" t="s">
        <v>239</v>
      </c>
      <c r="B5" s="6" t="s">
        <v>276</v>
      </c>
      <c r="C5" s="11">
        <v>364375</v>
      </c>
    </row>
    <row r="6" spans="1:7" x14ac:dyDescent="0.25">
      <c r="A6" s="9" t="s">
        <v>239</v>
      </c>
      <c r="B6" s="5" t="s">
        <v>240</v>
      </c>
      <c r="C6" s="11">
        <v>325218</v>
      </c>
    </row>
    <row r="7" spans="1:7" x14ac:dyDescent="0.25">
      <c r="A7" s="9" t="s">
        <v>239</v>
      </c>
      <c r="B7" s="6" t="s">
        <v>241</v>
      </c>
      <c r="C7" s="11">
        <v>254133.33333333334</v>
      </c>
    </row>
    <row r="8" spans="1:7" x14ac:dyDescent="0.25">
      <c r="A8" s="9" t="s">
        <v>239</v>
      </c>
      <c r="B8" s="6" t="s">
        <v>242</v>
      </c>
      <c r="C8" s="11">
        <v>358612.5</v>
      </c>
    </row>
    <row r="9" spans="1:7" x14ac:dyDescent="0.25">
      <c r="A9" s="9" t="s">
        <v>239</v>
      </c>
      <c r="B9" s="6" t="s">
        <v>243</v>
      </c>
      <c r="C9" s="11">
        <v>304185</v>
      </c>
    </row>
    <row r="10" spans="1:7" x14ac:dyDescent="0.25">
      <c r="A10" s="9" t="s">
        <v>239</v>
      </c>
      <c r="B10" s="6" t="s">
        <v>244</v>
      </c>
      <c r="C10" s="11">
        <v>309720</v>
      </c>
    </row>
    <row r="11" spans="1:7" x14ac:dyDescent="0.25">
      <c r="A11" s="9" t="s">
        <v>239</v>
      </c>
      <c r="B11" s="6" t="s">
        <v>245</v>
      </c>
      <c r="C11" s="11">
        <v>300495</v>
      </c>
    </row>
    <row r="12" spans="1:7" x14ac:dyDescent="0.25">
      <c r="A12" s="9" t="s">
        <v>3</v>
      </c>
      <c r="B12" s="6" t="s">
        <v>4</v>
      </c>
      <c r="C12" s="11">
        <f>(366900+376000+405800+420800+460600)/5</f>
        <v>406020</v>
      </c>
    </row>
    <row r="13" spans="1:7" x14ac:dyDescent="0.25">
      <c r="A13" s="9" t="s">
        <v>3</v>
      </c>
      <c r="B13" s="6" t="s">
        <v>277</v>
      </c>
      <c r="C13" s="11">
        <f>(414500+442900+438700+467600)/4</f>
        <v>440925</v>
      </c>
    </row>
    <row r="14" spans="1:7" x14ac:dyDescent="0.25">
      <c r="A14" s="9" t="s">
        <v>3</v>
      </c>
      <c r="B14" s="6" t="s">
        <v>278</v>
      </c>
      <c r="C14" s="11">
        <f>(485900+526900+514800+555900+610100+674200)/6</f>
        <v>561300</v>
      </c>
    </row>
    <row r="15" spans="1:7" x14ac:dyDescent="0.25">
      <c r="A15" s="9" t="s">
        <v>3</v>
      </c>
      <c r="B15" s="6" t="s">
        <v>279</v>
      </c>
      <c r="C15" s="11">
        <f>(491800+535400+520500+564300+618500+677000)/6</f>
        <v>567916.66666666663</v>
      </c>
    </row>
    <row r="16" spans="1:7" s="2" customFormat="1" x14ac:dyDescent="0.25">
      <c r="A16" s="9" t="s">
        <v>3</v>
      </c>
      <c r="B16" s="6" t="s">
        <v>5</v>
      </c>
      <c r="C16" s="11">
        <f>(663500+710700+796400+761000)/4</f>
        <v>732900</v>
      </c>
      <c r="D16" s="1"/>
      <c r="E16" s="1"/>
      <c r="F16" s="1"/>
      <c r="G16" s="1"/>
    </row>
    <row r="17" spans="1:7" s="2" customFormat="1" x14ac:dyDescent="0.25">
      <c r="A17" s="9" t="s">
        <v>3</v>
      </c>
      <c r="B17" s="6" t="s">
        <v>280</v>
      </c>
      <c r="C17" s="11">
        <f>(548600+605300+583100+641600+716600+810500+743300+836900)/8</f>
        <v>685737.5</v>
      </c>
      <c r="D17" s="1"/>
      <c r="E17" s="1"/>
      <c r="F17" s="1"/>
      <c r="G17" s="1"/>
    </row>
    <row r="18" spans="1:7" s="2" customFormat="1" x14ac:dyDescent="0.25">
      <c r="A18" s="9" t="s">
        <v>3</v>
      </c>
      <c r="B18" s="6" t="s">
        <v>246</v>
      </c>
      <c r="C18" s="11">
        <f>(755400+802600+905700+791600+937700+1025400)/6</f>
        <v>869733.33333333337</v>
      </c>
      <c r="D18" s="1"/>
      <c r="E18" s="1"/>
      <c r="F18" s="1"/>
      <c r="G18" s="1"/>
    </row>
    <row r="19" spans="1:7" s="2" customFormat="1" x14ac:dyDescent="0.25">
      <c r="A19" s="9" t="s">
        <v>3</v>
      </c>
      <c r="B19" s="6" t="s">
        <v>6</v>
      </c>
      <c r="C19" s="11">
        <f>(1037500+1090300+1235300+1366300+1225500+1370500+1517700)/7</f>
        <v>1263300</v>
      </c>
      <c r="D19" s="1"/>
      <c r="E19" s="1"/>
      <c r="F19" s="1"/>
      <c r="G19" s="1"/>
    </row>
    <row r="20" spans="1:7" s="2" customFormat="1" x14ac:dyDescent="0.25">
      <c r="A20" s="9" t="s">
        <v>3</v>
      </c>
      <c r="B20" s="6" t="s">
        <v>281</v>
      </c>
      <c r="C20" s="11">
        <f>(1474700+1626500+1509600+1661600)/4</f>
        <v>1568100</v>
      </c>
      <c r="D20" s="1"/>
      <c r="E20" s="1"/>
      <c r="F20" s="1"/>
      <c r="G20" s="1"/>
    </row>
    <row r="21" spans="1:7" s="2" customFormat="1" x14ac:dyDescent="0.25">
      <c r="A21" s="9" t="s">
        <v>3</v>
      </c>
      <c r="B21" s="6" t="s">
        <v>247</v>
      </c>
      <c r="C21" s="11">
        <f>(911100+1006300+1052700+1091500)/4</f>
        <v>1015400</v>
      </c>
      <c r="D21" s="1"/>
      <c r="E21" s="1"/>
      <c r="F21" s="1"/>
      <c r="G21" s="1"/>
    </row>
    <row r="22" spans="1:7" s="2" customFormat="1" x14ac:dyDescent="0.25">
      <c r="A22" s="9" t="s">
        <v>7</v>
      </c>
      <c r="B22" s="6" t="s">
        <v>282</v>
      </c>
      <c r="C22" s="11">
        <f>(517900+556900+562900+602900+625900+699900)/6</f>
        <v>594400</v>
      </c>
      <c r="D22" s="1"/>
      <c r="E22" s="1"/>
      <c r="F22" s="1"/>
      <c r="G22" s="1"/>
    </row>
    <row r="23" spans="1:7" s="2" customFormat="1" x14ac:dyDescent="0.25">
      <c r="A23" s="9" t="s">
        <v>7</v>
      </c>
      <c r="B23" s="6" t="s">
        <v>8</v>
      </c>
      <c r="C23" s="11">
        <f>(590900+592900+634900+628900+686900+762900)/5</f>
        <v>779480</v>
      </c>
      <c r="D23" s="1"/>
      <c r="E23" s="1"/>
      <c r="F23" s="1"/>
      <c r="G23" s="1"/>
    </row>
    <row r="24" spans="1:7" s="2" customFormat="1" x14ac:dyDescent="0.25">
      <c r="A24" s="9" t="s">
        <v>7</v>
      </c>
      <c r="B24" s="6" t="s">
        <v>9</v>
      </c>
      <c r="C24" s="11">
        <f>(615900+656900+775900)/3</f>
        <v>682900</v>
      </c>
      <c r="D24" s="1"/>
      <c r="E24" s="1"/>
      <c r="F24" s="1"/>
      <c r="G24" s="1"/>
    </row>
    <row r="25" spans="1:7" s="2" customFormat="1" x14ac:dyDescent="0.25">
      <c r="A25" s="9" t="s">
        <v>10</v>
      </c>
      <c r="B25" s="6" t="s">
        <v>283</v>
      </c>
      <c r="C25" s="11">
        <f>(597180+627577+658512+676804+700073+620113+644135+683800+702794+726956)/10</f>
        <v>663794.4</v>
      </c>
      <c r="D25" s="1"/>
      <c r="E25" s="1"/>
      <c r="F25" s="1"/>
      <c r="G25" s="1"/>
    </row>
    <row r="26" spans="1:7" s="2" customFormat="1" x14ac:dyDescent="0.25">
      <c r="A26" s="9" t="s">
        <v>10</v>
      </c>
      <c r="B26" s="6" t="s">
        <v>11</v>
      </c>
      <c r="C26" s="11">
        <f>(511907+556023+555754+600139+657190+577005+621121+704780)/8</f>
        <v>597989.875</v>
      </c>
      <c r="D26" s="1"/>
      <c r="E26" s="1"/>
      <c r="F26" s="1"/>
      <c r="G26" s="1"/>
    </row>
    <row r="27" spans="1:7" s="2" customFormat="1" x14ac:dyDescent="0.25">
      <c r="A27" s="9" t="s">
        <v>10</v>
      </c>
      <c r="B27" s="6" t="s">
        <v>12</v>
      </c>
      <c r="C27" s="11">
        <f>(702897+741633+771223+834976+864566)/5</f>
        <v>783059</v>
      </c>
      <c r="D27" s="1"/>
      <c r="E27" s="1"/>
      <c r="F27" s="1"/>
      <c r="G27" s="1"/>
    </row>
    <row r="28" spans="1:7" s="2" customFormat="1" x14ac:dyDescent="0.25">
      <c r="A28" s="9" t="s">
        <v>10</v>
      </c>
      <c r="B28" s="6" t="s">
        <v>13</v>
      </c>
      <c r="C28" s="11">
        <f>(776872+831748)/2</f>
        <v>804310</v>
      </c>
      <c r="D28" s="1"/>
      <c r="E28" s="1"/>
      <c r="F28" s="1"/>
      <c r="G28" s="1"/>
    </row>
    <row r="29" spans="1:7" s="2" customFormat="1" x14ac:dyDescent="0.25">
      <c r="A29" s="9" t="s">
        <v>10</v>
      </c>
      <c r="B29" s="6" t="s">
        <v>14</v>
      </c>
      <c r="C29" s="11">
        <f>(854613+909489+952798+914062+968938+1012247+1018165+887431+944415+989387+949163+1006147+1051119+1057264)/14</f>
        <v>965374.14285714284</v>
      </c>
      <c r="D29" s="1"/>
      <c r="E29" s="1"/>
      <c r="F29" s="1"/>
      <c r="G29" s="1"/>
    </row>
    <row r="30" spans="1:7" s="2" customFormat="1" x14ac:dyDescent="0.25">
      <c r="A30" s="9" t="s">
        <v>10</v>
      </c>
      <c r="B30" s="6" t="s">
        <v>15</v>
      </c>
      <c r="C30" s="11">
        <f>(702628+751586+714195+763153+834707+922939+979429+1101017)/8</f>
        <v>846206.75</v>
      </c>
      <c r="D30" s="1"/>
      <c r="E30" s="1"/>
      <c r="F30" s="1"/>
      <c r="G30" s="1"/>
    </row>
    <row r="31" spans="1:7" s="2" customFormat="1" x14ac:dyDescent="0.25">
      <c r="A31" s="9" t="s">
        <v>10</v>
      </c>
      <c r="B31" s="6" t="s">
        <v>16</v>
      </c>
      <c r="C31" s="11">
        <f>(932892+1021124+989651+1077883+1069006+1157238+1192208+1210769+1245739+1073848+1162080+1197050)/12</f>
        <v>1110790.6666666667</v>
      </c>
      <c r="D31" s="1"/>
      <c r="E31" s="1"/>
      <c r="F31" s="1"/>
      <c r="G31" s="1"/>
    </row>
    <row r="32" spans="1:7" s="2" customFormat="1" x14ac:dyDescent="0.25">
      <c r="A32" s="9" t="s">
        <v>10</v>
      </c>
      <c r="B32" s="6" t="s">
        <v>17</v>
      </c>
      <c r="C32" s="11">
        <f>(1845340+2408895)/2</f>
        <v>2127117.5</v>
      </c>
      <c r="D32" s="1"/>
      <c r="E32" s="1"/>
      <c r="F32" s="1"/>
      <c r="G32" s="1"/>
    </row>
    <row r="33" spans="1:7" s="2" customFormat="1" x14ac:dyDescent="0.25">
      <c r="A33" s="9" t="s">
        <v>10</v>
      </c>
      <c r="B33" s="6" t="s">
        <v>18</v>
      </c>
      <c r="C33" s="11">
        <f>(1276943+1240090+1420858+1358988+1546212+1462553+1654350+1641438+1841843)/9</f>
        <v>1493697.2222222222</v>
      </c>
      <c r="D33" s="1"/>
      <c r="E33" s="1"/>
      <c r="F33" s="1"/>
      <c r="G33" s="1"/>
    </row>
    <row r="34" spans="1:7" s="2" customFormat="1" x14ac:dyDescent="0.25">
      <c r="A34" s="9" t="s">
        <v>10</v>
      </c>
      <c r="B34" s="6" t="s">
        <v>284</v>
      </c>
      <c r="C34" s="11">
        <f>(1343117+1523885+1702501+1750652)/4</f>
        <v>1580038.75</v>
      </c>
      <c r="D34" s="1"/>
      <c r="E34" s="1"/>
      <c r="F34" s="1"/>
      <c r="G34" s="1"/>
    </row>
    <row r="35" spans="1:7" s="2" customFormat="1" x14ac:dyDescent="0.25">
      <c r="A35" s="9" t="s">
        <v>10</v>
      </c>
      <c r="B35" s="6" t="s">
        <v>19</v>
      </c>
      <c r="C35" s="11">
        <f>(1374590+1666455)/2</f>
        <v>1520522.5</v>
      </c>
      <c r="D35" s="1"/>
      <c r="E35" s="1"/>
      <c r="F35" s="1"/>
      <c r="G35" s="1"/>
    </row>
    <row r="36" spans="1:7" s="2" customFormat="1" x14ac:dyDescent="0.25">
      <c r="A36" s="9" t="s">
        <v>10</v>
      </c>
      <c r="B36" s="6" t="s">
        <v>20</v>
      </c>
      <c r="C36" s="11">
        <f>(942038+1069813+1118502+1320790+1352532)/5</f>
        <v>1160735</v>
      </c>
      <c r="D36" s="1"/>
      <c r="E36" s="1"/>
      <c r="F36" s="1"/>
      <c r="G36" s="1"/>
    </row>
    <row r="37" spans="1:7" s="2" customFormat="1" x14ac:dyDescent="0.25">
      <c r="A37" s="14" t="s">
        <v>21</v>
      </c>
      <c r="B37" s="6" t="s">
        <v>22</v>
      </c>
      <c r="C37" s="11">
        <f>(1174200+1203400)/2</f>
        <v>1188800</v>
      </c>
      <c r="D37" s="1"/>
      <c r="E37" s="1"/>
      <c r="F37" s="1"/>
      <c r="G37" s="1"/>
    </row>
    <row r="38" spans="1:7" s="2" customFormat="1" x14ac:dyDescent="0.25">
      <c r="A38" s="14" t="s">
        <v>21</v>
      </c>
      <c r="B38" s="6" t="s">
        <v>23</v>
      </c>
      <c r="C38" s="11">
        <f>(886000+981300+1017700)/3</f>
        <v>961666.66666666663</v>
      </c>
      <c r="D38" s="1"/>
      <c r="E38" s="1"/>
      <c r="F38" s="1"/>
      <c r="G38" s="1"/>
    </row>
    <row r="39" spans="1:7" s="2" customFormat="1" x14ac:dyDescent="0.25">
      <c r="A39" s="14" t="s">
        <v>21</v>
      </c>
      <c r="B39" s="6" t="s">
        <v>24</v>
      </c>
      <c r="C39" s="11">
        <f>(1004500+1166700+1217500)/3</f>
        <v>1129566.6666666667</v>
      </c>
      <c r="D39" s="1"/>
      <c r="E39" s="1"/>
      <c r="F39" s="1"/>
      <c r="G39" s="1"/>
    </row>
    <row r="40" spans="1:7" s="2" customFormat="1" x14ac:dyDescent="0.25">
      <c r="A40" s="14" t="s">
        <v>25</v>
      </c>
      <c r="B40" s="6" t="s">
        <v>285</v>
      </c>
      <c r="C40" s="11">
        <v>829900</v>
      </c>
      <c r="D40" s="1"/>
      <c r="E40" s="1"/>
      <c r="F40" s="1"/>
      <c r="G40" s="1"/>
    </row>
    <row r="41" spans="1:7" s="2" customFormat="1" x14ac:dyDescent="0.25">
      <c r="A41" s="14" t="s">
        <v>25</v>
      </c>
      <c r="B41" s="6" t="s">
        <v>26</v>
      </c>
      <c r="C41" s="11">
        <f>(1127900+1224900+1127900+1224900)/4</f>
        <v>1176400</v>
      </c>
      <c r="D41" s="1"/>
      <c r="E41" s="1"/>
      <c r="F41" s="1"/>
      <c r="G41" s="1"/>
    </row>
    <row r="42" spans="1:7" s="2" customFormat="1" x14ac:dyDescent="0.25">
      <c r="A42" s="14" t="s">
        <v>25</v>
      </c>
      <c r="B42" s="6" t="s">
        <v>248</v>
      </c>
      <c r="C42" s="11">
        <f>(1227900+1283900+1387900)/3</f>
        <v>1299900</v>
      </c>
      <c r="D42" s="1"/>
      <c r="E42" s="1"/>
      <c r="F42" s="1"/>
      <c r="G42" s="1"/>
    </row>
    <row r="43" spans="1:7" s="2" customFormat="1" x14ac:dyDescent="0.25">
      <c r="A43" s="14" t="s">
        <v>25</v>
      </c>
      <c r="B43" s="6" t="s">
        <v>27</v>
      </c>
      <c r="C43" s="11">
        <f>(699900+794900+946900)/3</f>
        <v>813900</v>
      </c>
      <c r="D43" s="1"/>
      <c r="E43" s="1"/>
      <c r="F43" s="1"/>
      <c r="G43" s="1"/>
    </row>
    <row r="44" spans="1:7" s="2" customFormat="1" x14ac:dyDescent="0.25">
      <c r="A44" s="14" t="s">
        <v>25</v>
      </c>
      <c r="B44" s="6" t="s">
        <v>286</v>
      </c>
      <c r="C44" s="11">
        <f>(879900+895900)/2</f>
        <v>887900</v>
      </c>
      <c r="D44" s="1"/>
      <c r="E44" s="1"/>
      <c r="F44" s="1"/>
      <c r="G44" s="1"/>
    </row>
    <row r="45" spans="1:7" s="2" customFormat="1" x14ac:dyDescent="0.25">
      <c r="A45" s="14" t="s">
        <v>25</v>
      </c>
      <c r="B45" s="6" t="s">
        <v>249</v>
      </c>
      <c r="C45" s="11">
        <f>(674900+719900)/2</f>
        <v>697400</v>
      </c>
      <c r="D45" s="1"/>
      <c r="E45" s="1"/>
      <c r="F45" s="1"/>
      <c r="G45" s="1"/>
    </row>
    <row r="46" spans="1:7" s="2" customFormat="1" x14ac:dyDescent="0.25">
      <c r="A46" s="14" t="s">
        <v>28</v>
      </c>
      <c r="B46" s="6" t="s">
        <v>29</v>
      </c>
      <c r="C46" s="11">
        <f>(819000+999000)/2</f>
        <v>909000</v>
      </c>
      <c r="D46" s="1"/>
      <c r="E46" s="1"/>
      <c r="F46" s="1"/>
      <c r="G46" s="1"/>
    </row>
    <row r="47" spans="1:7" s="2" customFormat="1" x14ac:dyDescent="0.25">
      <c r="A47" s="14" t="s">
        <v>28</v>
      </c>
      <c r="B47" s="6" t="s">
        <v>30</v>
      </c>
      <c r="C47" s="11">
        <f>(643000+789000)/2</f>
        <v>716000</v>
      </c>
      <c r="D47" s="1"/>
      <c r="E47" s="1"/>
      <c r="F47" s="1"/>
      <c r="G47" s="1"/>
    </row>
    <row r="48" spans="1:7" s="2" customFormat="1" x14ac:dyDescent="0.25">
      <c r="A48" s="14" t="s">
        <v>28</v>
      </c>
      <c r="B48" s="6" t="s">
        <v>31</v>
      </c>
      <c r="C48" s="11">
        <v>1109000</v>
      </c>
      <c r="D48" s="1"/>
      <c r="E48" s="1"/>
      <c r="F48" s="1"/>
      <c r="G48" s="1"/>
    </row>
    <row r="49" spans="1:7" s="2" customFormat="1" x14ac:dyDescent="0.25">
      <c r="A49" s="14" t="s">
        <v>28</v>
      </c>
      <c r="B49" s="6" t="s">
        <v>32</v>
      </c>
      <c r="C49" s="11">
        <f>(652000+709000+805000+865000+935000)/5</f>
        <v>793200</v>
      </c>
      <c r="D49" s="1"/>
      <c r="E49" s="1"/>
      <c r="F49" s="1"/>
      <c r="G49" s="1"/>
    </row>
    <row r="50" spans="1:7" s="2" customFormat="1" x14ac:dyDescent="0.25">
      <c r="A50" s="14" t="s">
        <v>28</v>
      </c>
      <c r="B50" s="6" t="s">
        <v>33</v>
      </c>
      <c r="C50" s="11">
        <f>(1110000+1338000+1458000)/3</f>
        <v>1302000</v>
      </c>
      <c r="D50" s="1"/>
      <c r="E50" s="1"/>
      <c r="F50" s="1"/>
      <c r="G50" s="1"/>
    </row>
    <row r="51" spans="1:7" s="2" customFormat="1" x14ac:dyDescent="0.25">
      <c r="A51" s="14" t="s">
        <v>34</v>
      </c>
      <c r="B51" s="6" t="s">
        <v>35</v>
      </c>
      <c r="C51" s="11">
        <f>(793725+696250)/2</f>
        <v>744987.5</v>
      </c>
      <c r="D51" s="1"/>
      <c r="E51" s="1"/>
      <c r="F51" s="1"/>
      <c r="G51" s="1"/>
    </row>
    <row r="52" spans="1:7" s="2" customFormat="1" x14ac:dyDescent="0.25">
      <c r="A52" s="14" t="s">
        <v>34</v>
      </c>
      <c r="B52" s="6" t="s">
        <v>287</v>
      </c>
      <c r="C52" s="11">
        <f>(1657075+1503900)/2</f>
        <v>1580487.5</v>
      </c>
      <c r="D52" s="1"/>
      <c r="E52" s="1"/>
      <c r="F52" s="1"/>
      <c r="G52" s="1"/>
    </row>
    <row r="53" spans="1:7" s="2" customFormat="1" x14ac:dyDescent="0.25">
      <c r="A53" s="14" t="s">
        <v>34</v>
      </c>
      <c r="B53" s="6" t="s">
        <v>36</v>
      </c>
      <c r="C53" s="11">
        <f>(2094320+2058115+2024695+1988490+2058115+1988490+1988490+1826960+1891015+1849240+1849240+1941145+1941145+1793540)/14</f>
        <v>1949500</v>
      </c>
      <c r="D53" s="1"/>
      <c r="E53" s="1"/>
      <c r="F53" s="1"/>
      <c r="G53" s="1"/>
    </row>
    <row r="54" spans="1:7" s="2" customFormat="1" x14ac:dyDescent="0.25">
      <c r="A54" s="15" t="s">
        <v>37</v>
      </c>
      <c r="B54" s="15" t="s">
        <v>38</v>
      </c>
      <c r="C54" s="11">
        <v>18125220</v>
      </c>
      <c r="D54" s="1"/>
      <c r="E54" s="1"/>
      <c r="F54" s="1"/>
      <c r="G54" s="1"/>
    </row>
    <row r="55" spans="1:7" s="2" customFormat="1" x14ac:dyDescent="0.25">
      <c r="A55" s="15" t="s">
        <v>37</v>
      </c>
      <c r="B55" s="15" t="s">
        <v>39</v>
      </c>
      <c r="C55" s="11">
        <v>21595290</v>
      </c>
      <c r="D55" s="1"/>
      <c r="E55" s="1"/>
      <c r="F55" s="1"/>
      <c r="G55" s="1"/>
    </row>
    <row r="56" spans="1:7" s="2" customFormat="1" x14ac:dyDescent="0.25">
      <c r="A56" s="15" t="s">
        <v>37</v>
      </c>
      <c r="B56" s="15" t="s">
        <v>40</v>
      </c>
      <c r="C56" s="11">
        <v>13273860</v>
      </c>
      <c r="D56" s="1"/>
      <c r="E56" s="1"/>
      <c r="F56" s="1"/>
      <c r="G56" s="1"/>
    </row>
    <row r="57" spans="1:7" s="2" customFormat="1" x14ac:dyDescent="0.25">
      <c r="A57" s="15" t="s">
        <v>37</v>
      </c>
      <c r="B57" s="15" t="s">
        <v>41</v>
      </c>
      <c r="C57" s="11">
        <v>12667440</v>
      </c>
      <c r="D57" s="1"/>
      <c r="E57" s="1"/>
      <c r="F57" s="1"/>
      <c r="G57" s="1"/>
    </row>
    <row r="58" spans="1:7" s="2" customFormat="1" x14ac:dyDescent="0.25">
      <c r="A58" s="15" t="s">
        <v>37</v>
      </c>
      <c r="B58" s="15" t="s">
        <v>42</v>
      </c>
      <c r="C58" s="11">
        <v>14688840</v>
      </c>
      <c r="D58" s="1"/>
      <c r="E58" s="1"/>
      <c r="F58" s="1"/>
      <c r="G58" s="1"/>
    </row>
    <row r="59" spans="1:7" s="2" customFormat="1" x14ac:dyDescent="0.25">
      <c r="A59" s="15" t="s">
        <v>37</v>
      </c>
      <c r="B59" s="15" t="s">
        <v>43</v>
      </c>
      <c r="C59" s="11">
        <v>14082420</v>
      </c>
      <c r="D59" s="1"/>
      <c r="E59" s="1"/>
      <c r="F59" s="1"/>
      <c r="G59" s="1"/>
    </row>
    <row r="60" spans="1:7" s="2" customFormat="1" x14ac:dyDescent="0.25">
      <c r="A60" s="15" t="s">
        <v>37</v>
      </c>
      <c r="B60" s="15" t="s">
        <v>44</v>
      </c>
      <c r="C60" s="11">
        <v>16103820</v>
      </c>
      <c r="D60" s="1"/>
      <c r="E60" s="1"/>
      <c r="F60" s="1"/>
      <c r="G60" s="1"/>
    </row>
    <row r="61" spans="1:7" s="2" customFormat="1" x14ac:dyDescent="0.25">
      <c r="A61" s="9" t="s">
        <v>125</v>
      </c>
      <c r="B61" s="9" t="s">
        <v>126</v>
      </c>
      <c r="C61" s="11">
        <f>(1281586+1364191+1474032+1819213+1616769+1773392+1900023)/7</f>
        <v>1604172.2857142857</v>
      </c>
      <c r="D61" s="1"/>
      <c r="E61" s="1"/>
      <c r="F61" s="1"/>
      <c r="G61" s="1"/>
    </row>
    <row r="62" spans="1:7" s="2" customFormat="1" x14ac:dyDescent="0.25">
      <c r="A62" s="9" t="s">
        <v>125</v>
      </c>
      <c r="B62" s="9" t="s">
        <v>288</v>
      </c>
      <c r="C62" s="11">
        <f>(1434876+1532626+1679252)/3</f>
        <v>1548918</v>
      </c>
      <c r="D62" s="1"/>
      <c r="E62" s="1"/>
      <c r="F62" s="1"/>
      <c r="G62" s="1"/>
    </row>
    <row r="63" spans="1:7" s="2" customFormat="1" x14ac:dyDescent="0.25">
      <c r="A63" s="9" t="s">
        <v>125</v>
      </c>
      <c r="B63" s="9" t="s">
        <v>127</v>
      </c>
      <c r="C63" s="11">
        <f>(1165785+1435431)/2</f>
        <v>1300608</v>
      </c>
      <c r="D63" s="1"/>
      <c r="E63" s="1"/>
      <c r="F63" s="1"/>
      <c r="G63" s="1"/>
    </row>
    <row r="64" spans="1:7" s="2" customFormat="1" x14ac:dyDescent="0.25">
      <c r="A64" s="9" t="s">
        <v>125</v>
      </c>
      <c r="B64" s="9" t="s">
        <v>289</v>
      </c>
      <c r="C64" s="11">
        <f>(2176890+2204660+2529847)/3</f>
        <v>2303799</v>
      </c>
      <c r="D64" s="1"/>
      <c r="E64" s="1"/>
      <c r="F64" s="1"/>
      <c r="G64" s="1"/>
    </row>
    <row r="65" spans="1:7" s="2" customFormat="1" x14ac:dyDescent="0.25">
      <c r="A65" s="9" t="s">
        <v>125</v>
      </c>
      <c r="B65" s="9" t="s">
        <v>128</v>
      </c>
      <c r="C65" s="11">
        <f>(1554933+1696199+1837819+1906411+2007771+2183000+2292136+1903078+2338789+2395996)/10</f>
        <v>2011613.2</v>
      </c>
      <c r="D65" s="1"/>
      <c r="E65" s="1"/>
      <c r="F65" s="1"/>
      <c r="G65" s="1"/>
    </row>
    <row r="66" spans="1:7" s="2" customFormat="1" x14ac:dyDescent="0.25">
      <c r="A66" s="9" t="s">
        <v>125</v>
      </c>
      <c r="B66" s="9" t="s">
        <v>290</v>
      </c>
      <c r="C66" s="11">
        <v>3120618</v>
      </c>
      <c r="D66" s="1"/>
      <c r="E66" s="1"/>
      <c r="F66" s="1"/>
      <c r="G66" s="1"/>
    </row>
    <row r="67" spans="1:7" s="2" customFormat="1" x14ac:dyDescent="0.25">
      <c r="A67" s="9" t="s">
        <v>125</v>
      </c>
      <c r="B67" s="9" t="s">
        <v>129</v>
      </c>
      <c r="C67" s="11">
        <f>(2586214+2829379)/2</f>
        <v>2707796.5</v>
      </c>
      <c r="D67" s="1"/>
      <c r="E67" s="1"/>
      <c r="F67" s="1"/>
      <c r="G67" s="1"/>
    </row>
    <row r="68" spans="1:7" s="2" customFormat="1" x14ac:dyDescent="0.25">
      <c r="A68" s="9" t="s">
        <v>125</v>
      </c>
      <c r="B68" s="9" t="s">
        <v>291</v>
      </c>
      <c r="C68" s="11">
        <v>3099376</v>
      </c>
      <c r="D68" s="1"/>
      <c r="E68" s="1"/>
      <c r="F68" s="1"/>
      <c r="G68" s="1"/>
    </row>
    <row r="69" spans="1:7" s="2" customFormat="1" x14ac:dyDescent="0.25">
      <c r="A69" s="9" t="s">
        <v>125</v>
      </c>
      <c r="B69" s="9" t="s">
        <v>292</v>
      </c>
      <c r="C69" s="11">
        <f>(2578947+2822112)/2</f>
        <v>2700529.5</v>
      </c>
      <c r="D69" s="1"/>
      <c r="E69" s="1"/>
      <c r="F69" s="1"/>
      <c r="G69" s="1"/>
    </row>
    <row r="70" spans="1:7" s="2" customFormat="1" x14ac:dyDescent="0.25">
      <c r="A70" s="9" t="s">
        <v>125</v>
      </c>
      <c r="B70" s="9" t="s">
        <v>293</v>
      </c>
      <c r="C70" s="11">
        <v>1217437</v>
      </c>
      <c r="D70" s="1"/>
      <c r="E70" s="1"/>
      <c r="F70" s="1"/>
      <c r="G70" s="1"/>
    </row>
    <row r="71" spans="1:7" s="2" customFormat="1" x14ac:dyDescent="0.25">
      <c r="A71" s="9" t="s">
        <v>125</v>
      </c>
      <c r="B71" s="9" t="s">
        <v>294</v>
      </c>
      <c r="C71" s="11">
        <f>(1947556+2326279)/2</f>
        <v>2136917.5</v>
      </c>
      <c r="D71" s="1"/>
      <c r="E71" s="1"/>
      <c r="F71" s="1"/>
      <c r="G71" s="1"/>
    </row>
    <row r="72" spans="1:7" s="2" customFormat="1" x14ac:dyDescent="0.25">
      <c r="A72" s="9" t="s">
        <v>125</v>
      </c>
      <c r="B72" s="9" t="s">
        <v>293</v>
      </c>
      <c r="C72" s="11">
        <f>(1146012+1202550+1217437+1494581)/4</f>
        <v>1265145</v>
      </c>
      <c r="D72" s="1"/>
      <c r="E72" s="1"/>
      <c r="F72" s="1"/>
      <c r="G72" s="1"/>
    </row>
    <row r="73" spans="1:7" s="2" customFormat="1" x14ac:dyDescent="0.25">
      <c r="A73" s="9" t="s">
        <v>125</v>
      </c>
      <c r="B73" s="9" t="s">
        <v>295</v>
      </c>
      <c r="C73" s="11">
        <f>(1948674+2387489+2444787)/3</f>
        <v>2260316.6666666665</v>
      </c>
      <c r="D73" s="1"/>
      <c r="E73" s="1"/>
      <c r="F73" s="1"/>
      <c r="G73" s="1"/>
    </row>
    <row r="74" spans="1:7" s="2" customFormat="1" x14ac:dyDescent="0.25">
      <c r="A74" s="9" t="s">
        <v>125</v>
      </c>
      <c r="B74" s="9" t="s">
        <v>130</v>
      </c>
      <c r="C74" s="11">
        <f>(1093305+1134960)/2</f>
        <v>1114132.5</v>
      </c>
      <c r="D74" s="1"/>
      <c r="E74" s="1"/>
      <c r="F74" s="1"/>
      <c r="G74" s="1"/>
    </row>
    <row r="75" spans="1:7" s="2" customFormat="1" x14ac:dyDescent="0.25">
      <c r="A75" s="9" t="s">
        <v>131</v>
      </c>
      <c r="B75" s="9" t="s">
        <v>250</v>
      </c>
      <c r="C75" s="11">
        <v>1091629</v>
      </c>
      <c r="D75" s="1"/>
      <c r="E75" s="1"/>
      <c r="F75" s="1"/>
      <c r="G75" s="1"/>
    </row>
    <row r="76" spans="1:7" s="2" customFormat="1" x14ac:dyDescent="0.25">
      <c r="A76" s="9" t="s">
        <v>131</v>
      </c>
      <c r="B76" s="9" t="s">
        <v>132</v>
      </c>
      <c r="C76" s="11">
        <v>1290160</v>
      </c>
      <c r="D76" s="1"/>
      <c r="E76" s="1"/>
      <c r="F76" s="1"/>
      <c r="G76" s="1"/>
    </row>
    <row r="77" spans="1:7" s="2" customFormat="1" x14ac:dyDescent="0.25">
      <c r="A77" s="9" t="s">
        <v>131</v>
      </c>
      <c r="B77" s="9" t="s">
        <v>133</v>
      </c>
      <c r="C77" s="11">
        <v>1665270</v>
      </c>
      <c r="D77" s="1"/>
      <c r="E77" s="1"/>
      <c r="F77" s="1"/>
      <c r="G77" s="1"/>
    </row>
    <row r="78" spans="1:7" s="2" customFormat="1" x14ac:dyDescent="0.25">
      <c r="A78" s="9" t="s">
        <v>131</v>
      </c>
      <c r="B78" s="9" t="s">
        <v>296</v>
      </c>
      <c r="C78" s="11">
        <v>3365830</v>
      </c>
      <c r="D78" s="1"/>
      <c r="E78" s="1"/>
      <c r="F78" s="1"/>
      <c r="G78" s="1"/>
    </row>
    <row r="79" spans="1:7" s="2" customFormat="1" x14ac:dyDescent="0.25">
      <c r="A79" s="9" t="s">
        <v>131</v>
      </c>
      <c r="B79" s="9" t="s">
        <v>134</v>
      </c>
      <c r="C79" s="11">
        <v>2196743</v>
      </c>
      <c r="D79" s="1"/>
      <c r="E79" s="1"/>
      <c r="F79" s="1"/>
      <c r="G79" s="1"/>
    </row>
    <row r="80" spans="1:7" s="2" customFormat="1" x14ac:dyDescent="0.25">
      <c r="A80" s="9" t="s">
        <v>131</v>
      </c>
      <c r="B80" s="9" t="s">
        <v>135</v>
      </c>
      <c r="C80" s="11">
        <v>2434476</v>
      </c>
      <c r="D80" s="1"/>
      <c r="E80" s="1"/>
      <c r="F80" s="1"/>
      <c r="G80" s="1"/>
    </row>
    <row r="81" spans="1:7" s="2" customFormat="1" x14ac:dyDescent="0.25">
      <c r="A81" s="9" t="s">
        <v>131</v>
      </c>
      <c r="B81" s="9" t="s">
        <v>136</v>
      </c>
      <c r="C81" s="11">
        <v>911388</v>
      </c>
      <c r="D81" s="1"/>
      <c r="E81" s="1"/>
      <c r="F81" s="1"/>
      <c r="G81" s="1"/>
    </row>
    <row r="82" spans="1:7" s="2" customFormat="1" x14ac:dyDescent="0.25">
      <c r="A82" s="9" t="s">
        <v>131</v>
      </c>
      <c r="B82" s="9" t="s">
        <v>137</v>
      </c>
      <c r="C82" s="11">
        <v>996095</v>
      </c>
      <c r="D82" s="1"/>
      <c r="E82" s="1"/>
      <c r="F82" s="1"/>
      <c r="G82" s="1"/>
    </row>
    <row r="83" spans="1:7" s="2" customFormat="1" x14ac:dyDescent="0.25">
      <c r="A83" s="9" t="s">
        <v>131</v>
      </c>
      <c r="B83" s="9" t="s">
        <v>138</v>
      </c>
      <c r="C83" s="11">
        <v>1057919</v>
      </c>
      <c r="D83" s="1"/>
      <c r="E83" s="1"/>
      <c r="F83" s="1"/>
      <c r="G83" s="1"/>
    </row>
    <row r="84" spans="1:7" s="2" customFormat="1" x14ac:dyDescent="0.25">
      <c r="A84" s="9" t="s">
        <v>131</v>
      </c>
      <c r="B84" s="16" t="s">
        <v>139</v>
      </c>
      <c r="C84" s="11">
        <v>1434975</v>
      </c>
      <c r="D84" s="1"/>
      <c r="E84" s="1"/>
      <c r="F84" s="1"/>
      <c r="G84" s="1"/>
    </row>
    <row r="85" spans="1:7" s="2" customFormat="1" x14ac:dyDescent="0.25">
      <c r="A85" s="9" t="s">
        <v>131</v>
      </c>
      <c r="B85" s="16" t="s">
        <v>251</v>
      </c>
      <c r="C85" s="11">
        <v>1966366</v>
      </c>
      <c r="D85" s="1"/>
      <c r="E85" s="1"/>
      <c r="F85" s="1"/>
      <c r="G85" s="1"/>
    </row>
    <row r="86" spans="1:7" s="2" customFormat="1" x14ac:dyDescent="0.25">
      <c r="A86" s="9" t="s">
        <v>131</v>
      </c>
      <c r="B86" s="16" t="s">
        <v>140</v>
      </c>
      <c r="C86" s="11">
        <v>1880387</v>
      </c>
      <c r="D86" s="1"/>
      <c r="E86" s="1"/>
      <c r="F86" s="1"/>
      <c r="G86" s="1"/>
    </row>
    <row r="87" spans="1:7" s="2" customFormat="1" x14ac:dyDescent="0.25">
      <c r="A87" s="16" t="s">
        <v>131</v>
      </c>
      <c r="B87" s="16" t="s">
        <v>252</v>
      </c>
      <c r="C87" s="11">
        <v>2679990</v>
      </c>
      <c r="D87" s="1"/>
      <c r="E87" s="1"/>
      <c r="F87" s="1"/>
      <c r="G87" s="1"/>
    </row>
    <row r="88" spans="1:7" s="2" customFormat="1" x14ac:dyDescent="0.25">
      <c r="A88" s="9" t="s">
        <v>131</v>
      </c>
      <c r="B88" s="9" t="s">
        <v>253</v>
      </c>
      <c r="C88" s="11">
        <v>1855184</v>
      </c>
      <c r="D88" s="1"/>
      <c r="E88" s="1"/>
      <c r="F88" s="1"/>
      <c r="G88" s="1"/>
    </row>
    <row r="89" spans="1:7" s="2" customFormat="1" x14ac:dyDescent="0.25">
      <c r="A89" s="9" t="s">
        <v>131</v>
      </c>
      <c r="B89" s="9" t="s">
        <v>254</v>
      </c>
      <c r="C89" s="11">
        <v>2684027</v>
      </c>
      <c r="D89" s="1"/>
      <c r="E89" s="1"/>
      <c r="F89" s="1"/>
      <c r="G89" s="1"/>
    </row>
    <row r="90" spans="1:7" s="2" customFormat="1" x14ac:dyDescent="0.25">
      <c r="A90" s="9" t="s">
        <v>131</v>
      </c>
      <c r="B90" s="9" t="s">
        <v>297</v>
      </c>
      <c r="C90" s="11">
        <v>3443986</v>
      </c>
      <c r="D90" s="1"/>
      <c r="E90" s="1"/>
      <c r="F90" s="1"/>
      <c r="G90" s="1"/>
    </row>
    <row r="91" spans="1:7" s="2" customFormat="1" x14ac:dyDescent="0.25">
      <c r="A91" s="9" t="s">
        <v>131</v>
      </c>
      <c r="B91" s="9" t="s">
        <v>298</v>
      </c>
      <c r="C91" s="11">
        <v>2453386</v>
      </c>
      <c r="D91" s="1"/>
      <c r="E91" s="1"/>
      <c r="F91" s="1"/>
      <c r="G91" s="1"/>
    </row>
    <row r="92" spans="1:7" s="2" customFormat="1" x14ac:dyDescent="0.25">
      <c r="A92" s="9" t="s">
        <v>141</v>
      </c>
      <c r="B92" s="9" t="s">
        <v>142</v>
      </c>
      <c r="C92" s="11">
        <f>(797500+830500+866000+841000+1048800+1145400)/6</f>
        <v>921533.33333333337</v>
      </c>
      <c r="D92" s="1"/>
      <c r="E92" s="1"/>
      <c r="F92" s="1"/>
      <c r="G92" s="1"/>
    </row>
    <row r="93" spans="1:7" s="2" customFormat="1" x14ac:dyDescent="0.25">
      <c r="A93" s="9" t="s">
        <v>141</v>
      </c>
      <c r="B93" s="6">
        <v>6</v>
      </c>
      <c r="C93" s="11">
        <f>(768700+847200+1091300+1139000)/4</f>
        <v>961550</v>
      </c>
      <c r="D93" s="1"/>
      <c r="E93" s="1"/>
      <c r="F93" s="1"/>
      <c r="G93" s="1"/>
    </row>
    <row r="94" spans="1:7" s="2" customFormat="1" x14ac:dyDescent="0.25">
      <c r="A94" s="9" t="s">
        <v>141</v>
      </c>
      <c r="B94" s="9" t="s">
        <v>299</v>
      </c>
      <c r="C94" s="11">
        <f>(1009700+1093800+1150000)/3</f>
        <v>1084500</v>
      </c>
      <c r="D94" s="1"/>
      <c r="E94" s="1"/>
      <c r="F94" s="1"/>
      <c r="G94" s="1"/>
    </row>
    <row r="95" spans="1:7" s="2" customFormat="1" x14ac:dyDescent="0.25">
      <c r="A95" s="9" t="s">
        <v>141</v>
      </c>
      <c r="B95" s="9" t="s">
        <v>143</v>
      </c>
      <c r="C95" s="11">
        <f>(688000+712000+779900)/3</f>
        <v>726633.33333333337</v>
      </c>
      <c r="D95" s="1"/>
      <c r="E95" s="1"/>
      <c r="F95" s="1"/>
      <c r="G95" s="1"/>
    </row>
    <row r="96" spans="1:7" s="2" customFormat="1" x14ac:dyDescent="0.25">
      <c r="A96" s="9" t="s">
        <v>141</v>
      </c>
      <c r="B96" s="9" t="s">
        <v>144</v>
      </c>
      <c r="C96" s="11">
        <f>(1220400+1543000)/2</f>
        <v>1381700</v>
      </c>
      <c r="D96" s="1"/>
      <c r="E96" s="1"/>
      <c r="F96" s="1"/>
      <c r="G96" s="1"/>
    </row>
    <row r="97" spans="1:7" s="2" customFormat="1" x14ac:dyDescent="0.25">
      <c r="A97" s="9" t="s">
        <v>141</v>
      </c>
      <c r="B97" s="6" t="s">
        <v>300</v>
      </c>
      <c r="C97" s="11">
        <f>(764400+816300+862900+906400+952900)/5</f>
        <v>860580</v>
      </c>
      <c r="D97" s="1"/>
      <c r="E97" s="1"/>
      <c r="F97" s="1"/>
      <c r="G97" s="1"/>
    </row>
    <row r="98" spans="1:7" s="2" customFormat="1" x14ac:dyDescent="0.25">
      <c r="A98" s="9" t="s">
        <v>145</v>
      </c>
      <c r="B98" s="9" t="s">
        <v>301</v>
      </c>
      <c r="C98" s="11">
        <v>9137278</v>
      </c>
      <c r="D98" s="1"/>
      <c r="E98" s="1"/>
      <c r="F98" s="1"/>
      <c r="G98" s="1"/>
    </row>
    <row r="99" spans="1:7" s="2" customFormat="1" x14ac:dyDescent="0.25">
      <c r="A99" s="9" t="s">
        <v>145</v>
      </c>
      <c r="B99" s="9" t="s">
        <v>302</v>
      </c>
      <c r="C99" s="11">
        <v>9876808</v>
      </c>
      <c r="D99" s="1"/>
      <c r="E99" s="1"/>
      <c r="F99" s="1"/>
      <c r="G99" s="1"/>
    </row>
    <row r="100" spans="1:7" s="2" customFormat="1" x14ac:dyDescent="0.25">
      <c r="A100" s="9" t="s">
        <v>145</v>
      </c>
      <c r="B100" s="9" t="s">
        <v>303</v>
      </c>
      <c r="C100" s="11">
        <v>8934189</v>
      </c>
      <c r="D100" s="1"/>
      <c r="E100" s="1"/>
      <c r="F100" s="1"/>
      <c r="G100" s="1"/>
    </row>
    <row r="101" spans="1:7" s="2" customFormat="1" x14ac:dyDescent="0.25">
      <c r="A101" s="9" t="s">
        <v>145</v>
      </c>
      <c r="B101" s="9" t="s">
        <v>304</v>
      </c>
      <c r="C101" s="11">
        <v>8688021</v>
      </c>
      <c r="D101" s="1"/>
      <c r="E101" s="1"/>
      <c r="F101" s="1"/>
      <c r="G101" s="1"/>
    </row>
    <row r="102" spans="1:7" s="2" customFormat="1" x14ac:dyDescent="0.25">
      <c r="A102" s="9" t="s">
        <v>145</v>
      </c>
      <c r="B102" s="9" t="s">
        <v>305</v>
      </c>
      <c r="C102" s="11">
        <v>8536218</v>
      </c>
      <c r="D102" s="1"/>
      <c r="E102" s="1"/>
      <c r="F102" s="1"/>
      <c r="G102" s="1"/>
    </row>
    <row r="103" spans="1:7" s="2" customFormat="1" x14ac:dyDescent="0.25">
      <c r="A103" s="9" t="s">
        <v>145</v>
      </c>
      <c r="B103" s="9" t="s">
        <v>306</v>
      </c>
      <c r="C103" s="11">
        <v>12046163</v>
      </c>
      <c r="D103" s="1"/>
      <c r="E103" s="1"/>
      <c r="F103" s="1"/>
      <c r="G103" s="1"/>
    </row>
    <row r="104" spans="1:7" s="2" customFormat="1" x14ac:dyDescent="0.25">
      <c r="A104" s="9" t="s">
        <v>146</v>
      </c>
      <c r="B104" s="17" t="s">
        <v>150</v>
      </c>
      <c r="C104" s="11">
        <f>(3940224+4246399+4482733+4529073+4941499+5526376+6844749)/7</f>
        <v>4930150.4285714282</v>
      </c>
      <c r="D104" s="1"/>
      <c r="E104" s="1"/>
      <c r="F104" s="1"/>
      <c r="G104" s="1"/>
    </row>
    <row r="105" spans="1:7" s="2" customFormat="1" x14ac:dyDescent="0.25">
      <c r="A105" s="9" t="s">
        <v>146</v>
      </c>
      <c r="B105" s="17" t="s">
        <v>151</v>
      </c>
      <c r="C105" s="11">
        <f>(2743990+2814493+3026002+3136225+3260681+3376862+3719778+3745596)/8</f>
        <v>3227953.375</v>
      </c>
      <c r="D105" s="1"/>
      <c r="E105" s="1"/>
      <c r="F105" s="1"/>
      <c r="G105" s="1"/>
    </row>
    <row r="106" spans="1:7" s="2" customFormat="1" x14ac:dyDescent="0.25">
      <c r="A106" s="9" t="s">
        <v>146</v>
      </c>
      <c r="B106" s="18" t="s">
        <v>255</v>
      </c>
      <c r="C106" s="11">
        <f>(2062130+2248814+2387172+2645683+2705594)/5</f>
        <v>2409878.6</v>
      </c>
      <c r="D106" s="1"/>
      <c r="E106" s="1"/>
      <c r="F106" s="1"/>
      <c r="G106" s="1"/>
    </row>
    <row r="107" spans="1:7" s="2" customFormat="1" x14ac:dyDescent="0.25">
      <c r="A107" s="9" t="s">
        <v>146</v>
      </c>
      <c r="B107" s="9" t="s">
        <v>148</v>
      </c>
      <c r="C107" s="11">
        <f>(1338895+1418997+1464013+1506712+1668902)/5</f>
        <v>1479503.8</v>
      </c>
      <c r="D107" s="1"/>
      <c r="E107" s="1"/>
      <c r="F107" s="1"/>
      <c r="G107" s="1"/>
    </row>
    <row r="108" spans="1:7" s="2" customFormat="1" x14ac:dyDescent="0.25">
      <c r="A108" s="9" t="s">
        <v>146</v>
      </c>
      <c r="B108" s="9" t="s">
        <v>307</v>
      </c>
      <c r="C108" s="11">
        <f>(1862206+1971767+2001557+2111118+2210749)/5</f>
        <v>2031479.4</v>
      </c>
      <c r="D108" s="1"/>
      <c r="E108" s="1"/>
      <c r="F108" s="1"/>
      <c r="G108" s="1"/>
    </row>
    <row r="109" spans="1:7" s="2" customFormat="1" x14ac:dyDescent="0.25">
      <c r="A109" s="9" t="s">
        <v>146</v>
      </c>
      <c r="B109" s="9" t="s">
        <v>147</v>
      </c>
      <c r="C109" s="11">
        <f>(1341874+1477915+1607336+1767540)/4</f>
        <v>1548666.25</v>
      </c>
      <c r="D109" s="1"/>
      <c r="E109" s="1"/>
      <c r="F109" s="1"/>
      <c r="G109" s="1"/>
    </row>
    <row r="110" spans="1:7" s="2" customFormat="1" x14ac:dyDescent="0.25">
      <c r="A110" s="9" t="s">
        <v>146</v>
      </c>
      <c r="B110" s="9" t="s">
        <v>149</v>
      </c>
      <c r="C110" s="11">
        <f>(1779456+1965809+1969781+1974746+1975077)/5</f>
        <v>1932973.8</v>
      </c>
      <c r="D110" s="1"/>
      <c r="E110" s="1"/>
      <c r="F110" s="1"/>
      <c r="G110" s="1"/>
    </row>
    <row r="111" spans="1:7" s="2" customFormat="1" x14ac:dyDescent="0.25">
      <c r="A111" s="9" t="s">
        <v>152</v>
      </c>
      <c r="B111" s="9" t="s">
        <v>153</v>
      </c>
      <c r="C111" s="11">
        <f>(1061160+1157970+1224840+1195480+1262340+1287350+1364680+1312640+1387360+1412360+1437360)/11</f>
        <v>1282140</v>
      </c>
      <c r="D111" s="1"/>
      <c r="E111" s="1"/>
      <c r="F111" s="1"/>
      <c r="G111" s="1"/>
    </row>
    <row r="112" spans="1:7" s="2" customFormat="1" x14ac:dyDescent="0.25">
      <c r="A112" s="9" t="s">
        <v>152</v>
      </c>
      <c r="B112" s="9" t="s">
        <v>154</v>
      </c>
      <c r="C112" s="11">
        <f>(1547520+1462020)/2</f>
        <v>1504770</v>
      </c>
      <c r="D112" s="1"/>
      <c r="E112" s="1"/>
      <c r="F112" s="1"/>
      <c r="G112" s="1"/>
    </row>
    <row r="113" spans="1:7" s="2" customFormat="1" x14ac:dyDescent="0.25">
      <c r="A113" s="9" t="s">
        <v>152</v>
      </c>
      <c r="B113" s="9" t="s">
        <v>155</v>
      </c>
      <c r="C113" s="11">
        <f>(1237910+1289410+1313350+1360470+1403390+1499510+1528690+1571600+1633390+1722650)/10</f>
        <v>1456037</v>
      </c>
      <c r="D113" s="1"/>
      <c r="E113" s="1"/>
      <c r="F113" s="1"/>
      <c r="G113" s="1"/>
    </row>
    <row r="114" spans="1:7" s="2" customFormat="1" x14ac:dyDescent="0.25">
      <c r="A114" s="9" t="s">
        <v>152</v>
      </c>
      <c r="B114" s="9" t="s">
        <v>156</v>
      </c>
      <c r="C114" s="11">
        <f>(1297420+1379840+1461970+1514810+1566780+1618190)/6</f>
        <v>1473168.3333333333</v>
      </c>
      <c r="D114" s="1"/>
      <c r="E114" s="1"/>
      <c r="F114" s="1"/>
      <c r="G114" s="1"/>
    </row>
    <row r="115" spans="1:7" s="2" customFormat="1" x14ac:dyDescent="0.25">
      <c r="A115" s="9" t="s">
        <v>152</v>
      </c>
      <c r="B115" s="9" t="s">
        <v>157</v>
      </c>
      <c r="C115" s="11">
        <f>(1821400+1821400+2154600+2154600)/4</f>
        <v>1988000</v>
      </c>
      <c r="D115" s="1"/>
      <c r="E115" s="1"/>
      <c r="F115" s="1"/>
      <c r="G115" s="1"/>
    </row>
    <row r="116" spans="1:7" s="2" customFormat="1" x14ac:dyDescent="0.25">
      <c r="A116" s="9" t="s">
        <v>158</v>
      </c>
      <c r="B116" s="9" t="s">
        <v>159</v>
      </c>
      <c r="C116" s="11">
        <v>536299</v>
      </c>
      <c r="D116" s="1"/>
      <c r="E116" s="1"/>
      <c r="F116" s="1"/>
      <c r="G116" s="1"/>
    </row>
    <row r="117" spans="1:7" s="2" customFormat="1" x14ac:dyDescent="0.25">
      <c r="A117" s="9" t="s">
        <v>158</v>
      </c>
      <c r="B117" s="9" t="s">
        <v>160</v>
      </c>
      <c r="C117" s="11">
        <v>521443</v>
      </c>
      <c r="D117" s="1"/>
      <c r="E117" s="1"/>
      <c r="F117" s="1"/>
      <c r="G117" s="1"/>
    </row>
    <row r="118" spans="1:7" s="2" customFormat="1" x14ac:dyDescent="0.25">
      <c r="A118" s="9" t="s">
        <v>158</v>
      </c>
      <c r="B118" s="9" t="s">
        <v>161</v>
      </c>
      <c r="C118" s="11">
        <f>(660800+682158+649199)/3</f>
        <v>664052.33333333337</v>
      </c>
      <c r="D118" s="1"/>
      <c r="E118" s="1"/>
      <c r="F118" s="1"/>
      <c r="G118" s="1"/>
    </row>
    <row r="119" spans="1:7" s="2" customFormat="1" x14ac:dyDescent="0.25">
      <c r="A119" s="18" t="s">
        <v>256</v>
      </c>
      <c r="B119" s="9" t="s">
        <v>257</v>
      </c>
      <c r="C119" s="11">
        <f>(1017436+1104645+1107240)/3</f>
        <v>1076440.3333333333</v>
      </c>
      <c r="D119" s="1"/>
      <c r="E119" s="1"/>
      <c r="F119" s="1"/>
      <c r="G119" s="1"/>
    </row>
    <row r="120" spans="1:7" s="2" customFormat="1" x14ac:dyDescent="0.25">
      <c r="A120" s="18" t="s">
        <v>256</v>
      </c>
      <c r="B120" s="9" t="s">
        <v>308</v>
      </c>
      <c r="C120" s="11">
        <f>(496132+548912+585858+617526)/4</f>
        <v>562107</v>
      </c>
      <c r="D120" s="1"/>
      <c r="E120" s="1"/>
      <c r="F120" s="1"/>
      <c r="G120" s="1"/>
    </row>
    <row r="121" spans="1:7" s="2" customFormat="1" x14ac:dyDescent="0.25">
      <c r="A121" s="18" t="s">
        <v>256</v>
      </c>
      <c r="B121" s="9" t="s">
        <v>258</v>
      </c>
      <c r="C121" s="11">
        <f>(464595+485359+524291+529482+545055)/5</f>
        <v>509756.4</v>
      </c>
      <c r="D121" s="1"/>
      <c r="E121" s="1"/>
      <c r="F121" s="1"/>
      <c r="G121" s="1"/>
    </row>
    <row r="122" spans="1:7" s="2" customFormat="1" x14ac:dyDescent="0.25">
      <c r="A122" s="17" t="s">
        <v>162</v>
      </c>
      <c r="B122" s="9" t="s">
        <v>309</v>
      </c>
      <c r="C122" s="11">
        <f>(474803+518212)/2</f>
        <v>496507.5</v>
      </c>
      <c r="D122" s="1"/>
      <c r="E122" s="1"/>
      <c r="F122" s="1"/>
      <c r="G122" s="1"/>
    </row>
    <row r="123" spans="1:7" s="2" customFormat="1" x14ac:dyDescent="0.25">
      <c r="A123" s="17" t="s">
        <v>162</v>
      </c>
      <c r="B123" s="9" t="s">
        <v>163</v>
      </c>
      <c r="C123" s="11">
        <f>(608557+623960)/2</f>
        <v>616258.5</v>
      </c>
      <c r="D123" s="1"/>
      <c r="E123" s="1"/>
      <c r="F123" s="1"/>
      <c r="G123" s="1"/>
    </row>
    <row r="124" spans="1:7" s="2" customFormat="1" x14ac:dyDescent="0.25">
      <c r="A124" s="17" t="s">
        <v>164</v>
      </c>
      <c r="B124" s="9" t="s">
        <v>310</v>
      </c>
      <c r="C124" s="11">
        <v>3690650</v>
      </c>
      <c r="D124" s="1"/>
      <c r="E124" s="1"/>
      <c r="F124" s="1"/>
      <c r="G124" s="1"/>
    </row>
    <row r="125" spans="1:7" s="2" customFormat="1" x14ac:dyDescent="0.25">
      <c r="A125" s="9" t="s">
        <v>164</v>
      </c>
      <c r="B125" s="9" t="s">
        <v>165</v>
      </c>
      <c r="C125" s="11">
        <f>(2214390+2492430+2648000)/3</f>
        <v>2451606.6666666665</v>
      </c>
      <c r="D125" s="1"/>
      <c r="E125" s="1"/>
      <c r="F125" s="1"/>
      <c r="G125" s="1"/>
    </row>
    <row r="126" spans="1:7" s="2" customFormat="1" x14ac:dyDescent="0.25">
      <c r="A126" s="9" t="s">
        <v>164</v>
      </c>
      <c r="B126" s="9" t="s">
        <v>166</v>
      </c>
      <c r="C126" s="11">
        <f>(2293830+2624830+2724130)/3</f>
        <v>2547596.6666666665</v>
      </c>
      <c r="D126" s="1"/>
      <c r="E126" s="1"/>
      <c r="F126" s="1"/>
      <c r="G126" s="1"/>
    </row>
    <row r="127" spans="1:7" s="2" customFormat="1" x14ac:dyDescent="0.25">
      <c r="A127" s="9" t="s">
        <v>164</v>
      </c>
      <c r="B127" s="9" t="s">
        <v>311</v>
      </c>
      <c r="C127" s="11">
        <v>3157740</v>
      </c>
      <c r="D127" s="1"/>
      <c r="E127" s="1"/>
      <c r="F127" s="1"/>
      <c r="G127" s="1"/>
    </row>
    <row r="128" spans="1:7" s="2" customFormat="1" x14ac:dyDescent="0.25">
      <c r="A128" s="9" t="s">
        <v>164</v>
      </c>
      <c r="B128" s="9" t="s">
        <v>312</v>
      </c>
      <c r="C128" s="11">
        <v>3233870</v>
      </c>
      <c r="D128" s="1"/>
      <c r="E128" s="1"/>
      <c r="F128" s="1"/>
      <c r="G128" s="1"/>
    </row>
    <row r="129" spans="1:7" s="2" customFormat="1" x14ac:dyDescent="0.25">
      <c r="A129" s="9" t="s">
        <v>164</v>
      </c>
      <c r="B129" s="9" t="s">
        <v>259</v>
      </c>
      <c r="C129" s="11">
        <f>(4471810+4716750)/2</f>
        <v>4594280</v>
      </c>
      <c r="D129" s="1"/>
      <c r="E129" s="1"/>
      <c r="F129" s="1"/>
      <c r="G129" s="1"/>
    </row>
    <row r="130" spans="1:7" s="2" customFormat="1" x14ac:dyDescent="0.25">
      <c r="A130" s="9" t="s">
        <v>164</v>
      </c>
      <c r="B130" s="9" t="s">
        <v>313</v>
      </c>
      <c r="C130" s="11">
        <v>3230560</v>
      </c>
      <c r="D130" s="1"/>
      <c r="E130" s="1"/>
      <c r="F130" s="1"/>
      <c r="G130" s="1"/>
    </row>
    <row r="131" spans="1:7" s="2" customFormat="1" x14ac:dyDescent="0.25">
      <c r="A131" s="9" t="s">
        <v>164</v>
      </c>
      <c r="B131" s="9" t="s">
        <v>167</v>
      </c>
      <c r="C131" s="11">
        <v>2972380</v>
      </c>
      <c r="D131" s="1"/>
      <c r="E131" s="1"/>
      <c r="F131" s="1"/>
      <c r="G131" s="1"/>
    </row>
    <row r="132" spans="1:7" s="2" customFormat="1" x14ac:dyDescent="0.25">
      <c r="A132" s="9" t="s">
        <v>164</v>
      </c>
      <c r="B132" s="9" t="s">
        <v>168</v>
      </c>
      <c r="C132" s="11">
        <v>4471810</v>
      </c>
      <c r="D132" s="1"/>
      <c r="E132" s="1"/>
      <c r="F132" s="1"/>
      <c r="G132" s="1"/>
    </row>
    <row r="133" spans="1:7" s="2" customFormat="1" x14ac:dyDescent="0.25">
      <c r="A133" s="9" t="s">
        <v>164</v>
      </c>
      <c r="B133" s="9" t="s">
        <v>314</v>
      </c>
      <c r="C133" s="11">
        <v>6560420</v>
      </c>
      <c r="D133" s="1"/>
      <c r="E133" s="1"/>
      <c r="F133" s="1"/>
      <c r="G133" s="1"/>
    </row>
    <row r="134" spans="1:7" s="2" customFormat="1" x14ac:dyDescent="0.25">
      <c r="A134" s="9" t="s">
        <v>164</v>
      </c>
      <c r="B134" s="9" t="s">
        <v>315</v>
      </c>
      <c r="C134" s="11">
        <v>3558250</v>
      </c>
      <c r="D134" s="1"/>
      <c r="E134" s="1"/>
      <c r="F134" s="1"/>
      <c r="G134" s="1"/>
    </row>
    <row r="135" spans="1:7" s="2" customFormat="1" x14ac:dyDescent="0.25">
      <c r="A135" s="16" t="s">
        <v>164</v>
      </c>
      <c r="B135" s="16" t="s">
        <v>169</v>
      </c>
      <c r="C135" s="11">
        <v>2528840</v>
      </c>
      <c r="D135" s="1"/>
      <c r="E135" s="1"/>
      <c r="F135" s="1"/>
      <c r="G135" s="1"/>
    </row>
    <row r="136" spans="1:7" s="2" customFormat="1" x14ac:dyDescent="0.25">
      <c r="A136" s="16" t="s">
        <v>164</v>
      </c>
      <c r="B136" s="16" t="s">
        <v>170</v>
      </c>
      <c r="C136" s="11">
        <v>3170980</v>
      </c>
      <c r="D136" s="1"/>
      <c r="E136" s="1"/>
      <c r="F136" s="1"/>
      <c r="G136" s="1"/>
    </row>
    <row r="137" spans="1:7" s="2" customFormat="1" x14ac:dyDescent="0.25">
      <c r="A137" s="16" t="s">
        <v>164</v>
      </c>
      <c r="B137" s="16" t="s">
        <v>171</v>
      </c>
      <c r="C137" s="11">
        <v>5034510</v>
      </c>
      <c r="D137" s="1"/>
      <c r="E137" s="1"/>
      <c r="F137" s="1"/>
      <c r="G137" s="1"/>
    </row>
    <row r="138" spans="1:7" s="2" customFormat="1" x14ac:dyDescent="0.25">
      <c r="A138" s="9" t="s">
        <v>164</v>
      </c>
      <c r="B138" s="16" t="s">
        <v>172</v>
      </c>
      <c r="C138" s="11">
        <v>2912800</v>
      </c>
      <c r="D138" s="1"/>
      <c r="E138" s="1"/>
      <c r="F138" s="1"/>
      <c r="G138" s="1"/>
    </row>
    <row r="139" spans="1:7" s="2" customFormat="1" x14ac:dyDescent="0.25">
      <c r="A139" s="9" t="s">
        <v>164</v>
      </c>
      <c r="B139" s="16" t="s">
        <v>260</v>
      </c>
      <c r="C139" s="11">
        <v>3581420</v>
      </c>
      <c r="D139" s="1"/>
      <c r="E139" s="1"/>
      <c r="F139" s="1"/>
      <c r="G139" s="1"/>
    </row>
    <row r="140" spans="1:7" s="2" customFormat="1" x14ac:dyDescent="0.25">
      <c r="A140" s="9" t="s">
        <v>164</v>
      </c>
      <c r="B140" s="9" t="s">
        <v>173</v>
      </c>
      <c r="C140" s="11">
        <v>5213250</v>
      </c>
      <c r="D140" s="1"/>
      <c r="E140" s="1"/>
      <c r="F140" s="1"/>
      <c r="G140" s="1"/>
    </row>
    <row r="141" spans="1:7" s="2" customFormat="1" x14ac:dyDescent="0.25">
      <c r="A141" s="18" t="s">
        <v>164</v>
      </c>
      <c r="B141" s="16" t="s">
        <v>261</v>
      </c>
      <c r="C141" s="11">
        <v>6666340</v>
      </c>
      <c r="D141" s="1"/>
      <c r="E141" s="1"/>
      <c r="F141" s="1"/>
      <c r="G141" s="1"/>
    </row>
    <row r="142" spans="1:7" s="2" customFormat="1" x14ac:dyDescent="0.25">
      <c r="A142" s="9" t="s">
        <v>174</v>
      </c>
      <c r="B142" s="4">
        <v>500</v>
      </c>
      <c r="C142" s="11">
        <v>444900</v>
      </c>
      <c r="D142" s="1"/>
      <c r="E142" s="1"/>
      <c r="F142" s="1"/>
      <c r="G142" s="1"/>
    </row>
    <row r="143" spans="1:7" s="2" customFormat="1" x14ac:dyDescent="0.25">
      <c r="A143" s="9" t="s">
        <v>174</v>
      </c>
      <c r="B143" s="4" t="s">
        <v>316</v>
      </c>
      <c r="C143" s="11">
        <f>(599900+699900)/2</f>
        <v>649900</v>
      </c>
      <c r="D143" s="1"/>
      <c r="E143" s="1"/>
      <c r="F143" s="1"/>
      <c r="G143" s="1"/>
    </row>
    <row r="144" spans="1:7" s="2" customFormat="1" x14ac:dyDescent="0.25">
      <c r="A144" s="9" t="s">
        <v>174</v>
      </c>
      <c r="B144" s="4" t="s">
        <v>175</v>
      </c>
      <c r="C144" s="11">
        <f>(394900+434900)/2</f>
        <v>414900</v>
      </c>
      <c r="D144" s="1"/>
      <c r="E144" s="1"/>
      <c r="F144" s="1"/>
      <c r="G144" s="1"/>
    </row>
    <row r="145" spans="1:7" s="2" customFormat="1" x14ac:dyDescent="0.25">
      <c r="A145" s="9" t="s">
        <v>174</v>
      </c>
      <c r="B145" s="4" t="s">
        <v>176</v>
      </c>
      <c r="C145" s="11">
        <f>(494000+554000+594000)/3</f>
        <v>547333.33333333337</v>
      </c>
      <c r="D145" s="1"/>
      <c r="E145" s="1"/>
      <c r="F145" s="1"/>
      <c r="G145" s="1"/>
    </row>
    <row r="146" spans="1:7" s="2" customFormat="1" x14ac:dyDescent="0.25">
      <c r="A146" s="9" t="s">
        <v>174</v>
      </c>
      <c r="B146" s="4" t="s">
        <v>317</v>
      </c>
      <c r="C146" s="11">
        <v>919000</v>
      </c>
      <c r="D146" s="1"/>
      <c r="E146" s="1"/>
      <c r="F146" s="1"/>
      <c r="G146" s="1"/>
    </row>
    <row r="147" spans="1:7" s="2" customFormat="1" x14ac:dyDescent="0.25">
      <c r="A147" s="9" t="s">
        <v>174</v>
      </c>
      <c r="B147" s="4" t="s">
        <v>262</v>
      </c>
      <c r="C147" s="11">
        <f>(379000+429000)/2</f>
        <v>404000</v>
      </c>
      <c r="D147" s="1"/>
      <c r="E147" s="1"/>
      <c r="F147" s="1"/>
      <c r="G147" s="1"/>
    </row>
    <row r="148" spans="1:7" s="2" customFormat="1" x14ac:dyDescent="0.25">
      <c r="A148" s="9" t="s">
        <v>174</v>
      </c>
      <c r="B148" s="4" t="s">
        <v>263</v>
      </c>
      <c r="C148" s="11">
        <v>984000</v>
      </c>
      <c r="D148" s="1"/>
      <c r="E148" s="1"/>
      <c r="F148" s="1"/>
      <c r="G148" s="1"/>
    </row>
    <row r="149" spans="1:7" s="2" customFormat="1" x14ac:dyDescent="0.25">
      <c r="A149" s="9" t="s">
        <v>174</v>
      </c>
      <c r="B149" s="4" t="s">
        <v>177</v>
      </c>
      <c r="C149" s="11">
        <f>(524000+544000)/2</f>
        <v>534000</v>
      </c>
      <c r="D149" s="1"/>
      <c r="E149" s="1"/>
      <c r="F149" s="1"/>
      <c r="G149" s="1"/>
    </row>
    <row r="150" spans="1:7" s="2" customFormat="1" x14ac:dyDescent="0.25">
      <c r="A150" s="9" t="s">
        <v>178</v>
      </c>
      <c r="B150" s="4" t="s">
        <v>179</v>
      </c>
      <c r="C150" s="11">
        <v>625900</v>
      </c>
      <c r="D150" s="1"/>
      <c r="E150" s="1"/>
      <c r="F150" s="1"/>
      <c r="G150" s="1"/>
    </row>
    <row r="151" spans="1:7" s="2" customFormat="1" x14ac:dyDescent="0.25">
      <c r="A151" s="9" t="s">
        <v>178</v>
      </c>
      <c r="B151" s="4" t="s">
        <v>180</v>
      </c>
      <c r="C151" s="11">
        <f>(961900+1344900)/2</f>
        <v>1153400</v>
      </c>
      <c r="D151" s="1"/>
      <c r="E151" s="1"/>
      <c r="F151" s="1"/>
      <c r="G151" s="1"/>
    </row>
    <row r="152" spans="1:7" s="2" customFormat="1" x14ac:dyDescent="0.25">
      <c r="A152" s="9" t="s">
        <v>178</v>
      </c>
      <c r="B152" s="4" t="s">
        <v>181</v>
      </c>
      <c r="C152" s="11">
        <f>(1351350+1392700)/2</f>
        <v>1372025</v>
      </c>
      <c r="D152" s="1"/>
      <c r="E152" s="1"/>
      <c r="F152" s="1"/>
      <c r="G152" s="1"/>
    </row>
    <row r="153" spans="1:7" s="2" customFormat="1" x14ac:dyDescent="0.25">
      <c r="A153" s="9" t="s">
        <v>182</v>
      </c>
      <c r="B153" s="4" t="s">
        <v>183</v>
      </c>
      <c r="C153" s="11">
        <f>(424124+461584+496633+550269+507984)/5</f>
        <v>488118.8</v>
      </c>
      <c r="D153" s="1"/>
      <c r="E153" s="1"/>
      <c r="F153" s="1"/>
      <c r="G153" s="1"/>
    </row>
    <row r="154" spans="1:7" s="2" customFormat="1" x14ac:dyDescent="0.25">
      <c r="A154" s="9" t="s">
        <v>182</v>
      </c>
      <c r="B154" s="4" t="s">
        <v>264</v>
      </c>
      <c r="C154" s="11">
        <f>(487211+529325+673377+544707+587105+709601+575327+617726)/8</f>
        <v>590547.375</v>
      </c>
      <c r="D154" s="1"/>
      <c r="E154" s="1"/>
      <c r="F154" s="1"/>
      <c r="G154" s="1"/>
    </row>
    <row r="155" spans="1:7" s="2" customFormat="1" x14ac:dyDescent="0.25">
      <c r="A155" s="9" t="s">
        <v>182</v>
      </c>
      <c r="B155" s="4" t="s">
        <v>184</v>
      </c>
      <c r="C155" s="11">
        <f>(450942+488403+523451+577087+534802)/5</f>
        <v>514937</v>
      </c>
      <c r="D155" s="1"/>
      <c r="E155" s="1"/>
      <c r="F155" s="1"/>
      <c r="G155" s="1"/>
    </row>
    <row r="156" spans="1:7" s="2" customFormat="1" x14ac:dyDescent="0.25">
      <c r="A156" s="9" t="s">
        <v>182</v>
      </c>
      <c r="B156" s="4" t="s">
        <v>185</v>
      </c>
      <c r="C156" s="11">
        <f>(571553+621216+668042+604189+726219+788652+694718+742111+677691+799720+862154+776733+824694+881452+945588)/15</f>
        <v>745648.8</v>
      </c>
      <c r="D156" s="1"/>
      <c r="E156" s="1"/>
      <c r="F156" s="1"/>
      <c r="G156" s="1"/>
    </row>
    <row r="157" spans="1:7" s="2" customFormat="1" x14ac:dyDescent="0.25">
      <c r="A157" s="9" t="s">
        <v>182</v>
      </c>
      <c r="B157" s="4" t="s">
        <v>186</v>
      </c>
      <c r="C157" s="11">
        <f>(596810+646474+693867+629446+751476+813910+719975+767652+702948+824978+887411+802274+850235+906993+970846)/15</f>
        <v>771019.66666666663</v>
      </c>
      <c r="D157" s="1"/>
      <c r="E157" s="1"/>
      <c r="F157" s="1"/>
      <c r="G157" s="1"/>
    </row>
    <row r="158" spans="1:7" s="2" customFormat="1" x14ac:dyDescent="0.25">
      <c r="A158" s="9" t="s">
        <v>182</v>
      </c>
      <c r="B158" s="4" t="s">
        <v>318</v>
      </c>
      <c r="C158" s="11">
        <f>(946156+990995+1092960+1023602+1136267+1003538+1048349+1150314+1081013+1193621+1199098+1243908+1345874+1276573+1389237+1164901+1317353)/17</f>
        <v>1153162.294117647</v>
      </c>
      <c r="D158" s="1"/>
      <c r="E158" s="1"/>
      <c r="F158" s="1"/>
      <c r="G158" s="1"/>
    </row>
    <row r="159" spans="1:7" s="2" customFormat="1" x14ac:dyDescent="0.25">
      <c r="A159" s="9" t="s">
        <v>182</v>
      </c>
      <c r="B159" s="4" t="s">
        <v>319</v>
      </c>
      <c r="C159" s="11">
        <f>(999792+1044659+1130194+1077267+1189931+1057203+1102013+1187519+1134621+1247285+1254182+1298992+1384470+1331599+1444264+1345761)/16</f>
        <v>1201859.5</v>
      </c>
      <c r="D159" s="1"/>
      <c r="E159" s="1"/>
      <c r="F159" s="1"/>
      <c r="G159" s="1"/>
    </row>
    <row r="160" spans="1:7" s="2" customFormat="1" x14ac:dyDescent="0.25">
      <c r="A160" s="9" t="s">
        <v>182</v>
      </c>
      <c r="B160" s="4" t="s">
        <v>187</v>
      </c>
      <c r="C160" s="11">
        <f>(460024+502592+652575+509545+552397+680245+537640+580492)/8</f>
        <v>559438.75</v>
      </c>
      <c r="D160" s="1"/>
      <c r="E160" s="1"/>
      <c r="F160" s="1"/>
      <c r="G160" s="1"/>
    </row>
    <row r="161" spans="1:7" s="2" customFormat="1" x14ac:dyDescent="0.25">
      <c r="A161" s="9" t="s">
        <v>182</v>
      </c>
      <c r="B161" s="4" t="s">
        <v>188</v>
      </c>
      <c r="C161" s="11">
        <f>(831079+862863+895074+926858+881168+912952+945163+976947+1035124+1066909+1072017+1103801+1136011+1167796+1225973+1257757+958926+990711+1022921+1054706+1112882+1144525+1042644+1074429+1106781+1138424+1196572+1228385)/28</f>
        <v>1048907.0714285714</v>
      </c>
      <c r="D161" s="1"/>
      <c r="E161" s="1"/>
      <c r="F161" s="1"/>
      <c r="G161" s="1"/>
    </row>
    <row r="162" spans="1:7" s="2" customFormat="1" x14ac:dyDescent="0.25">
      <c r="A162" s="9" t="s">
        <v>182</v>
      </c>
      <c r="B162" s="4" t="s">
        <v>189</v>
      </c>
      <c r="C162" s="11">
        <f>(605012+631688+638584+689269+672384+699032+693725+705956+744410+756641+845694+857897+700479+727127+721820+734023+772505+784708+866155+878387+936479)/21</f>
        <v>745808.33333333337</v>
      </c>
      <c r="D162" s="1"/>
      <c r="E162" s="1"/>
      <c r="F162" s="1"/>
      <c r="G162" s="1"/>
    </row>
    <row r="163" spans="1:7" s="2" customFormat="1" x14ac:dyDescent="0.25">
      <c r="A163" s="9" t="s">
        <v>190</v>
      </c>
      <c r="B163" s="4" t="s">
        <v>320</v>
      </c>
      <c r="C163" s="11">
        <v>571202</v>
      </c>
      <c r="D163" s="1"/>
      <c r="E163" s="1"/>
      <c r="F163" s="1"/>
      <c r="G163" s="1"/>
    </row>
    <row r="164" spans="1:7" s="2" customFormat="1" x14ac:dyDescent="0.25">
      <c r="A164" s="9" t="s">
        <v>190</v>
      </c>
      <c r="B164" s="4" t="s">
        <v>265</v>
      </c>
      <c r="C164" s="11">
        <v>659581</v>
      </c>
      <c r="D164" s="1"/>
      <c r="E164" s="1"/>
      <c r="F164" s="1"/>
      <c r="G164" s="1"/>
    </row>
    <row r="165" spans="1:7" s="2" customFormat="1" x14ac:dyDescent="0.25">
      <c r="A165" s="9" t="s">
        <v>190</v>
      </c>
      <c r="B165" s="4" t="s">
        <v>191</v>
      </c>
      <c r="C165" s="11">
        <v>903869</v>
      </c>
      <c r="D165" s="1"/>
      <c r="E165" s="1"/>
      <c r="F165" s="1"/>
      <c r="G165" s="1"/>
    </row>
    <row r="166" spans="1:7" s="2" customFormat="1" x14ac:dyDescent="0.25">
      <c r="A166" s="9" t="s">
        <v>266</v>
      </c>
      <c r="B166" s="8" t="s">
        <v>321</v>
      </c>
      <c r="C166" s="11">
        <v>1129237</v>
      </c>
      <c r="D166" s="1"/>
      <c r="E166" s="1"/>
      <c r="F166" s="1"/>
      <c r="G166" s="1"/>
    </row>
    <row r="167" spans="1:7" s="2" customFormat="1" x14ac:dyDescent="0.25">
      <c r="A167" s="9" t="s">
        <v>190</v>
      </c>
      <c r="B167" s="4" t="s">
        <v>322</v>
      </c>
      <c r="C167" s="11">
        <v>990019</v>
      </c>
      <c r="D167" s="1"/>
      <c r="E167" s="1"/>
      <c r="F167" s="1"/>
      <c r="G167" s="1"/>
    </row>
    <row r="168" spans="1:7" s="2" customFormat="1" x14ac:dyDescent="0.25">
      <c r="A168" s="9" t="s">
        <v>190</v>
      </c>
      <c r="B168" s="4" t="s">
        <v>323</v>
      </c>
      <c r="C168" s="11">
        <v>2052589</v>
      </c>
      <c r="D168" s="1"/>
      <c r="E168" s="1"/>
      <c r="F168" s="1"/>
      <c r="G168" s="1"/>
    </row>
    <row r="169" spans="1:7" s="2" customFormat="1" x14ac:dyDescent="0.25">
      <c r="A169" s="9" t="s">
        <v>190</v>
      </c>
      <c r="B169" s="4" t="s">
        <v>192</v>
      </c>
      <c r="C169" s="11">
        <f>(1020676+1031083+1257038+1363583+1410931)/5</f>
        <v>1216662.2</v>
      </c>
      <c r="D169" s="1"/>
      <c r="E169" s="1"/>
      <c r="F169" s="1"/>
      <c r="G169" s="1"/>
    </row>
    <row r="170" spans="1:7" s="2" customFormat="1" x14ac:dyDescent="0.25">
      <c r="A170" s="9" t="s">
        <v>193</v>
      </c>
      <c r="B170" s="4" t="s">
        <v>194</v>
      </c>
      <c r="C170" s="11">
        <f>(354900+381400+371200+388200+401700+418600+405100+422000)/8</f>
        <v>392887.5</v>
      </c>
      <c r="D170" s="1"/>
      <c r="E170" s="1"/>
      <c r="F170" s="1"/>
      <c r="G170" s="1"/>
    </row>
    <row r="171" spans="1:7" s="2" customFormat="1" x14ac:dyDescent="0.25">
      <c r="A171" s="9" t="s">
        <v>193</v>
      </c>
      <c r="B171" s="4" t="s">
        <v>195</v>
      </c>
      <c r="C171" s="11">
        <f>(503500+537600+561600)/3</f>
        <v>534233.33333333337</v>
      </c>
      <c r="D171" s="1"/>
      <c r="E171" s="1"/>
      <c r="F171" s="1"/>
      <c r="G171" s="1"/>
    </row>
    <row r="172" spans="1:7" s="2" customFormat="1" x14ac:dyDescent="0.25">
      <c r="A172" s="9" t="s">
        <v>193</v>
      </c>
      <c r="B172" s="4" t="s">
        <v>196</v>
      </c>
      <c r="C172" s="11">
        <f>(343600+318800+370100+360000+390400+393800)/6</f>
        <v>362783.33333333331</v>
      </c>
      <c r="D172" s="1"/>
      <c r="E172" s="1"/>
      <c r="F172" s="1"/>
      <c r="G172" s="1"/>
    </row>
    <row r="173" spans="1:7" s="2" customFormat="1" x14ac:dyDescent="0.25">
      <c r="A173" s="9" t="s">
        <v>193</v>
      </c>
      <c r="B173" s="4" t="s">
        <v>324</v>
      </c>
      <c r="C173" s="11">
        <f>(887200+929100)/2</f>
        <v>908150</v>
      </c>
      <c r="D173" s="1"/>
      <c r="E173" s="1"/>
      <c r="F173" s="1"/>
      <c r="G173" s="1"/>
    </row>
    <row r="174" spans="1:7" s="2" customFormat="1" x14ac:dyDescent="0.25">
      <c r="A174" s="9" t="s">
        <v>193</v>
      </c>
      <c r="B174" s="4" t="s">
        <v>197</v>
      </c>
      <c r="C174" s="11">
        <f>(577400+606100+597800)/3</f>
        <v>593766.66666666663</v>
      </c>
      <c r="D174" s="1"/>
      <c r="E174" s="1"/>
      <c r="F174" s="1"/>
      <c r="G174" s="1"/>
    </row>
    <row r="175" spans="1:7" s="2" customFormat="1" x14ac:dyDescent="0.25">
      <c r="A175" s="9" t="s">
        <v>193</v>
      </c>
      <c r="B175" s="4" t="s">
        <v>198</v>
      </c>
      <c r="C175" s="11">
        <v>1001700</v>
      </c>
      <c r="D175" s="1"/>
      <c r="E175" s="1"/>
      <c r="F175" s="1"/>
      <c r="G175" s="1"/>
    </row>
    <row r="176" spans="1:7" s="2" customFormat="1" x14ac:dyDescent="0.25">
      <c r="A176" s="9" t="s">
        <v>193</v>
      </c>
      <c r="B176" s="4" t="s">
        <v>199</v>
      </c>
      <c r="C176" s="11">
        <f>(390700+471300)/2</f>
        <v>431000</v>
      </c>
      <c r="D176" s="1"/>
      <c r="E176" s="1"/>
      <c r="F176" s="1"/>
      <c r="G176" s="1"/>
    </row>
    <row r="177" spans="1:7" s="2" customFormat="1" x14ac:dyDescent="0.25">
      <c r="A177" s="9" t="s">
        <v>193</v>
      </c>
      <c r="B177" s="4" t="s">
        <v>200</v>
      </c>
      <c r="C177" s="11">
        <f>(508300+559000+635100+680900+679300)/5</f>
        <v>612520</v>
      </c>
      <c r="D177" s="1"/>
      <c r="E177" s="1"/>
      <c r="F177" s="1"/>
      <c r="G177" s="1"/>
    </row>
    <row r="178" spans="1:7" s="2" customFormat="1" x14ac:dyDescent="0.25">
      <c r="A178" s="9" t="s">
        <v>193</v>
      </c>
      <c r="B178" s="4" t="s">
        <v>201</v>
      </c>
      <c r="C178" s="11">
        <f>(692100+73900+789300)/3</f>
        <v>518433.33333333331</v>
      </c>
      <c r="D178" s="1"/>
      <c r="E178" s="1"/>
      <c r="F178" s="1"/>
      <c r="G178" s="1"/>
    </row>
    <row r="179" spans="1:7" s="2" customFormat="1" x14ac:dyDescent="0.25">
      <c r="A179" s="9" t="s">
        <v>202</v>
      </c>
      <c r="B179" s="4">
        <v>208</v>
      </c>
      <c r="C179" s="11">
        <f>(475400+619100)/2</f>
        <v>547250</v>
      </c>
      <c r="D179" s="1"/>
      <c r="E179" s="1"/>
      <c r="F179" s="1"/>
      <c r="G179" s="1"/>
    </row>
    <row r="180" spans="1:7" s="2" customFormat="1" x14ac:dyDescent="0.25">
      <c r="A180" s="9" t="s">
        <v>202</v>
      </c>
      <c r="B180" s="4">
        <v>308</v>
      </c>
      <c r="C180" s="11">
        <f>(592400+706100+775200)/3</f>
        <v>691233.33333333337</v>
      </c>
      <c r="D180" s="1"/>
      <c r="E180" s="1"/>
      <c r="F180" s="1"/>
      <c r="G180" s="1"/>
    </row>
    <row r="181" spans="1:7" s="2" customFormat="1" x14ac:dyDescent="0.25">
      <c r="A181" s="9" t="s">
        <v>202</v>
      </c>
      <c r="B181" s="4" t="s">
        <v>203</v>
      </c>
      <c r="C181" s="11">
        <f>(811300+860300+973100+1128700)/4</f>
        <v>943350</v>
      </c>
      <c r="D181" s="1"/>
      <c r="E181" s="1"/>
      <c r="F181" s="1"/>
      <c r="G181" s="1"/>
    </row>
    <row r="182" spans="1:7" s="2" customFormat="1" x14ac:dyDescent="0.25">
      <c r="A182" s="9" t="s">
        <v>202</v>
      </c>
      <c r="B182" s="4" t="s">
        <v>204</v>
      </c>
      <c r="C182" s="11">
        <f>(994100+1122900)/2</f>
        <v>1058500</v>
      </c>
      <c r="D182" s="1"/>
      <c r="E182" s="1"/>
      <c r="F182" s="1"/>
      <c r="G182" s="1"/>
    </row>
    <row r="183" spans="1:7" s="2" customFormat="1" x14ac:dyDescent="0.25">
      <c r="A183" s="9" t="s">
        <v>202</v>
      </c>
      <c r="B183" s="4" t="s">
        <v>205</v>
      </c>
      <c r="C183" s="11">
        <f>(1037900+974600)/2</f>
        <v>1006250</v>
      </c>
      <c r="D183" s="1"/>
      <c r="E183" s="1"/>
      <c r="F183" s="1"/>
      <c r="G183" s="1"/>
    </row>
    <row r="184" spans="1:7" s="2" customFormat="1" x14ac:dyDescent="0.25">
      <c r="A184" s="9" t="s">
        <v>202</v>
      </c>
      <c r="B184" s="4" t="s">
        <v>206</v>
      </c>
      <c r="C184" s="11">
        <f>(582100+627500+656600+763300+702000+808600+805500+850800)/8</f>
        <v>724550</v>
      </c>
      <c r="D184" s="1"/>
      <c r="E184" s="1"/>
      <c r="F184" s="1"/>
      <c r="G184" s="1"/>
    </row>
    <row r="185" spans="1:7" s="2" customFormat="1" x14ac:dyDescent="0.25">
      <c r="A185" s="9" t="s">
        <v>202</v>
      </c>
      <c r="B185" s="18" t="s">
        <v>267</v>
      </c>
      <c r="C185" s="11">
        <f>(1112300+1165400+1194800+1248200+1342700+1396100)/6</f>
        <v>1243250</v>
      </c>
      <c r="D185" s="1"/>
      <c r="E185" s="1"/>
      <c r="F185" s="1"/>
      <c r="G185" s="1"/>
    </row>
    <row r="186" spans="1:7" s="2" customFormat="1" x14ac:dyDescent="0.25">
      <c r="A186" s="9" t="s">
        <v>207</v>
      </c>
      <c r="B186" s="4" t="s">
        <v>208</v>
      </c>
      <c r="C186" s="11">
        <f>(485400+529200)/2</f>
        <v>507300</v>
      </c>
      <c r="D186" s="1"/>
      <c r="E186" s="1"/>
      <c r="F186" s="1"/>
      <c r="G186" s="1"/>
    </row>
    <row r="187" spans="1:7" s="2" customFormat="1" x14ac:dyDescent="0.25">
      <c r="A187" s="9" t="s">
        <v>207</v>
      </c>
      <c r="B187" s="4" t="s">
        <v>268</v>
      </c>
      <c r="C187" s="11">
        <f>(552700+587700+628200+765500+663300+801400)/6</f>
        <v>666466.66666666663</v>
      </c>
      <c r="D187" s="1"/>
      <c r="E187" s="1"/>
      <c r="F187" s="1"/>
      <c r="G187" s="1"/>
    </row>
    <row r="188" spans="1:7" s="2" customFormat="1" x14ac:dyDescent="0.25">
      <c r="A188" s="9" t="s">
        <v>207</v>
      </c>
      <c r="B188" s="4" t="s">
        <v>209</v>
      </c>
      <c r="C188" s="11">
        <f>(473100+559100+644200)/3</f>
        <v>558800</v>
      </c>
      <c r="D188" s="1"/>
      <c r="E188" s="1"/>
      <c r="F188" s="1"/>
      <c r="G188" s="1"/>
    </row>
    <row r="189" spans="1:7" s="2" customFormat="1" x14ac:dyDescent="0.25">
      <c r="A189" s="9" t="s">
        <v>207</v>
      </c>
      <c r="B189" s="4" t="s">
        <v>325</v>
      </c>
      <c r="C189" s="11">
        <f>(1185500+1258700+1222100+1292000+1538500+1598400)/6</f>
        <v>1349200</v>
      </c>
      <c r="D189" s="1"/>
      <c r="E189" s="1"/>
      <c r="F189" s="1"/>
      <c r="G189" s="1"/>
    </row>
    <row r="190" spans="1:7" s="2" customFormat="1" x14ac:dyDescent="0.25">
      <c r="A190" s="9" t="s">
        <v>207</v>
      </c>
      <c r="B190" s="4" t="s">
        <v>210</v>
      </c>
      <c r="C190" s="11">
        <f>(693700+748100+839900+845200)/4</f>
        <v>781725</v>
      </c>
      <c r="D190" s="1"/>
      <c r="E190" s="1"/>
      <c r="F190" s="1"/>
      <c r="G190" s="1"/>
    </row>
    <row r="191" spans="1:7" s="2" customFormat="1" x14ac:dyDescent="0.25">
      <c r="A191" s="9" t="s">
        <v>211</v>
      </c>
      <c r="B191" s="4" t="s">
        <v>212</v>
      </c>
      <c r="C191" s="11">
        <f>(649700+765620+738580+807580+832140+901140+1015400)/7</f>
        <v>815737.14285714284</v>
      </c>
      <c r="D191" s="1"/>
      <c r="E191" s="1"/>
      <c r="F191" s="1"/>
      <c r="G191" s="1"/>
    </row>
    <row r="192" spans="1:7" s="2" customFormat="1" x14ac:dyDescent="0.25">
      <c r="A192" s="9" t="s">
        <v>211</v>
      </c>
      <c r="B192" s="4" t="s">
        <v>213</v>
      </c>
      <c r="C192" s="11">
        <f>(965940+1204960)/2</f>
        <v>1085450</v>
      </c>
      <c r="D192" s="1"/>
      <c r="E192" s="1"/>
      <c r="F192" s="1"/>
      <c r="G192" s="1"/>
    </row>
    <row r="193" spans="1:7" s="2" customFormat="1" x14ac:dyDescent="0.25">
      <c r="A193" s="9" t="s">
        <v>211</v>
      </c>
      <c r="B193" s="4" t="s">
        <v>214</v>
      </c>
      <c r="C193" s="11">
        <f>(542750+586910+577250+621410+663090+726570+819030+627760+709730+690410+791150)/11</f>
        <v>668732.72727272729</v>
      </c>
      <c r="D193" s="1"/>
      <c r="E193" s="1"/>
      <c r="F193" s="1"/>
      <c r="G193" s="1"/>
    </row>
    <row r="194" spans="1:7" s="2" customFormat="1" x14ac:dyDescent="0.25">
      <c r="A194" s="9" t="s">
        <v>215</v>
      </c>
      <c r="B194" s="4" t="s">
        <v>216</v>
      </c>
      <c r="C194" s="11">
        <f>(422608+529992+540384+540384)/4</f>
        <v>508342</v>
      </c>
      <c r="D194" s="1"/>
      <c r="E194" s="1"/>
      <c r="F194" s="1"/>
      <c r="G194" s="1"/>
    </row>
    <row r="195" spans="1:7" s="2" customFormat="1" x14ac:dyDescent="0.25">
      <c r="A195" s="9" t="s">
        <v>217</v>
      </c>
      <c r="B195" s="4" t="s">
        <v>326</v>
      </c>
      <c r="C195" s="11">
        <f>(441535+452526+467307+472234+479435+520367)/6</f>
        <v>472234</v>
      </c>
      <c r="D195" s="1"/>
      <c r="E195" s="1"/>
      <c r="F195" s="1"/>
      <c r="G195" s="1"/>
    </row>
    <row r="196" spans="1:7" s="2" customFormat="1" x14ac:dyDescent="0.25">
      <c r="A196" s="9" t="s">
        <v>217</v>
      </c>
      <c r="B196" s="4" t="s">
        <v>218</v>
      </c>
      <c r="C196" s="11">
        <f>(433290+506616+549945)/3</f>
        <v>496617</v>
      </c>
      <c r="D196" s="1"/>
      <c r="E196" s="1"/>
      <c r="F196" s="1"/>
      <c r="G196" s="1"/>
    </row>
    <row r="197" spans="1:7" s="2" customFormat="1" x14ac:dyDescent="0.25">
      <c r="A197" s="9" t="s">
        <v>217</v>
      </c>
      <c r="B197" s="4" t="s">
        <v>327</v>
      </c>
      <c r="C197" s="11">
        <f>(466170+483604+476782+490426+525294+561678)/6</f>
        <v>500659</v>
      </c>
      <c r="D197" s="1"/>
      <c r="E197" s="1"/>
      <c r="F197" s="1"/>
      <c r="G197" s="1"/>
    </row>
    <row r="198" spans="1:7" s="2" customFormat="1" x14ac:dyDescent="0.25">
      <c r="A198" s="9" t="s">
        <v>217</v>
      </c>
      <c r="B198" s="4" t="s">
        <v>219</v>
      </c>
      <c r="C198" s="11">
        <f>(503283+583275+616605)/3</f>
        <v>567721</v>
      </c>
      <c r="D198" s="1"/>
      <c r="E198" s="1"/>
      <c r="F198" s="1"/>
      <c r="G198" s="1"/>
    </row>
    <row r="199" spans="1:7" s="2" customFormat="1" x14ac:dyDescent="0.25">
      <c r="A199" s="9" t="s">
        <v>217</v>
      </c>
      <c r="B199" s="4" t="s">
        <v>220</v>
      </c>
      <c r="C199" s="11">
        <f>(573276+603273)/2</f>
        <v>588274.5</v>
      </c>
      <c r="D199" s="1"/>
      <c r="E199" s="1"/>
      <c r="F199" s="1"/>
      <c r="G199" s="1"/>
    </row>
    <row r="200" spans="1:7" s="2" customFormat="1" x14ac:dyDescent="0.25">
      <c r="A200" s="9" t="s">
        <v>217</v>
      </c>
      <c r="B200" s="4" t="s">
        <v>328</v>
      </c>
      <c r="C200" s="11">
        <f>(799920+849915)/2</f>
        <v>824917.5</v>
      </c>
      <c r="D200" s="1"/>
      <c r="E200" s="1"/>
      <c r="F200" s="1"/>
      <c r="G200" s="1"/>
    </row>
    <row r="201" spans="1:7" s="2" customFormat="1" x14ac:dyDescent="0.25">
      <c r="A201" s="9" t="s">
        <v>217</v>
      </c>
      <c r="B201" s="4" t="s">
        <v>329</v>
      </c>
      <c r="C201" s="11">
        <f>(766256+899576+966236+1079892)/4</f>
        <v>927990</v>
      </c>
      <c r="D201" s="1"/>
      <c r="E201" s="1"/>
      <c r="F201" s="1"/>
      <c r="G201" s="1"/>
    </row>
    <row r="202" spans="1:7" s="2" customFormat="1" x14ac:dyDescent="0.25">
      <c r="A202" s="9" t="s">
        <v>217</v>
      </c>
      <c r="B202" s="4" t="s">
        <v>221</v>
      </c>
      <c r="C202" s="11">
        <f>(532946+566276+599606+632936+666266+732926)/6</f>
        <v>621826</v>
      </c>
      <c r="D202" s="1"/>
      <c r="E202" s="1"/>
      <c r="F202" s="1"/>
      <c r="G202" s="1"/>
    </row>
    <row r="203" spans="1:7" s="2" customFormat="1" x14ac:dyDescent="0.25">
      <c r="A203" s="9" t="s">
        <v>217</v>
      </c>
      <c r="B203" s="4" t="s">
        <v>222</v>
      </c>
      <c r="C203" s="11">
        <f>(1158697+1444830)/2</f>
        <v>1301763.5</v>
      </c>
      <c r="D203" s="1"/>
      <c r="E203" s="1"/>
      <c r="F203" s="1"/>
      <c r="G203" s="1"/>
    </row>
    <row r="204" spans="1:7" s="2" customFormat="1" x14ac:dyDescent="0.25">
      <c r="A204" s="9" t="s">
        <v>217</v>
      </c>
      <c r="B204" s="4" t="s">
        <v>223</v>
      </c>
      <c r="C204" s="11">
        <v>1246520</v>
      </c>
      <c r="D204" s="1"/>
      <c r="E204" s="1"/>
      <c r="F204" s="1"/>
      <c r="G204" s="1"/>
    </row>
    <row r="205" spans="1:7" s="2" customFormat="1" x14ac:dyDescent="0.25">
      <c r="A205" s="9" t="s">
        <v>217</v>
      </c>
      <c r="B205" s="4" t="s">
        <v>224</v>
      </c>
      <c r="C205" s="11">
        <v>934890</v>
      </c>
      <c r="D205" s="1"/>
      <c r="E205" s="1"/>
      <c r="F205" s="1"/>
      <c r="G205" s="1"/>
    </row>
    <row r="206" spans="1:7" s="2" customFormat="1" x14ac:dyDescent="0.25">
      <c r="A206" s="9" t="s">
        <v>225</v>
      </c>
      <c r="B206" s="4" t="s">
        <v>226</v>
      </c>
      <c r="C206" s="11">
        <f>(389000+523400+423300+513100)/4</f>
        <v>462200</v>
      </c>
      <c r="D206" s="1"/>
      <c r="E206" s="1"/>
      <c r="F206" s="1"/>
      <c r="G206" s="1"/>
    </row>
    <row r="207" spans="1:7" s="2" customFormat="1" x14ac:dyDescent="0.25">
      <c r="A207" s="9" t="s">
        <v>225</v>
      </c>
      <c r="B207" s="4" t="s">
        <v>227</v>
      </c>
      <c r="C207" s="11">
        <f>(561700+635300+665000+702900)/4</f>
        <v>641225</v>
      </c>
      <c r="D207" s="1"/>
      <c r="E207" s="1"/>
      <c r="F207" s="1"/>
      <c r="G207" s="1"/>
    </row>
    <row r="208" spans="1:7" x14ac:dyDescent="0.25">
      <c r="A208" s="9" t="s">
        <v>225</v>
      </c>
      <c r="B208" s="4" t="s">
        <v>228</v>
      </c>
      <c r="C208" s="11">
        <f>(388100+405200+452400+462400+485300+532600)/6</f>
        <v>454333.33333333331</v>
      </c>
    </row>
    <row r="209" spans="1:4" x14ac:dyDescent="0.25">
      <c r="A209" s="9" t="s">
        <v>225</v>
      </c>
      <c r="B209" s="4" t="s">
        <v>330</v>
      </c>
      <c r="C209" s="11">
        <f>(541500+586900+611600+718200+565900+763500+803800+805800)/8</f>
        <v>674650</v>
      </c>
    </row>
    <row r="210" spans="1:4" x14ac:dyDescent="0.25">
      <c r="A210" s="9" t="s">
        <v>225</v>
      </c>
      <c r="B210" s="4" t="s">
        <v>229</v>
      </c>
      <c r="C210" s="11">
        <f>(744600+779700+819000+902700+789000+872700)/6</f>
        <v>817950</v>
      </c>
    </row>
    <row r="211" spans="1:4" x14ac:dyDescent="0.25">
      <c r="A211" s="9" t="s">
        <v>230</v>
      </c>
      <c r="B211" s="19" t="s">
        <v>231</v>
      </c>
      <c r="C211" s="11">
        <f>(304873+318858+363610+377595+391580+405565)/6</f>
        <v>360346.83333333331</v>
      </c>
    </row>
    <row r="212" spans="1:4" x14ac:dyDescent="0.25">
      <c r="A212" s="9" t="s">
        <v>230</v>
      </c>
      <c r="B212" s="4" t="s">
        <v>331</v>
      </c>
      <c r="C212" s="11">
        <f>(570588+612543+620934)/3</f>
        <v>601355</v>
      </c>
    </row>
    <row r="213" spans="1:4" x14ac:dyDescent="0.25">
      <c r="A213" s="9" t="s">
        <v>230</v>
      </c>
      <c r="B213" s="4" t="s">
        <v>232</v>
      </c>
      <c r="C213" s="11">
        <f>(402768+433535+447520)/3</f>
        <v>427941</v>
      </c>
    </row>
    <row r="214" spans="1:4" x14ac:dyDescent="0.25">
      <c r="A214" s="9" t="s">
        <v>230</v>
      </c>
      <c r="B214" s="4" t="s">
        <v>233</v>
      </c>
      <c r="C214" s="12">
        <f>(450317+464302+539821+553806)/4</f>
        <v>502061.5</v>
      </c>
    </row>
    <row r="215" spans="1:4" x14ac:dyDescent="0.25">
      <c r="A215" s="9" t="s">
        <v>230</v>
      </c>
      <c r="B215" s="4" t="s">
        <v>234</v>
      </c>
      <c r="C215" s="11">
        <f>(573385+615340+657295+671280)/4</f>
        <v>629325</v>
      </c>
    </row>
    <row r="216" spans="1:4" x14ac:dyDescent="0.25">
      <c r="A216" s="9" t="s">
        <v>45</v>
      </c>
      <c r="B216" s="4" t="s">
        <v>46</v>
      </c>
      <c r="C216" s="11">
        <f>(1261110+1476260+1605350)/3</f>
        <v>1447573.3333333333</v>
      </c>
    </row>
    <row r="217" spans="1:4" x14ac:dyDescent="0.25">
      <c r="A217" s="9" t="s">
        <v>45</v>
      </c>
      <c r="B217" s="4" t="s">
        <v>47</v>
      </c>
      <c r="C217" s="11">
        <f>(1820169+1966471+2118069)/3</f>
        <v>1968236.3333333333</v>
      </c>
    </row>
    <row r="218" spans="1:4" x14ac:dyDescent="0.25">
      <c r="A218" s="9" t="s">
        <v>45</v>
      </c>
      <c r="B218" s="4" t="s">
        <v>48</v>
      </c>
      <c r="C218" s="11">
        <f>(2293830+2525530+2713207)/3</f>
        <v>2510855.6666666665</v>
      </c>
    </row>
    <row r="219" spans="1:4" x14ac:dyDescent="0.25">
      <c r="A219" s="9" t="s">
        <v>45</v>
      </c>
      <c r="B219" s="4" t="s">
        <v>49</v>
      </c>
      <c r="C219" s="11">
        <f>(1476922+1568940+1808915)/3</f>
        <v>1618259</v>
      </c>
    </row>
    <row r="220" spans="1:4" x14ac:dyDescent="0.25">
      <c r="A220" s="9" t="s">
        <v>45</v>
      </c>
      <c r="B220" s="4" t="s">
        <v>50</v>
      </c>
      <c r="C220" s="11">
        <f>(1720207+1887031+1960513+2031016+2104498+2333219+2479190+3393743)/8</f>
        <v>2238677.125</v>
      </c>
      <c r="D220" s="3"/>
    </row>
    <row r="221" spans="1:4" x14ac:dyDescent="0.25">
      <c r="A221" s="9" t="s">
        <v>45</v>
      </c>
      <c r="B221" s="4" t="s">
        <v>332</v>
      </c>
      <c r="C221" s="11">
        <v>2362513</v>
      </c>
      <c r="D221" s="3"/>
    </row>
    <row r="222" spans="1:4" x14ac:dyDescent="0.25">
      <c r="A222" s="9" t="s">
        <v>45</v>
      </c>
      <c r="B222" s="4" t="s">
        <v>333</v>
      </c>
      <c r="C222" s="11">
        <v>2759382</v>
      </c>
      <c r="D222" s="3"/>
    </row>
    <row r="223" spans="1:4" x14ac:dyDescent="0.25">
      <c r="A223" s="9" t="s">
        <v>51</v>
      </c>
      <c r="B223" s="19" t="s">
        <v>52</v>
      </c>
      <c r="C223" s="11">
        <f>(1003478+1022187+1115391+1093217+1209504+1231947+1285581+1256442+1303179+1325622+938605+986385+1011722+1078210+1091871+1173736+1186825+1285649+1307116+1357823+1379257+1259572+1271281)/23</f>
        <v>1181504.3478260869</v>
      </c>
      <c r="D223" s="3"/>
    </row>
    <row r="224" spans="1:4" x14ac:dyDescent="0.25">
      <c r="A224" s="9" t="s">
        <v>51</v>
      </c>
      <c r="B224" s="19" t="s">
        <v>53</v>
      </c>
      <c r="C224" s="11">
        <f>(1621487+1646858+1901706+2085020)/4</f>
        <v>1813767.75</v>
      </c>
      <c r="D224" s="3"/>
    </row>
    <row r="225" spans="1:4" x14ac:dyDescent="0.25">
      <c r="A225" s="9" t="s">
        <v>51</v>
      </c>
      <c r="B225" s="19" t="s">
        <v>54</v>
      </c>
      <c r="C225" s="11">
        <f>(1019865+1129187+1212801+1302540+1316201+951762+1002906+1055902+1145909+1290259+1359068+1202606)/12</f>
        <v>1165750.5</v>
      </c>
      <c r="D225" s="3"/>
    </row>
    <row r="226" spans="1:4" x14ac:dyDescent="0.25">
      <c r="A226" s="9" t="s">
        <v>51</v>
      </c>
      <c r="B226" s="19" t="s">
        <v>55</v>
      </c>
      <c r="C226" s="11">
        <f>(1041770+1102975+1240292+1304727+1343725+1408127+1090693+1172996+1237398+1274007+1406512+1340226+1404627+1338409+1552442)/15</f>
        <v>1283928.3999999999</v>
      </c>
      <c r="D226" s="3"/>
    </row>
    <row r="227" spans="1:4" x14ac:dyDescent="0.25">
      <c r="A227" s="9" t="s">
        <v>51</v>
      </c>
      <c r="B227" s="19" t="s">
        <v>56</v>
      </c>
      <c r="C227" s="11">
        <f>(1770985+2126070+2353966)/3</f>
        <v>2083673.6666666667</v>
      </c>
      <c r="D227" s="3"/>
    </row>
    <row r="228" spans="1:4" x14ac:dyDescent="0.25">
      <c r="A228" s="9" t="s">
        <v>51</v>
      </c>
      <c r="B228" s="19" t="s">
        <v>57</v>
      </c>
      <c r="C228" s="11">
        <f>(1255568+1410011+1480470+1496318+1277506+1341975+1412434+1477542+1547967+1723306)/10</f>
        <v>1442309.7</v>
      </c>
      <c r="D228" s="3"/>
    </row>
    <row r="229" spans="1:4" x14ac:dyDescent="0.25">
      <c r="A229" s="9" t="s">
        <v>51</v>
      </c>
      <c r="B229" s="19" t="s">
        <v>58</v>
      </c>
      <c r="C229" s="11">
        <f>(1976775+2429775+2684220)/3</f>
        <v>2363590</v>
      </c>
      <c r="D229" s="3"/>
    </row>
    <row r="230" spans="1:4" x14ac:dyDescent="0.25">
      <c r="A230" s="9" t="s">
        <v>51</v>
      </c>
      <c r="B230" s="19" t="s">
        <v>59</v>
      </c>
      <c r="C230" s="11">
        <f>(1439116+1593560+1664018+1679866+1445207+1509676+1580101+1645243+1715668+1888382)/10</f>
        <v>1616083.7</v>
      </c>
      <c r="D230" s="3"/>
    </row>
    <row r="231" spans="1:4" x14ac:dyDescent="0.25">
      <c r="A231" s="9" t="s">
        <v>51</v>
      </c>
      <c r="B231" s="19" t="s">
        <v>334</v>
      </c>
      <c r="C231" s="11">
        <f>(1091737+1141636+1273906+1288744+1354694+1016298+1081373+1213642)/8</f>
        <v>1182753.75</v>
      </c>
      <c r="D231" s="3"/>
    </row>
    <row r="232" spans="1:4" x14ac:dyDescent="0.25">
      <c r="A232" s="9" t="s">
        <v>51</v>
      </c>
      <c r="B232" s="19" t="s">
        <v>60</v>
      </c>
      <c r="C232" s="11">
        <f>(2141817+2595961+2850406)/3</f>
        <v>2529394.6666666665</v>
      </c>
      <c r="D232" s="3"/>
    </row>
    <row r="233" spans="1:4" x14ac:dyDescent="0.25">
      <c r="A233" s="9" t="s">
        <v>51</v>
      </c>
      <c r="B233" s="19" t="s">
        <v>61</v>
      </c>
      <c r="C233" s="11">
        <f>(12601410+1295676+1326060)/3</f>
        <v>5074382</v>
      </c>
      <c r="D233" s="3"/>
    </row>
    <row r="234" spans="1:4" x14ac:dyDescent="0.25">
      <c r="A234" s="9" t="s">
        <v>51</v>
      </c>
      <c r="B234" s="19" t="s">
        <v>62</v>
      </c>
      <c r="C234" s="11">
        <f>(1606009+1866309+2033909)/3</f>
        <v>1835409</v>
      </c>
      <c r="D234" s="3"/>
    </row>
    <row r="235" spans="1:4" x14ac:dyDescent="0.25">
      <c r="A235" s="9" t="s">
        <v>51</v>
      </c>
      <c r="B235" s="19" t="s">
        <v>63</v>
      </c>
      <c r="C235" s="11">
        <f>(1113843+1163776+1296046+1310851+1376834+1038405+1103480+1282217+1317782+1348200)/10</f>
        <v>1235143.3999999999</v>
      </c>
      <c r="D235" s="3"/>
    </row>
    <row r="236" spans="1:4" x14ac:dyDescent="0.25">
      <c r="A236" s="9" t="s">
        <v>51</v>
      </c>
      <c r="B236" s="19" t="s">
        <v>269</v>
      </c>
      <c r="C236" s="11">
        <f>(48259+55996+60977)/3</f>
        <v>55077.333333333336</v>
      </c>
      <c r="D236" s="3"/>
    </row>
    <row r="237" spans="1:4" x14ac:dyDescent="0.25">
      <c r="A237" s="9" t="s">
        <v>51</v>
      </c>
      <c r="B237" s="19" t="s">
        <v>64</v>
      </c>
      <c r="C237" s="11">
        <f>(1998343+2222673+2457568+2201273+2421498)/5</f>
        <v>2260271</v>
      </c>
      <c r="D237" s="3"/>
    </row>
    <row r="238" spans="1:4" x14ac:dyDescent="0.25">
      <c r="A238" s="9" t="s">
        <v>51</v>
      </c>
      <c r="B238" s="19" t="s">
        <v>65</v>
      </c>
      <c r="C238" s="11">
        <v>2883516</v>
      </c>
    </row>
    <row r="239" spans="1:4" x14ac:dyDescent="0.25">
      <c r="A239" s="9" t="s">
        <v>51</v>
      </c>
      <c r="B239" s="19" t="s">
        <v>66</v>
      </c>
      <c r="C239" s="20">
        <f>(1450994+1503754+1582725+1737673+1923510+1471654+1550592+1666676+1708534+1787506+1674045+1752983+1916781)/13</f>
        <v>1671340.5384615385</v>
      </c>
    </row>
    <row r="240" spans="1:4" x14ac:dyDescent="0.25">
      <c r="A240" s="9" t="s">
        <v>51</v>
      </c>
      <c r="B240" s="19" t="s">
        <v>67</v>
      </c>
      <c r="C240" s="11">
        <f>(2414667+3286482+3623935)/3</f>
        <v>3108361.3333333335</v>
      </c>
    </row>
    <row r="241" spans="1:3" x14ac:dyDescent="0.25">
      <c r="A241" s="9" t="s">
        <v>51</v>
      </c>
      <c r="B241" s="19" t="s">
        <v>68</v>
      </c>
      <c r="C241" s="11">
        <f>(1786429+1868429+1999453+2199052+1750493+1832493+1944103+2226408)/8</f>
        <v>1950857.5</v>
      </c>
    </row>
    <row r="242" spans="1:3" x14ac:dyDescent="0.25">
      <c r="A242" s="9" t="s">
        <v>51</v>
      </c>
      <c r="B242" s="19" t="s">
        <v>69</v>
      </c>
      <c r="C242" s="11">
        <v>2728534</v>
      </c>
    </row>
    <row r="243" spans="1:3" x14ac:dyDescent="0.25">
      <c r="A243" s="9" t="s">
        <v>51</v>
      </c>
      <c r="B243" s="19" t="s">
        <v>70</v>
      </c>
      <c r="C243" s="11">
        <f>(1639725+1722734+1855306+2060288+1603385+1686360+1799316+1916612+2088082)/9</f>
        <v>1819089.7777777778</v>
      </c>
    </row>
    <row r="244" spans="1:3" x14ac:dyDescent="0.25">
      <c r="A244" s="9" t="s">
        <v>51</v>
      </c>
      <c r="B244" s="19" t="s">
        <v>71</v>
      </c>
      <c r="C244" s="11">
        <v>2596332</v>
      </c>
    </row>
    <row r="245" spans="1:3" x14ac:dyDescent="0.25">
      <c r="A245" s="9" t="s">
        <v>51</v>
      </c>
      <c r="B245" s="19" t="s">
        <v>72</v>
      </c>
      <c r="C245" s="11">
        <f>(3898199+4023638+4267550)/3</f>
        <v>4063129</v>
      </c>
    </row>
    <row r="246" spans="1:3" x14ac:dyDescent="0.25">
      <c r="A246" s="9" t="s">
        <v>51</v>
      </c>
      <c r="B246" s="19" t="s">
        <v>73</v>
      </c>
      <c r="C246" s="11">
        <v>5929718</v>
      </c>
    </row>
    <row r="247" spans="1:3" x14ac:dyDescent="0.25">
      <c r="A247" s="9" t="s">
        <v>51</v>
      </c>
      <c r="B247" s="19" t="s">
        <v>335</v>
      </c>
      <c r="C247" s="11">
        <f>(1063371+1103345+1162801+1187431+1246920+1017947+1059536+1122221+1192411+1227842+1251866+1505571+1735755+1886026)/14</f>
        <v>1268788.7857142857</v>
      </c>
    </row>
    <row r="248" spans="1:3" x14ac:dyDescent="0.25">
      <c r="A248" s="9" t="s">
        <v>51</v>
      </c>
      <c r="B248" s="19" t="s">
        <v>74</v>
      </c>
      <c r="C248" s="11">
        <f>(2226811+2354471+2457265+2298212)/4</f>
        <v>2334189.75</v>
      </c>
    </row>
    <row r="249" spans="1:3" x14ac:dyDescent="0.25">
      <c r="A249" s="9" t="s">
        <v>51</v>
      </c>
      <c r="B249" s="19" t="s">
        <v>75</v>
      </c>
      <c r="C249" s="11">
        <f>(2732370+3764785+4113073)/3</f>
        <v>3536742.6666666665</v>
      </c>
    </row>
    <row r="250" spans="1:3" x14ac:dyDescent="0.25">
      <c r="A250" s="9" t="s">
        <v>51</v>
      </c>
      <c r="B250" s="19" t="s">
        <v>270</v>
      </c>
      <c r="C250" s="11">
        <f>(1649853+1716374+1768125+1851100+2033841+2081049+1600659+1667181+1898173+1939560)/10</f>
        <v>1820591.5</v>
      </c>
    </row>
    <row r="251" spans="1:3" x14ac:dyDescent="0.25">
      <c r="A251" s="9" t="s">
        <v>51</v>
      </c>
      <c r="B251" s="19" t="s">
        <v>271</v>
      </c>
      <c r="C251" s="11">
        <f>(2241078+2819921+3088733)/3</f>
        <v>2716577.3333333335</v>
      </c>
    </row>
    <row r="252" spans="1:3" x14ac:dyDescent="0.25">
      <c r="A252" s="9" t="s">
        <v>51</v>
      </c>
      <c r="B252" s="19" t="s">
        <v>76</v>
      </c>
      <c r="C252" s="11">
        <f>(2594649+2734557+2666252+3375985)/4</f>
        <v>2842860.75</v>
      </c>
    </row>
    <row r="253" spans="1:3" x14ac:dyDescent="0.25">
      <c r="A253" s="9" t="s">
        <v>51</v>
      </c>
      <c r="B253" s="19" t="s">
        <v>336</v>
      </c>
      <c r="C253" s="11">
        <v>4591108</v>
      </c>
    </row>
    <row r="254" spans="1:3" x14ac:dyDescent="0.25">
      <c r="A254" s="9" t="s">
        <v>51</v>
      </c>
      <c r="B254" s="19" t="s">
        <v>77</v>
      </c>
      <c r="C254" s="11">
        <f>(3124198+3245465+3469055+3211010+3332276+3567239+3451120+3553073+3830062+3916873)/10</f>
        <v>3470037.1</v>
      </c>
    </row>
    <row r="255" spans="1:3" x14ac:dyDescent="0.25">
      <c r="A255" s="9" t="s">
        <v>51</v>
      </c>
      <c r="B255" s="19" t="s">
        <v>337</v>
      </c>
      <c r="C255" s="11">
        <f>(4775935+5817200)/2</f>
        <v>5296567.5</v>
      </c>
    </row>
    <row r="256" spans="1:3" x14ac:dyDescent="0.25">
      <c r="A256" s="9" t="s">
        <v>51</v>
      </c>
      <c r="B256" s="19" t="s">
        <v>338</v>
      </c>
      <c r="C256" s="11">
        <f>(1271046+1833704)/2</f>
        <v>1552375</v>
      </c>
    </row>
    <row r="257" spans="1:3" x14ac:dyDescent="0.25">
      <c r="A257" s="9" t="s">
        <v>51</v>
      </c>
      <c r="B257" s="19" t="s">
        <v>339</v>
      </c>
      <c r="C257" s="11">
        <f>(4380674+5421973+6002969)/3</f>
        <v>5268538.666666667</v>
      </c>
    </row>
    <row r="258" spans="1:3" x14ac:dyDescent="0.25">
      <c r="A258" s="9" t="s">
        <v>51</v>
      </c>
      <c r="B258" s="19" t="s">
        <v>340</v>
      </c>
      <c r="C258" s="11">
        <f>(3552266+3674474+4171722+5633584+6235274)/5</f>
        <v>4653464</v>
      </c>
    </row>
    <row r="259" spans="1:3" x14ac:dyDescent="0.25">
      <c r="A259" s="9" t="s">
        <v>51</v>
      </c>
      <c r="B259" s="19" t="s">
        <v>341</v>
      </c>
      <c r="C259" s="11">
        <f>(1537360+1771817)/2</f>
        <v>1654588.5</v>
      </c>
    </row>
    <row r="260" spans="1:3" x14ac:dyDescent="0.25">
      <c r="A260" s="9" t="s">
        <v>51</v>
      </c>
      <c r="B260" s="19" t="s">
        <v>342</v>
      </c>
      <c r="C260" s="11">
        <f>(1566474+1771817)/2</f>
        <v>1669145.5</v>
      </c>
    </row>
    <row r="261" spans="1:3" x14ac:dyDescent="0.25">
      <c r="A261" s="9" t="s">
        <v>51</v>
      </c>
      <c r="B261" s="19" t="s">
        <v>343</v>
      </c>
      <c r="C261" s="11">
        <f>(1595879+1830336)/2</f>
        <v>1713107.5</v>
      </c>
    </row>
    <row r="262" spans="1:3" x14ac:dyDescent="0.25">
      <c r="A262" s="9" t="s">
        <v>51</v>
      </c>
      <c r="B262" s="19" t="s">
        <v>344</v>
      </c>
      <c r="C262" s="11">
        <f>(2227452+2077135)/2</f>
        <v>2152293.5</v>
      </c>
    </row>
    <row r="263" spans="1:3" x14ac:dyDescent="0.25">
      <c r="A263" s="9" t="s">
        <v>51</v>
      </c>
      <c r="B263" s="19" t="s">
        <v>345</v>
      </c>
      <c r="C263" s="11">
        <f>(2106540+2257194)/2</f>
        <v>2181867</v>
      </c>
    </row>
    <row r="264" spans="1:3" x14ac:dyDescent="0.25">
      <c r="A264" s="9" t="s">
        <v>51</v>
      </c>
      <c r="B264" s="19" t="s">
        <v>346</v>
      </c>
      <c r="C264" s="11">
        <f>(2933381+3083698)/2</f>
        <v>3008539.5</v>
      </c>
    </row>
    <row r="265" spans="1:3" ht="26.25" x14ac:dyDescent="0.25">
      <c r="A265" s="9" t="s">
        <v>78</v>
      </c>
      <c r="B265" s="21" t="s">
        <v>347</v>
      </c>
      <c r="C265" s="11">
        <f>(814853+869418+1039152+1173388+1306503+916165+958623+1096950+1172135)/9</f>
        <v>1038576.3333333334</v>
      </c>
    </row>
    <row r="266" spans="1:3" x14ac:dyDescent="0.25">
      <c r="A266" s="9" t="s">
        <v>78</v>
      </c>
      <c r="B266" s="19" t="s">
        <v>79</v>
      </c>
      <c r="C266" s="11">
        <f>(958854+1137264+1215187+1453836+1522983+1067787+1086259+1156563)/8</f>
        <v>1199841.625</v>
      </c>
    </row>
    <row r="267" spans="1:3" x14ac:dyDescent="0.25">
      <c r="A267" s="9" t="s">
        <v>78</v>
      </c>
      <c r="B267" s="19" t="s">
        <v>80</v>
      </c>
      <c r="C267" s="11">
        <f>(998508+1201496+1403725+1061057+1033775+1222510+1292845)/7</f>
        <v>1173416.5714285714</v>
      </c>
    </row>
    <row r="268" spans="1:3" x14ac:dyDescent="0.25">
      <c r="A268" s="9" t="s">
        <v>78</v>
      </c>
      <c r="B268" s="19" t="s">
        <v>81</v>
      </c>
      <c r="C268" s="11">
        <v>1998534</v>
      </c>
    </row>
    <row r="269" spans="1:3" x14ac:dyDescent="0.25">
      <c r="A269" s="9" t="s">
        <v>78</v>
      </c>
      <c r="B269" s="19" t="s">
        <v>82</v>
      </c>
      <c r="C269" s="11">
        <f>(1127961+1306404+1384293+1620205+1689385+1236894+1255401)/7</f>
        <v>1374363.2857142857</v>
      </c>
    </row>
    <row r="270" spans="1:3" x14ac:dyDescent="0.25">
      <c r="A270" s="9" t="s">
        <v>78</v>
      </c>
      <c r="B270" s="19" t="s">
        <v>83</v>
      </c>
      <c r="C270" s="11">
        <f>(908017+1066039+1250486+1145809+1199912)/5</f>
        <v>1114052.6000000001</v>
      </c>
    </row>
    <row r="271" spans="1:3" x14ac:dyDescent="0.25">
      <c r="A271" s="9" t="s">
        <v>78</v>
      </c>
      <c r="B271" s="19" t="s">
        <v>84</v>
      </c>
      <c r="C271" s="11">
        <f>(955555+1113610+1203937+1247484)/4</f>
        <v>1130146.5</v>
      </c>
    </row>
    <row r="272" spans="1:3" x14ac:dyDescent="0.25">
      <c r="A272" s="9" t="s">
        <v>78</v>
      </c>
      <c r="B272" s="19" t="s">
        <v>85</v>
      </c>
      <c r="C272" s="11">
        <f>(917386+1027210+1113940+1486628+1182856+1271732+1528988+957469+1027639+1113347+1278824)/11</f>
        <v>1173274.4545454546</v>
      </c>
    </row>
    <row r="273" spans="1:3" x14ac:dyDescent="0.25">
      <c r="A273" s="9" t="s">
        <v>78</v>
      </c>
      <c r="B273" s="19" t="s">
        <v>86</v>
      </c>
      <c r="C273" s="11">
        <f>(1228910+1317753+1573953+1012430+1082798+1169067+1324878)/7</f>
        <v>1244255.5714285714</v>
      </c>
    </row>
    <row r="274" spans="1:3" x14ac:dyDescent="0.25">
      <c r="A274" s="9" t="s">
        <v>78</v>
      </c>
      <c r="B274" s="19" t="s">
        <v>87</v>
      </c>
      <c r="C274" s="11">
        <f>(1248342+1337184+1403230+1492105+1658506+1730095)/6</f>
        <v>1478243.6666666667</v>
      </c>
    </row>
    <row r="275" spans="1:3" x14ac:dyDescent="0.25">
      <c r="A275" s="9" t="s">
        <v>78</v>
      </c>
      <c r="B275" s="19" t="s">
        <v>348</v>
      </c>
      <c r="C275" s="11">
        <f>(2727151+2862641)/2</f>
        <v>2794896</v>
      </c>
    </row>
    <row r="276" spans="1:3" x14ac:dyDescent="0.25">
      <c r="A276" s="9" t="s">
        <v>78</v>
      </c>
      <c r="B276" s="19" t="s">
        <v>349</v>
      </c>
      <c r="C276" s="11">
        <f>(1337843+1521895+1943639)/3</f>
        <v>1601125.6666666667</v>
      </c>
    </row>
    <row r="277" spans="1:3" x14ac:dyDescent="0.25">
      <c r="A277" s="9" t="s">
        <v>78</v>
      </c>
      <c r="B277" s="19" t="s">
        <v>88</v>
      </c>
      <c r="C277" s="11">
        <f>(1164811+1330223+1424706+1513548+1702614+1790697)/6</f>
        <v>1487766.5</v>
      </c>
    </row>
    <row r="278" spans="1:3" x14ac:dyDescent="0.25">
      <c r="A278" s="9" t="s">
        <v>78</v>
      </c>
      <c r="B278" s="19" t="s">
        <v>89</v>
      </c>
      <c r="C278" s="11">
        <f>(1287468+1396863+1485672+1547363+1635611+2708974+1705187+1313629+1399898+1488674)/10</f>
        <v>1596933.9</v>
      </c>
    </row>
    <row r="279" spans="1:3" x14ac:dyDescent="0.25">
      <c r="A279" s="9" t="s">
        <v>78</v>
      </c>
      <c r="B279" s="19" t="s">
        <v>90</v>
      </c>
      <c r="C279" s="11">
        <f>(3863525+3937076)/2</f>
        <v>3900300.5</v>
      </c>
    </row>
    <row r="280" spans="1:3" x14ac:dyDescent="0.25">
      <c r="A280" s="9" t="s">
        <v>78</v>
      </c>
      <c r="B280" s="19" t="s">
        <v>350</v>
      </c>
      <c r="C280" s="11">
        <f>(1373605+1482999+1571809+1720363+1399766+1486035+1574844)/7</f>
        <v>1515631.5714285714</v>
      </c>
    </row>
    <row r="281" spans="1:3" x14ac:dyDescent="0.25">
      <c r="A281" s="9" t="s">
        <v>78</v>
      </c>
      <c r="B281" s="19" t="s">
        <v>91</v>
      </c>
      <c r="C281" s="11">
        <f>(1630267+1777105+1865354+1896826)/4</f>
        <v>1792388</v>
      </c>
    </row>
    <row r="282" spans="1:3" x14ac:dyDescent="0.25">
      <c r="A282" s="9" t="s">
        <v>78</v>
      </c>
      <c r="B282" s="19" t="s">
        <v>351</v>
      </c>
      <c r="C282" s="11">
        <f>(2434530+2593707+3008853+2845355)/4</f>
        <v>2720611.25</v>
      </c>
    </row>
    <row r="283" spans="1:3" x14ac:dyDescent="0.25">
      <c r="A283" s="9" t="s">
        <v>78</v>
      </c>
      <c r="B283" s="19" t="s">
        <v>92</v>
      </c>
      <c r="C283" s="11">
        <f>(2616767+2773073+2886922+3157968+4115634+3024655+3142825)/7</f>
        <v>3102549.1428571427</v>
      </c>
    </row>
    <row r="284" spans="1:3" x14ac:dyDescent="0.25">
      <c r="A284" s="9" t="s">
        <v>78</v>
      </c>
      <c r="B284" s="19" t="s">
        <v>352</v>
      </c>
      <c r="C284" s="11">
        <f>(3219164+3347891+4308461)/3</f>
        <v>3625172</v>
      </c>
    </row>
    <row r="285" spans="1:3" x14ac:dyDescent="0.25">
      <c r="A285" s="9" t="s">
        <v>78</v>
      </c>
      <c r="B285" s="19" t="s">
        <v>93</v>
      </c>
      <c r="C285" s="11">
        <v>5072641</v>
      </c>
    </row>
    <row r="286" spans="1:3" x14ac:dyDescent="0.25">
      <c r="A286" s="9" t="s">
        <v>78</v>
      </c>
      <c r="B286" s="19" t="s">
        <v>94</v>
      </c>
      <c r="C286" s="11">
        <f>(3085489+3203824+4020755)/3</f>
        <v>3436689.3333333335</v>
      </c>
    </row>
    <row r="287" spans="1:3" x14ac:dyDescent="0.25">
      <c r="A287" s="9" t="s">
        <v>78</v>
      </c>
      <c r="B287" s="19" t="s">
        <v>95</v>
      </c>
      <c r="C287" s="20">
        <v>4776061</v>
      </c>
    </row>
    <row r="288" spans="1:3" x14ac:dyDescent="0.25">
      <c r="A288" s="9" t="s">
        <v>78</v>
      </c>
      <c r="B288" s="19" t="s">
        <v>96</v>
      </c>
      <c r="C288" s="11">
        <f>(2969067+3088491+3905719)/3</f>
        <v>3321092.3333333335</v>
      </c>
    </row>
    <row r="289" spans="1:7" x14ac:dyDescent="0.25">
      <c r="A289" s="9" t="s">
        <v>78</v>
      </c>
      <c r="B289" s="19" t="s">
        <v>97</v>
      </c>
      <c r="C289" s="11">
        <v>4671780</v>
      </c>
    </row>
    <row r="290" spans="1:7" x14ac:dyDescent="0.25">
      <c r="A290" s="9" t="s">
        <v>78</v>
      </c>
      <c r="B290" s="19" t="s">
        <v>98</v>
      </c>
      <c r="C290" s="11">
        <f>(1369217+1677311+2013578)/3</f>
        <v>1686702</v>
      </c>
    </row>
    <row r="291" spans="1:7" x14ac:dyDescent="0.25">
      <c r="A291" s="9" t="s">
        <v>78</v>
      </c>
      <c r="B291" s="19" t="s">
        <v>99</v>
      </c>
      <c r="C291" s="11">
        <f>(856189+1001807+1072769+1260119+845468+961659+959448+1040736+1108299+1228779)/10</f>
        <v>1033527.3</v>
      </c>
    </row>
    <row r="292" spans="1:7" x14ac:dyDescent="0.25">
      <c r="A292" s="9" t="s">
        <v>78</v>
      </c>
      <c r="B292" s="19" t="s">
        <v>100</v>
      </c>
      <c r="C292" s="11">
        <f>(923720+1069503+1143071+1657780+918277+975514+1047433+1128093+1200011)/9</f>
        <v>1118155.7777777778</v>
      </c>
    </row>
    <row r="293" spans="1:7" x14ac:dyDescent="0.25">
      <c r="A293" s="9" t="s">
        <v>78</v>
      </c>
      <c r="B293" s="19" t="s">
        <v>101</v>
      </c>
      <c r="C293" s="11">
        <f>(1124299+1193446+1392871+1931828+1721187+1328441+1365291+1623933+1923812)/9</f>
        <v>1511678.6666666667</v>
      </c>
    </row>
    <row r="294" spans="1:7" x14ac:dyDescent="0.25">
      <c r="A294" s="9" t="s">
        <v>78</v>
      </c>
      <c r="B294" s="19" t="s">
        <v>102</v>
      </c>
      <c r="C294" s="11">
        <v>2946568</v>
      </c>
    </row>
    <row r="295" spans="1:7" x14ac:dyDescent="0.25">
      <c r="A295" s="9" t="s">
        <v>78</v>
      </c>
      <c r="B295" s="19" t="s">
        <v>103</v>
      </c>
      <c r="C295" s="11">
        <f>(1350380+1549540+2071409+1521598+1781691+2333284)/6</f>
        <v>1767983.6666666667</v>
      </c>
    </row>
    <row r="296" spans="1:7" x14ac:dyDescent="0.25">
      <c r="A296" s="9" t="s">
        <v>78</v>
      </c>
      <c r="B296" s="19" t="s">
        <v>104</v>
      </c>
      <c r="C296" s="11">
        <v>3042437</v>
      </c>
    </row>
    <row r="297" spans="1:7" x14ac:dyDescent="0.25">
      <c r="A297" s="9" t="s">
        <v>78</v>
      </c>
      <c r="B297" s="19" t="s">
        <v>105</v>
      </c>
      <c r="C297" s="11">
        <f>(2120729+2710359+2434497+1864925+2014765+2741370)/6</f>
        <v>2314440.8333333335</v>
      </c>
    </row>
    <row r="298" spans="1:7" x14ac:dyDescent="0.25">
      <c r="A298" s="9" t="s">
        <v>78</v>
      </c>
      <c r="B298" s="19" t="s">
        <v>106</v>
      </c>
      <c r="C298" s="11">
        <v>3925810</v>
      </c>
    </row>
    <row r="299" spans="1:7" x14ac:dyDescent="0.25">
      <c r="A299" s="9" t="s">
        <v>78</v>
      </c>
      <c r="B299" s="19" t="s">
        <v>107</v>
      </c>
      <c r="C299" s="11">
        <f>(2336451+2816686+2230058+2852744)/4</f>
        <v>2558984.75</v>
      </c>
    </row>
    <row r="300" spans="1:7" x14ac:dyDescent="0.25">
      <c r="A300" s="9" t="s">
        <v>78</v>
      </c>
      <c r="B300" s="19" t="s">
        <v>108</v>
      </c>
      <c r="C300" s="11">
        <v>4037052</v>
      </c>
    </row>
    <row r="301" spans="1:7" x14ac:dyDescent="0.25">
      <c r="A301" s="9" t="s">
        <v>78</v>
      </c>
      <c r="B301" s="19" t="s">
        <v>109</v>
      </c>
      <c r="C301" s="11">
        <f>(2538218+3216129+2430472+3155988)/4</f>
        <v>2835201.75</v>
      </c>
    </row>
    <row r="302" spans="1:7" x14ac:dyDescent="0.25">
      <c r="A302" s="9" t="s">
        <v>110</v>
      </c>
      <c r="B302" s="19" t="s">
        <v>111</v>
      </c>
      <c r="C302" s="11">
        <f>(778201+732972+845798+992207+841047+798820+978022+997816)/8</f>
        <v>870610.375</v>
      </c>
    </row>
    <row r="303" spans="1:7" s="2" customFormat="1" x14ac:dyDescent="0.25">
      <c r="A303" s="9" t="s">
        <v>110</v>
      </c>
      <c r="B303" s="19" t="s">
        <v>112</v>
      </c>
      <c r="C303" s="11">
        <f>(696848+706184+829929)/3</f>
        <v>744320.33333333337</v>
      </c>
      <c r="D303" s="1"/>
      <c r="E303" s="1"/>
      <c r="F303" s="1"/>
      <c r="G303" s="1"/>
    </row>
    <row r="304" spans="1:7" s="2" customFormat="1" x14ac:dyDescent="0.25">
      <c r="A304" s="9" t="s">
        <v>110</v>
      </c>
      <c r="B304" s="19" t="s">
        <v>113</v>
      </c>
      <c r="C304" s="11">
        <f>(663759+673095+796840+1003259)/4</f>
        <v>784238.25</v>
      </c>
      <c r="D304" s="1"/>
      <c r="E304" s="1"/>
      <c r="F304" s="1"/>
      <c r="G304" s="1"/>
    </row>
    <row r="305" spans="1:7" s="2" customFormat="1" x14ac:dyDescent="0.25">
      <c r="A305" s="9" t="s">
        <v>110</v>
      </c>
      <c r="B305" s="19" t="s">
        <v>114</v>
      </c>
      <c r="C305" s="11">
        <f>(817360+854705+942590)/3</f>
        <v>871551.66666666663</v>
      </c>
      <c r="D305" s="1"/>
      <c r="E305" s="1"/>
      <c r="F305" s="1"/>
      <c r="G305" s="1"/>
    </row>
    <row r="306" spans="1:7" s="2" customFormat="1" x14ac:dyDescent="0.25">
      <c r="A306" s="9" t="s">
        <v>110</v>
      </c>
      <c r="B306" s="19" t="s">
        <v>353</v>
      </c>
      <c r="C306" s="11">
        <f>(817690+854639+924248+959283+1028925+1346421+877435+851340+990459+932264+1001873)/11</f>
        <v>962234.27272727271</v>
      </c>
      <c r="D306" s="1"/>
      <c r="E306" s="1"/>
      <c r="F306" s="1"/>
      <c r="G306" s="1"/>
    </row>
    <row r="307" spans="1:7" s="2" customFormat="1" ht="26.25" x14ac:dyDescent="0.25">
      <c r="A307" s="9" t="s">
        <v>110</v>
      </c>
      <c r="B307" s="21" t="s">
        <v>272</v>
      </c>
      <c r="C307" s="11">
        <v>1354042</v>
      </c>
      <c r="D307" s="1"/>
      <c r="E307" s="1"/>
      <c r="F307" s="1"/>
      <c r="G307" s="1"/>
    </row>
    <row r="308" spans="1:7" s="2" customFormat="1" x14ac:dyDescent="0.25">
      <c r="A308" s="9" t="s">
        <v>110</v>
      </c>
      <c r="B308" s="18" t="s">
        <v>273</v>
      </c>
      <c r="C308" s="11">
        <v>955093</v>
      </c>
      <c r="D308" s="1"/>
      <c r="E308" s="1"/>
      <c r="F308" s="1"/>
      <c r="G308" s="1"/>
    </row>
    <row r="309" spans="1:7" s="2" customFormat="1" x14ac:dyDescent="0.25">
      <c r="A309" s="9" t="s">
        <v>110</v>
      </c>
      <c r="B309" s="18" t="s">
        <v>274</v>
      </c>
      <c r="C309" s="11">
        <v>1062641</v>
      </c>
      <c r="D309" s="1"/>
      <c r="E309" s="1"/>
      <c r="F309" s="1"/>
      <c r="G309" s="1"/>
    </row>
    <row r="310" spans="1:7" s="2" customFormat="1" x14ac:dyDescent="0.25">
      <c r="A310" s="9" t="s">
        <v>110</v>
      </c>
      <c r="B310" s="18" t="s">
        <v>275</v>
      </c>
      <c r="C310" s="11">
        <v>1338668</v>
      </c>
      <c r="D310" s="1"/>
      <c r="E310" s="1"/>
      <c r="F310" s="1"/>
      <c r="G310" s="1"/>
    </row>
    <row r="311" spans="1:7" s="2" customFormat="1" x14ac:dyDescent="0.25">
      <c r="A311" s="9" t="s">
        <v>115</v>
      </c>
      <c r="B311" s="4" t="s">
        <v>116</v>
      </c>
      <c r="C311" s="11">
        <f>(1087137+1023576+1141211+1217497+1609412+1666560+1198425+1274744+1609412+1666560+1411451+1804468+1424143+1817895)/14</f>
        <v>1425177.9285714286</v>
      </c>
      <c r="D311" s="1"/>
      <c r="E311" s="1"/>
      <c r="F311" s="1"/>
      <c r="G311" s="1"/>
    </row>
    <row r="312" spans="1:7" s="2" customFormat="1" x14ac:dyDescent="0.25">
      <c r="A312" s="9" t="s">
        <v>115</v>
      </c>
      <c r="B312" s="4" t="s">
        <v>117</v>
      </c>
      <c r="C312" s="11">
        <f>(1810347+1860480+1894815+1944949+2386630+1862150+1912284+1946619+1996752+2386630+2054735+2105670+2140506+2191441+2203264+2254166+2577211+2058141+2109043+2143913+2194848+2206638+2257573+2580584)/24</f>
        <v>2128307.875</v>
      </c>
      <c r="D312" s="1"/>
      <c r="E312" s="1"/>
      <c r="F312" s="1"/>
      <c r="G312" s="1"/>
    </row>
    <row r="313" spans="1:7" s="2" customFormat="1" x14ac:dyDescent="0.25">
      <c r="A313" s="9" t="s">
        <v>115</v>
      </c>
      <c r="B313" s="19" t="s">
        <v>118</v>
      </c>
      <c r="C313" s="11">
        <f>(1403101+1641376+2069798+1645952+1812451+2245081+1630722+1797221)/8</f>
        <v>1780712.75</v>
      </c>
      <c r="D313" s="1"/>
      <c r="E313" s="1"/>
      <c r="F313" s="1"/>
      <c r="G313" s="1"/>
    </row>
    <row r="314" spans="1:7" s="2" customFormat="1" x14ac:dyDescent="0.25">
      <c r="A314" s="9" t="s">
        <v>115</v>
      </c>
      <c r="B314" s="4" t="s">
        <v>119</v>
      </c>
      <c r="C314" s="11">
        <f>(1656106+1702498+1609078+1765858+1812251+1718831)/6</f>
        <v>1710770.3333333333</v>
      </c>
      <c r="D314" s="1"/>
      <c r="E314" s="1"/>
      <c r="F314" s="1"/>
      <c r="G314" s="1"/>
    </row>
    <row r="315" spans="1:7" s="2" customFormat="1" x14ac:dyDescent="0.25">
      <c r="A315" s="9" t="s">
        <v>115</v>
      </c>
      <c r="B315" s="4" t="s">
        <v>120</v>
      </c>
      <c r="C315" s="11">
        <f>(1499025+1505305+1591744+1598056)/4</f>
        <v>1548532.5</v>
      </c>
      <c r="D315" s="1"/>
      <c r="E315" s="1"/>
      <c r="F315" s="1"/>
      <c r="G315" s="1"/>
    </row>
    <row r="316" spans="1:7" s="2" customFormat="1" x14ac:dyDescent="0.25">
      <c r="A316" s="9" t="s">
        <v>121</v>
      </c>
      <c r="B316" s="4" t="s">
        <v>354</v>
      </c>
      <c r="C316" s="11">
        <f>(594095+685891)/2</f>
        <v>639993</v>
      </c>
      <c r="D316" s="1"/>
      <c r="E316" s="1"/>
      <c r="F316" s="1"/>
      <c r="G316" s="1"/>
    </row>
    <row r="317" spans="1:7" s="2" customFormat="1" x14ac:dyDescent="0.25">
      <c r="A317" s="9" t="s">
        <v>121</v>
      </c>
      <c r="B317" s="4" t="s">
        <v>355</v>
      </c>
      <c r="C317" s="11">
        <f>(1016441+1103150+1176273)/3</f>
        <v>1098621.3333333333</v>
      </c>
      <c r="D317" s="1"/>
      <c r="E317" s="1"/>
      <c r="F317" s="1"/>
      <c r="G317" s="1"/>
    </row>
    <row r="318" spans="1:7" s="2" customFormat="1" x14ac:dyDescent="0.25">
      <c r="A318" s="9" t="s">
        <v>121</v>
      </c>
      <c r="B318" s="4" t="s">
        <v>356</v>
      </c>
      <c r="C318" s="11">
        <f>(734584+780420+857540)/3</f>
        <v>790848</v>
      </c>
      <c r="D318" s="1"/>
      <c r="E318" s="1"/>
      <c r="F318" s="1"/>
      <c r="G318" s="1"/>
    </row>
    <row r="319" spans="1:7" s="2" customFormat="1" x14ac:dyDescent="0.25">
      <c r="A319" s="9" t="s">
        <v>121</v>
      </c>
      <c r="B319" s="4" t="s">
        <v>357</v>
      </c>
      <c r="C319" s="11">
        <f>(636809+678722+748566)/3</f>
        <v>688032.33333333337</v>
      </c>
      <c r="D319" s="1"/>
      <c r="E319" s="1"/>
      <c r="F319" s="1"/>
      <c r="G319" s="1"/>
    </row>
    <row r="320" spans="1:7" s="2" customFormat="1" x14ac:dyDescent="0.25">
      <c r="A320" s="9" t="s">
        <v>121</v>
      </c>
      <c r="B320" s="4" t="s">
        <v>358</v>
      </c>
      <c r="C320" s="11">
        <f>(1234072+1299391)/2</f>
        <v>1266731.5</v>
      </c>
      <c r="D320" s="1"/>
      <c r="E320" s="1"/>
      <c r="F320" s="1"/>
      <c r="G320" s="1"/>
    </row>
    <row r="321" spans="1:7" s="2" customFormat="1" x14ac:dyDescent="0.25">
      <c r="A321" s="9" t="s">
        <v>121</v>
      </c>
      <c r="B321" s="4" t="s">
        <v>122</v>
      </c>
      <c r="C321" s="11">
        <v>2093917</v>
      </c>
      <c r="D321" s="1"/>
      <c r="E321" s="1"/>
      <c r="F321" s="1"/>
      <c r="G321" s="1"/>
    </row>
    <row r="322" spans="1:7" s="2" customFormat="1" x14ac:dyDescent="0.25">
      <c r="A322" s="9" t="s">
        <v>121</v>
      </c>
      <c r="B322" s="4" t="s">
        <v>359</v>
      </c>
      <c r="C322" s="11">
        <f>(1553575+1979231+1979231)/3</f>
        <v>1837345.6666666667</v>
      </c>
      <c r="D322" s="1"/>
      <c r="E322" s="1"/>
      <c r="F322" s="1"/>
      <c r="G322" s="1"/>
    </row>
    <row r="323" spans="1:7" s="2" customFormat="1" x14ac:dyDescent="0.25">
      <c r="A323" s="9" t="s">
        <v>123</v>
      </c>
      <c r="B323" s="4" t="s">
        <v>360</v>
      </c>
      <c r="C323" s="11">
        <f>(5427900+5427900)/2</f>
        <v>5427900</v>
      </c>
      <c r="D323" s="1"/>
      <c r="E323" s="1"/>
      <c r="F323" s="1"/>
      <c r="G323" s="1"/>
    </row>
    <row r="324" spans="1:7" s="2" customFormat="1" x14ac:dyDescent="0.25">
      <c r="A324" s="9" t="s">
        <v>123</v>
      </c>
      <c r="B324" s="4" t="s">
        <v>361</v>
      </c>
      <c r="C324" s="11">
        <v>2564100</v>
      </c>
      <c r="D324" s="1"/>
      <c r="E324" s="1"/>
      <c r="F324" s="1"/>
      <c r="G324" s="1"/>
    </row>
    <row r="325" spans="1:7" s="2" customFormat="1" x14ac:dyDescent="0.25">
      <c r="A325" s="9" t="s">
        <v>123</v>
      </c>
      <c r="B325" s="4" t="s">
        <v>362</v>
      </c>
      <c r="C325" s="11">
        <v>5058270</v>
      </c>
      <c r="D325" s="1"/>
      <c r="E325" s="1"/>
      <c r="F325" s="1"/>
      <c r="G325" s="1"/>
    </row>
    <row r="326" spans="1:7" s="2" customFormat="1" x14ac:dyDescent="0.25">
      <c r="A326" s="9" t="s">
        <v>123</v>
      </c>
      <c r="B326" s="4" t="s">
        <v>363</v>
      </c>
      <c r="C326" s="11">
        <f>(3663000+3596400+3363300)/3</f>
        <v>3540900</v>
      </c>
      <c r="D326" s="1"/>
      <c r="E326" s="1"/>
      <c r="F326" s="1"/>
      <c r="G326" s="1"/>
    </row>
    <row r="327" spans="1:7" s="2" customFormat="1" x14ac:dyDescent="0.25">
      <c r="A327" s="9" t="s">
        <v>123</v>
      </c>
      <c r="B327" s="4" t="s">
        <v>364</v>
      </c>
      <c r="C327" s="11">
        <v>4905090</v>
      </c>
      <c r="D327" s="1"/>
      <c r="E327" s="1"/>
      <c r="F327" s="1"/>
      <c r="G327" s="1"/>
    </row>
    <row r="328" spans="1:7" s="2" customFormat="1" x14ac:dyDescent="0.25">
      <c r="A328" s="9" t="s">
        <v>123</v>
      </c>
      <c r="B328" s="4" t="s">
        <v>365</v>
      </c>
      <c r="C328" s="11">
        <v>3096900</v>
      </c>
      <c r="D328" s="1"/>
      <c r="E328" s="1"/>
      <c r="F328" s="1"/>
      <c r="G328" s="1"/>
    </row>
    <row r="329" spans="1:7" s="2" customFormat="1" x14ac:dyDescent="0.25">
      <c r="A329" s="9" t="s">
        <v>123</v>
      </c>
      <c r="B329" s="4" t="s">
        <v>124</v>
      </c>
      <c r="C329" s="11">
        <v>2364300</v>
      </c>
      <c r="D329" s="1"/>
      <c r="E329" s="1"/>
      <c r="F329" s="1"/>
      <c r="G329" s="1"/>
    </row>
    <row r="330" spans="1:7" s="2" customFormat="1" x14ac:dyDescent="0.25">
      <c r="A330" s="9" t="s">
        <v>123</v>
      </c>
      <c r="B330" s="4" t="s">
        <v>366</v>
      </c>
      <c r="C330" s="11">
        <v>3762900</v>
      </c>
      <c r="D330" s="1"/>
      <c r="E330" s="1"/>
      <c r="F330" s="1"/>
      <c r="G330" s="1"/>
    </row>
    <row r="331" spans="1:7" s="2" customFormat="1" x14ac:dyDescent="0.25">
      <c r="A331" s="9" t="s">
        <v>123</v>
      </c>
      <c r="B331" s="4" t="s">
        <v>367</v>
      </c>
      <c r="C331" s="11">
        <v>2730600</v>
      </c>
      <c r="D331" s="1"/>
      <c r="E331" s="1"/>
      <c r="F331" s="1"/>
      <c r="G331" s="1"/>
    </row>
  </sheetData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Легкові автомобілі інших країн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КРАСНОЖОН Євген Олегович</dc:creator>
  <cp:lastModifiedBy>Admin</cp:lastModifiedBy>
  <dcterms:created xsi:type="dcterms:W3CDTF">2020-01-08T13:44:16Z</dcterms:created>
  <dcterms:modified xsi:type="dcterms:W3CDTF">2021-04-15T15:03:29Z</dcterms:modified>
</cp:coreProperties>
</file>