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95" windowHeight="12525"/>
  </bookViews>
  <sheets>
    <sheet name="Лист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Лист1!$A$1:$AF$103</definedName>
  </definedNames>
  <calcPr calcId="125725"/>
</workbook>
</file>

<file path=xl/calcChain.xml><?xml version="1.0" encoding="utf-8"?>
<calcChain xmlns="http://schemas.openxmlformats.org/spreadsheetml/2006/main">
  <c r="Z62" i="1"/>
  <c r="Z9"/>
  <c r="Z6"/>
  <c r="Z69"/>
  <c r="Z12" l="1"/>
  <c r="Z31"/>
  <c r="Z66"/>
  <c r="Z10"/>
  <c r="Z5"/>
  <c r="AF54"/>
  <c r="AF48"/>
  <c r="AF46"/>
  <c r="AF36"/>
  <c r="AF34"/>
  <c r="AF27"/>
  <c r="AF26"/>
  <c r="AF15"/>
  <c r="AE67"/>
  <c r="AF67" s="1"/>
  <c r="AE63"/>
  <c r="AF63" s="1"/>
  <c r="AE61"/>
  <c r="AF61" s="1"/>
  <c r="AE59"/>
  <c r="AF59" s="1"/>
  <c r="AE54"/>
  <c r="AE48"/>
  <c r="AE40"/>
  <c r="AF40" s="1"/>
  <c r="AE34"/>
  <c r="AB40"/>
  <c r="AB34"/>
  <c r="AA61"/>
  <c r="AA59"/>
  <c r="AA48"/>
  <c r="AA40"/>
  <c r="AA34"/>
  <c r="AE62"/>
  <c r="AF62" s="1"/>
  <c r="Y63"/>
  <c r="Y62"/>
  <c r="Z63"/>
  <c r="AB63" s="1"/>
  <c r="X63"/>
  <c r="Y9"/>
  <c r="X62"/>
  <c r="Y56"/>
  <c r="Z32"/>
  <c r="AE32" s="1"/>
  <c r="AF32" s="1"/>
  <c r="Y32"/>
  <c r="X32"/>
  <c r="X37"/>
  <c r="W26"/>
  <c r="X25"/>
  <c r="Z25"/>
  <c r="AA25" s="1"/>
  <c r="Y25"/>
  <c r="Y47"/>
  <c r="Z53"/>
  <c r="Y53"/>
  <c r="Z52"/>
  <c r="AE52" s="1"/>
  <c r="AF52" s="1"/>
  <c r="Y52"/>
  <c r="Z51"/>
  <c r="Y51"/>
  <c r="Z50"/>
  <c r="AE50" s="1"/>
  <c r="AF50" s="1"/>
  <c r="Y50"/>
  <c r="AE66"/>
  <c r="AF66" s="1"/>
  <c r="Y66"/>
  <c r="Z65"/>
  <c r="Y65"/>
  <c r="Z64"/>
  <c r="AE64" s="1"/>
  <c r="AF64" s="1"/>
  <c r="Y64"/>
  <c r="Z56"/>
  <c r="AE56" s="1"/>
  <c r="AF56" s="1"/>
  <c r="Z58"/>
  <c r="AE58" s="1"/>
  <c r="AF58" s="1"/>
  <c r="Y58"/>
  <c r="Z57"/>
  <c r="Y57"/>
  <c r="Y38"/>
  <c r="Z55"/>
  <c r="Y55"/>
  <c r="Z49"/>
  <c r="Y49"/>
  <c r="Z46"/>
  <c r="Y46"/>
  <c r="Z45"/>
  <c r="AE45" s="1"/>
  <c r="AF45" s="1"/>
  <c r="Z44"/>
  <c r="AE44" s="1"/>
  <c r="AF44" s="1"/>
  <c r="Y44"/>
  <c r="Y45"/>
  <c r="Z43"/>
  <c r="AE43" s="1"/>
  <c r="AF43" s="1"/>
  <c r="Y43"/>
  <c r="Z41"/>
  <c r="AE41" s="1"/>
  <c r="AF41" s="1"/>
  <c r="Y41"/>
  <c r="Z39"/>
  <c r="AE39" s="1"/>
  <c r="AF39" s="1"/>
  <c r="Y39"/>
  <c r="Z38"/>
  <c r="AE38" s="1"/>
  <c r="AF38" s="1"/>
  <c r="Z37"/>
  <c r="AE37" s="1"/>
  <c r="AF37" s="1"/>
  <c r="Y37"/>
  <c r="Z36"/>
  <c r="Y36"/>
  <c r="Z28"/>
  <c r="AE28" s="1"/>
  <c r="AF28" s="1"/>
  <c r="Y28"/>
  <c r="AE10"/>
  <c r="AF10" s="1"/>
  <c r="Y10"/>
  <c r="Z11"/>
  <c r="AE11" s="1"/>
  <c r="AF11" s="1"/>
  <c r="Y11"/>
  <c r="AE12"/>
  <c r="AF12" s="1"/>
  <c r="Y12"/>
  <c r="Z13"/>
  <c r="AE13" s="1"/>
  <c r="AF13" s="1"/>
  <c r="Y13"/>
  <c r="Z14"/>
  <c r="AE14" s="1"/>
  <c r="AF14" s="1"/>
  <c r="Y14"/>
  <c r="Z15"/>
  <c r="Y15"/>
  <c r="Z16"/>
  <c r="AE16" s="1"/>
  <c r="AF16" s="1"/>
  <c r="Y16"/>
  <c r="Z17"/>
  <c r="Y17"/>
  <c r="Z21"/>
  <c r="Y21"/>
  <c r="Z20"/>
  <c r="AE20" s="1"/>
  <c r="AF20" s="1"/>
  <c r="X20"/>
  <c r="Y20"/>
  <c r="Z19"/>
  <c r="Y19"/>
  <c r="Y18"/>
  <c r="Z22"/>
  <c r="AE22" s="1"/>
  <c r="AF22" s="1"/>
  <c r="Y22"/>
  <c r="Z23"/>
  <c r="AA23" s="1"/>
  <c r="X23"/>
  <c r="Y23"/>
  <c r="Z24"/>
  <c r="AE24" s="1"/>
  <c r="AF24" s="1"/>
  <c r="Y26"/>
  <c r="X26"/>
  <c r="Y24"/>
  <c r="Z27"/>
  <c r="AA27" s="1"/>
  <c r="Y27"/>
  <c r="X27"/>
  <c r="Z29"/>
  <c r="AA29" s="1"/>
  <c r="Y29"/>
  <c r="X29"/>
  <c r="Z30"/>
  <c r="AE30" s="1"/>
  <c r="AF30" s="1"/>
  <c r="Y30"/>
  <c r="Y31"/>
  <c r="Z33"/>
  <c r="Y33"/>
  <c r="Z35"/>
  <c r="Y35"/>
  <c r="X9"/>
  <c r="Z8"/>
  <c r="AE8" s="1"/>
  <c r="AF8" s="1"/>
  <c r="Y8"/>
  <c r="Z7"/>
  <c r="AE7" s="1"/>
  <c r="AF7" s="1"/>
  <c r="Y7"/>
  <c r="AE6"/>
  <c r="AF6" s="1"/>
  <c r="X6"/>
  <c r="Y6"/>
  <c r="Y5"/>
  <c r="AA6" l="1"/>
  <c r="AA20"/>
  <c r="AA32"/>
  <c r="AA62"/>
  <c r="AB6"/>
  <c r="AB23"/>
  <c r="AB25"/>
  <c r="AB27"/>
  <c r="AB29"/>
  <c r="AB62"/>
  <c r="AE5"/>
  <c r="AF5" s="1"/>
  <c r="AE17"/>
  <c r="AF17" s="1"/>
  <c r="AE19"/>
  <c r="AF19" s="1"/>
  <c r="AE21"/>
  <c r="AF21" s="1"/>
  <c r="AE23"/>
  <c r="AF23" s="1"/>
  <c r="AE25"/>
  <c r="AF25" s="1"/>
  <c r="AE29"/>
  <c r="AF29" s="1"/>
  <c r="AE31"/>
  <c r="AF31" s="1"/>
  <c r="AE33"/>
  <c r="AF33" s="1"/>
  <c r="AE35"/>
  <c r="AF35" s="1"/>
  <c r="AE49"/>
  <c r="AF49" s="1"/>
  <c r="AE51"/>
  <c r="AF51" s="1"/>
  <c r="AE53"/>
  <c r="AF53" s="1"/>
  <c r="AE55"/>
  <c r="AF55" s="1"/>
  <c r="AE57"/>
  <c r="AF57" s="1"/>
  <c r="AE65"/>
  <c r="AF65" s="1"/>
  <c r="AA37"/>
  <c r="AA63"/>
  <c r="AB20"/>
  <c r="AB37"/>
  <c r="Z60"/>
  <c r="Y60"/>
  <c r="Z42"/>
  <c r="Y42"/>
  <c r="V6"/>
  <c r="AE42" l="1"/>
  <c r="AF42" s="1"/>
  <c r="AE60"/>
  <c r="AF60" s="1"/>
  <c r="Y68"/>
  <c r="Y70" s="1"/>
  <c r="Y71" s="1"/>
  <c r="X67"/>
  <c r="AA67" s="1"/>
  <c r="X65"/>
  <c r="X64"/>
  <c r="X59"/>
  <c r="X58"/>
  <c r="AA58" s="1"/>
  <c r="X57"/>
  <c r="AA57" s="1"/>
  <c r="X56"/>
  <c r="AA56" s="1"/>
  <c r="X55"/>
  <c r="X54"/>
  <c r="AA54" s="1"/>
  <c r="X52"/>
  <c r="X51"/>
  <c r="X50"/>
  <c r="X49"/>
  <c r="X47"/>
  <c r="X46"/>
  <c r="AA46" s="1"/>
  <c r="X45"/>
  <c r="X44"/>
  <c r="X43"/>
  <c r="X41"/>
  <c r="X39"/>
  <c r="X36"/>
  <c r="AA36" s="1"/>
  <c r="X33"/>
  <c r="X28"/>
  <c r="X24"/>
  <c r="X21"/>
  <c r="X19"/>
  <c r="X18"/>
  <c r="X17"/>
  <c r="X16"/>
  <c r="X15"/>
  <c r="AA15" s="1"/>
  <c r="X14"/>
  <c r="X13"/>
  <c r="X12"/>
  <c r="X8"/>
  <c r="W65"/>
  <c r="W28"/>
  <c r="V28"/>
  <c r="U28"/>
  <c r="X31"/>
  <c r="AA31" s="1"/>
  <c r="W31"/>
  <c r="W67"/>
  <c r="W66"/>
  <c r="W64"/>
  <c r="W63"/>
  <c r="W62"/>
  <c r="W59"/>
  <c r="W58"/>
  <c r="W57"/>
  <c r="W56"/>
  <c r="W55"/>
  <c r="W54"/>
  <c r="W53"/>
  <c r="W52"/>
  <c r="W51"/>
  <c r="W50"/>
  <c r="W49"/>
  <c r="W47"/>
  <c r="W46"/>
  <c r="W45"/>
  <c r="W44"/>
  <c r="W43"/>
  <c r="W41"/>
  <c r="W39"/>
  <c r="W38"/>
  <c r="W37"/>
  <c r="W36"/>
  <c r="W35"/>
  <c r="W33"/>
  <c r="W30"/>
  <c r="W29"/>
  <c r="W27"/>
  <c r="W25"/>
  <c r="W24"/>
  <c r="W23"/>
  <c r="W22"/>
  <c r="W21"/>
  <c r="W20"/>
  <c r="W19"/>
  <c r="W18"/>
  <c r="W17"/>
  <c r="W16"/>
  <c r="W15"/>
  <c r="W14"/>
  <c r="W13"/>
  <c r="W12"/>
  <c r="W11"/>
  <c r="W10"/>
  <c r="W9"/>
  <c r="W7"/>
  <c r="W5"/>
  <c r="V67"/>
  <c r="V66"/>
  <c r="V64"/>
  <c r="AC64" s="1"/>
  <c r="AD64" s="1"/>
  <c r="V63"/>
  <c r="V62"/>
  <c r="V59"/>
  <c r="V58"/>
  <c r="V57"/>
  <c r="V56"/>
  <c r="V55"/>
  <c r="V54"/>
  <c r="V53"/>
  <c r="V52"/>
  <c r="V51"/>
  <c r="V50"/>
  <c r="V49"/>
  <c r="V47"/>
  <c r="V46"/>
  <c r="V45"/>
  <c r="V44"/>
  <c r="V43"/>
  <c r="V41"/>
  <c r="V39"/>
  <c r="AC39" s="1"/>
  <c r="AD39" s="1"/>
  <c r="V38"/>
  <c r="AC38" s="1"/>
  <c r="AD38" s="1"/>
  <c r="V37"/>
  <c r="V36"/>
  <c r="V35"/>
  <c r="V33"/>
  <c r="V30"/>
  <c r="V29"/>
  <c r="V27"/>
  <c r="V26"/>
  <c r="AC26" s="1"/>
  <c r="AD26" s="1"/>
  <c r="V25"/>
  <c r="AC25" s="1"/>
  <c r="AD25" s="1"/>
  <c r="V24"/>
  <c r="V23"/>
  <c r="AC23" s="1"/>
  <c r="AD23" s="1"/>
  <c r="V22"/>
  <c r="V21"/>
  <c r="V20"/>
  <c r="V19"/>
  <c r="V18"/>
  <c r="V17"/>
  <c r="V16"/>
  <c r="V15"/>
  <c r="V14"/>
  <c r="AC14" s="1"/>
  <c r="AD14" s="1"/>
  <c r="V13"/>
  <c r="V12"/>
  <c r="V11"/>
  <c r="V10"/>
  <c r="V9"/>
  <c r="V8"/>
  <c r="V7"/>
  <c r="V5"/>
  <c r="U52"/>
  <c r="U18"/>
  <c r="U67"/>
  <c r="U30"/>
  <c r="U53"/>
  <c r="U62"/>
  <c r="U16"/>
  <c r="U15"/>
  <c r="U14"/>
  <c r="U17"/>
  <c r="U13"/>
  <c r="U12"/>
  <c r="U11"/>
  <c r="U10"/>
  <c r="U26"/>
  <c r="U27"/>
  <c r="U25"/>
  <c r="U24"/>
  <c r="U23"/>
  <c r="U22"/>
  <c r="U20"/>
  <c r="U19"/>
  <c r="U21"/>
  <c r="U29"/>
  <c r="U56"/>
  <c r="U57"/>
  <c r="U64"/>
  <c r="U66"/>
  <c r="U63"/>
  <c r="U59"/>
  <c r="U58"/>
  <c r="U55"/>
  <c r="U54"/>
  <c r="U51"/>
  <c r="U50"/>
  <c r="U49"/>
  <c r="U47"/>
  <c r="U45"/>
  <c r="U44"/>
  <c r="U43"/>
  <c r="U41"/>
  <c r="U39"/>
  <c r="U38"/>
  <c r="U37"/>
  <c r="U33"/>
  <c r="U36"/>
  <c r="U35"/>
  <c r="U9"/>
  <c r="U7"/>
  <c r="U6"/>
  <c r="U5"/>
  <c r="U46"/>
  <c r="T62"/>
  <c r="T60"/>
  <c r="T52"/>
  <c r="T47"/>
  <c r="T42"/>
  <c r="T39"/>
  <c r="T37"/>
  <c r="T28"/>
  <c r="T26"/>
  <c r="T9"/>
  <c r="T6"/>
  <c r="S62"/>
  <c r="S60" s="1"/>
  <c r="S26"/>
  <c r="S37"/>
  <c r="O38"/>
  <c r="S42"/>
  <c r="R60"/>
  <c r="S9"/>
  <c r="R9"/>
  <c r="R68" s="1"/>
  <c r="R70" s="1"/>
  <c r="AC40"/>
  <c r="AD40" s="1"/>
  <c r="Q26"/>
  <c r="Q55"/>
  <c r="Q63"/>
  <c r="Q66"/>
  <c r="Q64"/>
  <c r="Q62"/>
  <c r="AC61"/>
  <c r="AD61" s="1"/>
  <c r="Q61"/>
  <c r="Q59"/>
  <c r="Q56"/>
  <c r="Q52"/>
  <c r="Q51"/>
  <c r="Q50"/>
  <c r="Q49"/>
  <c r="AC48"/>
  <c r="AD48" s="1"/>
  <c r="Q48"/>
  <c r="Q47"/>
  <c r="Q46"/>
  <c r="Q45"/>
  <c r="Q44"/>
  <c r="Q43"/>
  <c r="Q42"/>
  <c r="Q39"/>
  <c r="Q38"/>
  <c r="Q37"/>
  <c r="Q35"/>
  <c r="Q28"/>
  <c r="Q33"/>
  <c r="Q29"/>
  <c r="Q27"/>
  <c r="Q22"/>
  <c r="Q25"/>
  <c r="Q24"/>
  <c r="Q23"/>
  <c r="Q21"/>
  <c r="Q18"/>
  <c r="Q17"/>
  <c r="Q16"/>
  <c r="Q15"/>
  <c r="Q14"/>
  <c r="Q13"/>
  <c r="Q12"/>
  <c r="Q11"/>
  <c r="Q10"/>
  <c r="Q8"/>
  <c r="Q7"/>
  <c r="Q6"/>
  <c r="Q5"/>
  <c r="Q69"/>
  <c r="O8"/>
  <c r="O5"/>
  <c r="P42"/>
  <c r="P26"/>
  <c r="P20"/>
  <c r="P9" s="1"/>
  <c r="O69"/>
  <c r="O66"/>
  <c r="I65"/>
  <c r="O64"/>
  <c r="O63"/>
  <c r="O62"/>
  <c r="M62"/>
  <c r="O61"/>
  <c r="L61"/>
  <c r="L60" s="1"/>
  <c r="H61"/>
  <c r="H60" s="1"/>
  <c r="N60"/>
  <c r="M60"/>
  <c r="K60"/>
  <c r="J60"/>
  <c r="I60"/>
  <c r="G60"/>
  <c r="F60"/>
  <c r="E60"/>
  <c r="D60"/>
  <c r="C60"/>
  <c r="O59"/>
  <c r="O56"/>
  <c r="M56"/>
  <c r="O52"/>
  <c r="N52"/>
  <c r="M52"/>
  <c r="K52"/>
  <c r="O51"/>
  <c r="O50"/>
  <c r="M50"/>
  <c r="K50"/>
  <c r="O49"/>
  <c r="O47"/>
  <c r="O45"/>
  <c r="O44"/>
  <c r="M44"/>
  <c r="M42" s="1"/>
  <c r="O43"/>
  <c r="N42"/>
  <c r="L42"/>
  <c r="K42"/>
  <c r="J42"/>
  <c r="I42"/>
  <c r="H42"/>
  <c r="G42"/>
  <c r="F42"/>
  <c r="E42"/>
  <c r="D42"/>
  <c r="C42"/>
  <c r="B42"/>
  <c r="O39"/>
  <c r="M38"/>
  <c r="O37"/>
  <c r="O35"/>
  <c r="J35"/>
  <c r="O33"/>
  <c r="O29"/>
  <c r="O28"/>
  <c r="N28"/>
  <c r="M28"/>
  <c r="K28"/>
  <c r="K9" s="1"/>
  <c r="K68" s="1"/>
  <c r="O27"/>
  <c r="O26"/>
  <c r="M26"/>
  <c r="L26"/>
  <c r="L9" s="1"/>
  <c r="O25"/>
  <c r="O24"/>
  <c r="O23"/>
  <c r="O21"/>
  <c r="O22"/>
  <c r="N22"/>
  <c r="M21"/>
  <c r="H19"/>
  <c r="H18" s="1"/>
  <c r="H9" s="1"/>
  <c r="H68" s="1"/>
  <c r="O18"/>
  <c r="O20" s="1"/>
  <c r="N18"/>
  <c r="N9" s="1"/>
  <c r="N68" s="1"/>
  <c r="N70" s="1"/>
  <c r="M18"/>
  <c r="J18"/>
  <c r="J9" s="1"/>
  <c r="J68" s="1"/>
  <c r="I18"/>
  <c r="G18"/>
  <c r="G9" s="1"/>
  <c r="G68" s="1"/>
  <c r="F18"/>
  <c r="E18"/>
  <c r="E9" s="1"/>
  <c r="E68" s="1"/>
  <c r="O17"/>
  <c r="O16"/>
  <c r="O15"/>
  <c r="O14"/>
  <c r="O13"/>
  <c r="O11"/>
  <c r="O10"/>
  <c r="M9"/>
  <c r="I9"/>
  <c r="I68" s="1"/>
  <c r="F9"/>
  <c r="F68" s="1"/>
  <c r="D9"/>
  <c r="D68" s="1"/>
  <c r="C9"/>
  <c r="B9"/>
  <c r="B68" s="1"/>
  <c r="L8"/>
  <c r="O7"/>
  <c r="O6"/>
  <c r="L6"/>
  <c r="AA12" l="1"/>
  <c r="AB12"/>
  <c r="AB14"/>
  <c r="AA14"/>
  <c r="AA16"/>
  <c r="AB16"/>
  <c r="AA21"/>
  <c r="AB21"/>
  <c r="AA28"/>
  <c r="AB28"/>
  <c r="AA41"/>
  <c r="AB41"/>
  <c r="AA44"/>
  <c r="AB44"/>
  <c r="AB49"/>
  <c r="AA49"/>
  <c r="AB51"/>
  <c r="AA51"/>
  <c r="AA64"/>
  <c r="AB64"/>
  <c r="AA8"/>
  <c r="AB8"/>
  <c r="AB13"/>
  <c r="AA13"/>
  <c r="AA17"/>
  <c r="AB17"/>
  <c r="AB19"/>
  <c r="AA19"/>
  <c r="AB24"/>
  <c r="AA24"/>
  <c r="AB33"/>
  <c r="AA33"/>
  <c r="AB39"/>
  <c r="AA39"/>
  <c r="AB43"/>
  <c r="AA43"/>
  <c r="AA45"/>
  <c r="AB45"/>
  <c r="AB50"/>
  <c r="AA50"/>
  <c r="AA52"/>
  <c r="AB52"/>
  <c r="AA55"/>
  <c r="AB55"/>
  <c r="AB65"/>
  <c r="AA65"/>
  <c r="W42"/>
  <c r="AC27"/>
  <c r="AD27" s="1"/>
  <c r="X42"/>
  <c r="V42"/>
  <c r="AC42" s="1"/>
  <c r="AD42" s="1"/>
  <c r="W60"/>
  <c r="V60"/>
  <c r="U42"/>
  <c r="AC46"/>
  <c r="AD46" s="1"/>
  <c r="AC59"/>
  <c r="AD59" s="1"/>
  <c r="AC7"/>
  <c r="AD7" s="1"/>
  <c r="AC36"/>
  <c r="AD36" s="1"/>
  <c r="T68"/>
  <c r="T70" s="1"/>
  <c r="Q60"/>
  <c r="AC62"/>
  <c r="AD62" s="1"/>
  <c r="U60"/>
  <c r="AC55"/>
  <c r="AD55" s="1"/>
  <c r="AC51"/>
  <c r="AD51" s="1"/>
  <c r="AC50"/>
  <c r="AD50" s="1"/>
  <c r="AC49"/>
  <c r="AD49" s="1"/>
  <c r="AC13"/>
  <c r="AD13" s="1"/>
  <c r="AC16"/>
  <c r="AD16" s="1"/>
  <c r="AC17"/>
  <c r="AD17" s="1"/>
  <c r="AC33"/>
  <c r="AD33" s="1"/>
  <c r="AC44"/>
  <c r="AD44" s="1"/>
  <c r="AC45"/>
  <c r="AD45" s="1"/>
  <c r="AC43"/>
  <c r="AD43" s="1"/>
  <c r="AC28"/>
  <c r="AD28" s="1"/>
  <c r="AC29"/>
  <c r="AD29" s="1"/>
  <c r="AC24"/>
  <c r="AD24" s="1"/>
  <c r="AC19"/>
  <c r="AD19" s="1"/>
  <c r="AC21"/>
  <c r="AD21" s="1"/>
  <c r="AC15"/>
  <c r="AD15" s="1"/>
  <c r="AC11"/>
  <c r="AD11" s="1"/>
  <c r="AC12"/>
  <c r="AD12" s="1"/>
  <c r="AC10"/>
  <c r="AD10" s="1"/>
  <c r="C68"/>
  <c r="AC52"/>
  <c r="AD52" s="1"/>
  <c r="AC47"/>
  <c r="AD47" s="1"/>
  <c r="S68"/>
  <c r="S70" s="1"/>
  <c r="O9"/>
  <c r="Q20"/>
  <c r="Q9" s="1"/>
  <c r="AC20"/>
  <c r="AD20" s="1"/>
  <c r="AC18"/>
  <c r="AD18" s="1"/>
  <c r="P68"/>
  <c r="P70" s="1"/>
  <c r="O60"/>
  <c r="M68"/>
  <c r="O42"/>
  <c r="L68"/>
  <c r="AB42" l="1"/>
  <c r="AA42"/>
  <c r="Q68"/>
  <c r="Q70" s="1"/>
  <c r="O68"/>
  <c r="O70" s="1"/>
  <c r="AC35" l="1"/>
  <c r="AD35" s="1"/>
  <c r="AC6" l="1"/>
  <c r="AD6" s="1"/>
  <c r="AC8"/>
  <c r="AD8" s="1"/>
  <c r="AC63"/>
  <c r="AD63" s="1"/>
  <c r="AC5" l="1"/>
  <c r="AD5" s="1"/>
  <c r="AC60"/>
  <c r="AD60" s="1"/>
  <c r="AC37" l="1"/>
  <c r="AD37" s="1"/>
  <c r="V68"/>
  <c r="AC22"/>
  <c r="AD22" s="1"/>
  <c r="AC66"/>
  <c r="AD66" s="1"/>
  <c r="AC9" l="1"/>
  <c r="AD9" s="1"/>
  <c r="AC68"/>
  <c r="AD68" s="1"/>
  <c r="V70"/>
  <c r="W8"/>
  <c r="W6"/>
  <c r="U8"/>
  <c r="U68" s="1"/>
  <c r="U70" s="1"/>
  <c r="W68" l="1"/>
  <c r="W70" s="1"/>
  <c r="X11" l="1"/>
  <c r="X10"/>
  <c r="X22"/>
  <c r="X30"/>
  <c r="X38"/>
  <c r="X35"/>
  <c r="X66"/>
  <c r="X7"/>
  <c r="AA66" l="1"/>
  <c r="AB66"/>
  <c r="AB38"/>
  <c r="AA38"/>
  <c r="AA22"/>
  <c r="AB22"/>
  <c r="AA11"/>
  <c r="AB11"/>
  <c r="AB7"/>
  <c r="AA7"/>
  <c r="AA35"/>
  <c r="AB35"/>
  <c r="AB30"/>
  <c r="AA30"/>
  <c r="AB10"/>
  <c r="AA10"/>
  <c r="X60"/>
  <c r="X53"/>
  <c r="AA60" l="1"/>
  <c r="AB60"/>
  <c r="AB53"/>
  <c r="AA53"/>
  <c r="X68"/>
  <c r="X5"/>
  <c r="AB5" l="1"/>
  <c r="AA5"/>
  <c r="X70"/>
  <c r="Z18"/>
  <c r="Z47"/>
  <c r="AA47" l="1"/>
  <c r="AE47"/>
  <c r="AF47" s="1"/>
  <c r="AB47"/>
  <c r="AE18"/>
  <c r="AF18" s="1"/>
  <c r="AB18"/>
  <c r="AA18"/>
  <c r="Z26"/>
  <c r="AB26" l="1"/>
  <c r="AA26"/>
  <c r="AE9" l="1"/>
  <c r="AF9" s="1"/>
  <c r="AB9"/>
  <c r="AA9"/>
  <c r="Z68"/>
  <c r="Z70" l="1"/>
  <c r="Z71" s="1"/>
  <c r="AE68"/>
  <c r="AF68" s="1"/>
  <c r="AB68"/>
  <c r="AA68"/>
</calcChain>
</file>

<file path=xl/sharedStrings.xml><?xml version="1.0" encoding="utf-8"?>
<sst xmlns="http://schemas.openxmlformats.org/spreadsheetml/2006/main" count="103" uniqueCount="103">
  <si>
    <t>Назва</t>
  </si>
  <si>
    <t>Затверджено на 2013 р.</t>
  </si>
  <si>
    <t>Уточнено на 2013 р.</t>
  </si>
  <si>
    <t>Затверджено на 2014 р.</t>
  </si>
  <si>
    <t>Уточнено на 2014 р.</t>
  </si>
  <si>
    <t>Затверджено на 2015 р.</t>
  </si>
  <si>
    <t>Уточнено на 2015 р.</t>
  </si>
  <si>
    <t>Затверджено на 2016 р.</t>
  </si>
  <si>
    <t>Уточнено на 2016 р.</t>
  </si>
  <si>
    <t>Затверджено на 2017 р.</t>
  </si>
  <si>
    <t>Уточнено на 2017 р.</t>
  </si>
  <si>
    <t>Затверджено на 2018 р.</t>
  </si>
  <si>
    <t>Уточнено на 2018 р.</t>
  </si>
  <si>
    <t>Затверджено на 2019 р.</t>
  </si>
  <si>
    <t>Уточнено на 2019 р.</t>
  </si>
  <si>
    <t>Відхилення, +,- грн.</t>
  </si>
  <si>
    <t>Органи місцевого самоврядування</t>
  </si>
  <si>
    <t>Освіта</t>
  </si>
  <si>
    <t>Охорона здоров"я</t>
  </si>
  <si>
    <t>Культура</t>
  </si>
  <si>
    <t>Соціальний захист, в т.ч.:</t>
  </si>
  <si>
    <t>2. Територіальний центр</t>
  </si>
  <si>
    <t>в т.ч.:    заходи</t>
  </si>
  <si>
    <t>матеріальна допомога</t>
  </si>
  <si>
    <t>Інші заходи у сфері автотранспорту</t>
  </si>
  <si>
    <t>Періодичні видання, телебачення та радіомовлення</t>
  </si>
  <si>
    <t>Поточний ремонт та утримання доріг</t>
  </si>
  <si>
    <t>Благоустрій</t>
  </si>
  <si>
    <t>Дотація житлово-комунальному господарству</t>
  </si>
  <si>
    <t>Водопровідно - каналізаційне господарство</t>
  </si>
  <si>
    <t>Розробка схем та проектних рішень масового застосування </t>
  </si>
  <si>
    <t>Фізична культура і спорт, в т.ч.:</t>
  </si>
  <si>
    <t>1. ДЮСШ</t>
  </si>
  <si>
    <t>2. Заходи по спорту</t>
  </si>
  <si>
    <t>3. Фінансова підтримка стадіону</t>
  </si>
  <si>
    <t>Заходи з енергозбереження</t>
  </si>
  <si>
    <t>Рятувальна станція</t>
  </si>
  <si>
    <t>Видатки на запобігання та ліквідацію наздвичайних ситуацій</t>
  </si>
  <si>
    <t>Заходи громадського порядку та безпеки</t>
  </si>
  <si>
    <t>Заходи з мобілізаційної роботи</t>
  </si>
  <si>
    <t>Охорона і раціональне використання земель, водних ресурсів</t>
  </si>
  <si>
    <t>Обслуговування боргу</t>
  </si>
  <si>
    <t>Видатки не віднесені до основних груп, в т.ч.:</t>
  </si>
  <si>
    <t>1. ГФ" Муніципальна служба правопорядку"</t>
  </si>
  <si>
    <t>4. Членські внески до асоціацій</t>
  </si>
  <si>
    <t>Резервний фонд</t>
  </si>
  <si>
    <t>Начальник фінансового управління</t>
  </si>
  <si>
    <t>Проєкт  бюджету на 2022 р.</t>
  </si>
  <si>
    <t>Затверджено на 2020 р.</t>
  </si>
  <si>
    <t>Уточнено на 2020 р.</t>
  </si>
  <si>
    <t>Проєкт  бюджету на 2023 р.</t>
  </si>
  <si>
    <t>Проведення місцевих виборів</t>
  </si>
  <si>
    <t>Разом загальний фонд</t>
  </si>
  <si>
    <t>4. Молодіжні програми</t>
  </si>
  <si>
    <t>5. Стипендії міського голови</t>
  </si>
  <si>
    <t>6. Оздоровлення дітей</t>
  </si>
  <si>
    <t>7. Фінансова підтримка громадських організацій</t>
  </si>
  <si>
    <t>8. Інші програми соц.захисту дітей</t>
  </si>
  <si>
    <t>9.Інші допомоги</t>
  </si>
  <si>
    <t xml:space="preserve">10. Виплати грошової компенсації фізичним особам, які надають соціальні послуги громадянам похилого віку, інвалідам, дітям-інвалідам, хворим, які не здатні до самообслуговування </t>
  </si>
  <si>
    <t>11.Пільговий проїзд автотранспортом</t>
  </si>
  <si>
    <t>12. Пільговий проїзд залізничним транспортом</t>
  </si>
  <si>
    <t>13. Послуги зв`язку</t>
  </si>
  <si>
    <t>14. Інші пільги, ЧАЕС</t>
  </si>
  <si>
    <t>15. Путівки</t>
  </si>
  <si>
    <t>16. Громадські роботи</t>
  </si>
  <si>
    <t>17. Поховання учасників бойових дій</t>
  </si>
  <si>
    <t>Затверджено на 2021 р.</t>
  </si>
  <si>
    <t>Уточнено на 2021 р.</t>
  </si>
  <si>
    <t>Субвенція на поточний ремонт та утримання доріг</t>
  </si>
  <si>
    <t>Фінансова підтримка радіо</t>
  </si>
  <si>
    <t xml:space="preserve"> Інтернет в сільській місцевості</t>
  </si>
  <si>
    <t xml:space="preserve"> оздоровлення учасників АТО та ін.</t>
  </si>
  <si>
    <t>Тамара РОМАНЕНКО</t>
  </si>
  <si>
    <t>1. Центр соціальної реабілітації дітей з інвалідністю</t>
  </si>
  <si>
    <t>Затверджено на 2022 р.</t>
  </si>
  <si>
    <t>Уточнено на 2022 р.</t>
  </si>
  <si>
    <t>Заходи з територіальної оборони</t>
  </si>
  <si>
    <t>Субвенція державному бюджету (теплопостачання)</t>
  </si>
  <si>
    <t>18. Підтримка ВПО</t>
  </si>
  <si>
    <t>Абсолютне відхилення,   %</t>
  </si>
  <si>
    <t>Заходи із запобігання</t>
  </si>
  <si>
    <t>Затверджено на 2023 р.</t>
  </si>
  <si>
    <t>Уточнено на     2023 р.</t>
  </si>
  <si>
    <t>19. Cлужба підтримки осіб, які постраждали від домашнього насильства та/або насильства за ознакою статі</t>
  </si>
  <si>
    <t>Заходи по'язані з економічною діяльністю</t>
  </si>
  <si>
    <t>4. Активні парки</t>
  </si>
  <si>
    <t>Субвенція державному бюджету (поліція,СБУ, ВЧ, ДПI, УДК, комісаріат, архів та ін.)</t>
  </si>
  <si>
    <t>Субвенція державному бюджету (водні об'єкти, лісосмуги)</t>
  </si>
  <si>
    <t xml:space="preserve">3. Центр соціальних служб  </t>
  </si>
  <si>
    <t>Проєкт  бюджету на 2025 р.</t>
  </si>
  <si>
    <t>Проєкт  бюджету на 2026 р.</t>
  </si>
  <si>
    <t>грн.</t>
  </si>
  <si>
    <t>Додаток 2</t>
  </si>
  <si>
    <t>Затверджено на 2024 р.</t>
  </si>
  <si>
    <t>Уточнено на     2024 р.</t>
  </si>
  <si>
    <t>Проєкт  бюджету на 2027 р.</t>
  </si>
  <si>
    <t>Аналіз бюджету  Лубенської міської  територіальної громади  на 2025 рік  ( основні  показники  загального  фонду )</t>
  </si>
  <si>
    <t>3. Утримання ком. майна та ін.</t>
  </si>
  <si>
    <t>2. Реалізація національної програми інформатизації, заходи та ін.</t>
  </si>
  <si>
    <t>20. Забезпечення інституту помічника ветерана</t>
  </si>
  <si>
    <t>10=9-7</t>
  </si>
  <si>
    <t>11=9/7*100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</si>
</sst>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0"/>
      <color rgb="FFFFC000"/>
      <name val="Arial"/>
      <family val="2"/>
      <charset val="204"/>
    </font>
    <font>
      <sz val="12"/>
      <color rgb="FFFFC00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  <font>
      <b/>
      <i/>
      <sz val="14"/>
      <name val="Arial"/>
      <family val="2"/>
      <charset val="204"/>
    </font>
    <font>
      <sz val="10"/>
      <name val="Arial Cyr"/>
      <charset val="204"/>
    </font>
    <font>
      <i/>
      <sz val="14"/>
      <name val="Arial"/>
      <family val="2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sz val="13"/>
      <name val="Arial"/>
      <family val="2"/>
      <charset val="204"/>
    </font>
    <font>
      <sz val="13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22"/>
      <name val="Times New Roman"/>
      <family val="1"/>
      <charset val="204"/>
    </font>
    <font>
      <b/>
      <sz val="22"/>
      <name val="Arial"/>
      <family val="2"/>
      <charset val="204"/>
    </font>
    <font>
      <b/>
      <i/>
      <sz val="22"/>
      <name val="Arial"/>
      <family val="2"/>
      <charset val="204"/>
    </font>
    <font>
      <sz val="8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2" fillId="0" borderId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Fill="1"/>
    <xf numFmtId="0" fontId="0" fillId="0" borderId="0" xfId="0" applyFill="1"/>
    <xf numFmtId="0" fontId="4" fillId="0" borderId="0" xfId="0" applyFont="1" applyFill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3" fontId="11" fillId="3" borderId="2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vertical="center" wrapText="1"/>
    </xf>
    <xf numFmtId="3" fontId="13" fillId="2" borderId="1" xfId="0" applyNumberFormat="1" applyFont="1" applyFill="1" applyBorder="1"/>
    <xf numFmtId="3" fontId="13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3" fontId="14" fillId="2" borderId="1" xfId="0" applyNumberFormat="1" applyFont="1" applyFill="1" applyBorder="1"/>
    <xf numFmtId="3" fontId="14" fillId="2" borderId="2" xfId="0" applyNumberFormat="1" applyFont="1" applyFill="1" applyBorder="1" applyAlignment="1">
      <alignment horizontal="center"/>
    </xf>
    <xf numFmtId="3" fontId="15" fillId="2" borderId="1" xfId="0" applyNumberFormat="1" applyFont="1" applyFill="1" applyBorder="1"/>
    <xf numFmtId="3" fontId="15" fillId="2" borderId="2" xfId="0" applyNumberFormat="1" applyFont="1" applyFill="1" applyBorder="1" applyAlignment="1">
      <alignment horizontal="center"/>
    </xf>
    <xf numFmtId="3" fontId="16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wrapText="1"/>
    </xf>
    <xf numFmtId="164" fontId="15" fillId="2" borderId="2" xfId="0" applyNumberFormat="1" applyFont="1" applyFill="1" applyBorder="1" applyAlignment="1">
      <alignment horizontal="center"/>
    </xf>
    <xf numFmtId="3" fontId="0" fillId="2" borderId="1" xfId="0" applyNumberFormat="1" applyFill="1" applyBorder="1"/>
    <xf numFmtId="3" fontId="17" fillId="2" borderId="1" xfId="0" applyNumberFormat="1" applyFont="1" applyFill="1" applyBorder="1" applyAlignment="1">
      <alignment horizontal="center"/>
    </xf>
    <xf numFmtId="3" fontId="9" fillId="2" borderId="1" xfId="0" applyNumberFormat="1" applyFont="1" applyFill="1" applyBorder="1"/>
    <xf numFmtId="3" fontId="7" fillId="2" borderId="1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3" fontId="18" fillId="2" borderId="2" xfId="0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vertical="center" wrapText="1"/>
    </xf>
    <xf numFmtId="3" fontId="18" fillId="2" borderId="1" xfId="0" applyNumberFormat="1" applyFont="1" applyFill="1" applyBorder="1" applyAlignment="1">
      <alignment horizontal="center"/>
    </xf>
    <xf numFmtId="3" fontId="19" fillId="2" borderId="1" xfId="0" applyNumberFormat="1" applyFont="1" applyFill="1" applyBorder="1"/>
    <xf numFmtId="3" fontId="19" fillId="2" borderId="2" xfId="0" applyNumberFormat="1" applyFont="1" applyFill="1" applyBorder="1" applyAlignment="1">
      <alignment horizontal="center"/>
    </xf>
    <xf numFmtId="4" fontId="19" fillId="2" borderId="2" xfId="0" applyNumberFormat="1" applyFont="1" applyFill="1" applyBorder="1" applyAlignment="1">
      <alignment horizontal="center"/>
    </xf>
    <xf numFmtId="3" fontId="9" fillId="2" borderId="3" xfId="0" applyNumberFormat="1" applyFont="1" applyFill="1" applyBorder="1"/>
    <xf numFmtId="0" fontId="6" fillId="2" borderId="4" xfId="0" applyFont="1" applyFill="1" applyBorder="1"/>
    <xf numFmtId="3" fontId="19" fillId="2" borderId="4" xfId="0" applyNumberFormat="1" applyFont="1" applyFill="1" applyBorder="1"/>
    <xf numFmtId="3" fontId="19" fillId="2" borderId="5" xfId="0" applyNumberFormat="1" applyFont="1" applyFill="1" applyBorder="1" applyAlignment="1">
      <alignment horizontal="center"/>
    </xf>
    <xf numFmtId="3" fontId="19" fillId="4" borderId="5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3" fontId="7" fillId="2" borderId="7" xfId="0" applyNumberFormat="1" applyFont="1" applyFill="1" applyBorder="1" applyAlignment="1">
      <alignment horizontal="center"/>
    </xf>
    <xf numFmtId="3" fontId="9" fillId="2" borderId="8" xfId="0" applyNumberFormat="1" applyFont="1" applyFill="1" applyBorder="1" applyAlignment="1">
      <alignment horizontal="center"/>
    </xf>
    <xf numFmtId="4" fontId="9" fillId="2" borderId="8" xfId="0" applyNumberFormat="1" applyFont="1" applyFill="1" applyBorder="1" applyAlignment="1">
      <alignment horizontal="center"/>
    </xf>
    <xf numFmtId="3" fontId="9" fillId="3" borderId="8" xfId="0" applyNumberFormat="1" applyFont="1" applyFill="1" applyBorder="1" applyAlignment="1">
      <alignment horizontal="center"/>
    </xf>
    <xf numFmtId="0" fontId="6" fillId="0" borderId="0" xfId="0" applyFont="1" applyFill="1" applyBorder="1"/>
    <xf numFmtId="3" fontId="7" fillId="0" borderId="0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3" fontId="2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20" fillId="0" borderId="0" xfId="0" applyNumberFormat="1" applyFont="1" applyFill="1"/>
    <xf numFmtId="4" fontId="21" fillId="0" borderId="0" xfId="0" applyNumberFormat="1" applyFont="1" applyFill="1"/>
    <xf numFmtId="3" fontId="21" fillId="0" borderId="0" xfId="0" applyNumberFormat="1" applyFont="1" applyFill="1"/>
    <xf numFmtId="3" fontId="0" fillId="2" borderId="0" xfId="0" applyNumberFormat="1" applyFill="1"/>
    <xf numFmtId="164" fontId="11" fillId="0" borderId="0" xfId="0" applyNumberFormat="1" applyFont="1" applyFill="1" applyBorder="1" applyAlignment="1">
      <alignment horizontal="center"/>
    </xf>
    <xf numFmtId="4" fontId="21" fillId="0" borderId="0" xfId="0" applyNumberFormat="1" applyFont="1" applyFill="1" applyAlignment="1">
      <alignment horizontal="center"/>
    </xf>
    <xf numFmtId="0" fontId="0" fillId="2" borderId="0" xfId="0" applyFill="1"/>
    <xf numFmtId="164" fontId="22" fillId="0" borderId="0" xfId="0" applyNumberFormat="1" applyFont="1" applyFill="1" applyBorder="1" applyAlignment="1">
      <alignment horizontal="center"/>
    </xf>
    <xf numFmtId="0" fontId="23" fillId="0" borderId="0" xfId="0" applyFont="1" applyFill="1" applyBorder="1"/>
    <xf numFmtId="3" fontId="24" fillId="0" borderId="0" xfId="0" applyNumberFormat="1" applyFont="1" applyFill="1" applyBorder="1" applyAlignment="1">
      <alignment horizontal="center"/>
    </xf>
    <xf numFmtId="3" fontId="25" fillId="0" borderId="0" xfId="0" applyNumberFormat="1" applyFont="1" applyFill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/>
    </xf>
    <xf numFmtId="3" fontId="26" fillId="0" borderId="0" xfId="0" applyNumberFormat="1" applyFont="1" applyFill="1"/>
    <xf numFmtId="0" fontId="27" fillId="0" borderId="0" xfId="0" applyFont="1"/>
    <xf numFmtId="4" fontId="27" fillId="0" borderId="0" xfId="0" applyNumberFormat="1" applyFont="1"/>
    <xf numFmtId="0" fontId="28" fillId="0" borderId="0" xfId="0" applyFont="1"/>
    <xf numFmtId="3" fontId="28" fillId="0" borderId="0" xfId="0" applyNumberFormat="1" applyFont="1"/>
    <xf numFmtId="0" fontId="27" fillId="0" borderId="0" xfId="0" applyFont="1" applyAlignment="1">
      <alignment horizontal="right"/>
    </xf>
    <xf numFmtId="0" fontId="29" fillId="0" borderId="0" xfId="0" applyFont="1" applyAlignment="1"/>
    <xf numFmtId="3" fontId="27" fillId="0" borderId="0" xfId="0" applyNumberFormat="1" applyFont="1"/>
    <xf numFmtId="0" fontId="15" fillId="2" borderId="1" xfId="0" applyFont="1" applyFill="1" applyBorder="1" applyAlignment="1">
      <alignment horizontal="right" wrapText="1"/>
    </xf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15" fillId="2" borderId="1" xfId="1" applyFont="1" applyFill="1" applyBorder="1" applyAlignment="1">
      <alignment vertical="center" wrapText="1"/>
    </xf>
    <xf numFmtId="4" fontId="21" fillId="0" borderId="0" xfId="0" applyNumberFormat="1" applyFont="1" applyFill="1" applyBorder="1" applyAlignment="1">
      <alignment horizontal="center"/>
    </xf>
    <xf numFmtId="3" fontId="9" fillId="2" borderId="5" xfId="0" applyNumberFormat="1" applyFont="1" applyFill="1" applyBorder="1" applyAlignment="1">
      <alignment horizontal="center"/>
    </xf>
    <xf numFmtId="4" fontId="30" fillId="0" borderId="0" xfId="0" applyNumberFormat="1" applyFont="1" applyFill="1" applyBorder="1" applyAlignment="1" applyProtection="1">
      <alignment horizontal="right" vertical="top" wrapText="1"/>
    </xf>
    <xf numFmtId="4" fontId="21" fillId="0" borderId="0" xfId="0" applyNumberFormat="1" applyFont="1" applyAlignment="1">
      <alignment horizontal="center"/>
    </xf>
    <xf numFmtId="0" fontId="0" fillId="2" borderId="1" xfId="0" applyFill="1" applyBorder="1" applyAlignment="1">
      <alignment horizontal="center"/>
    </xf>
    <xf numFmtId="4" fontId="31" fillId="0" borderId="0" xfId="0" applyNumberFormat="1" applyFont="1" applyBorder="1" applyAlignment="1" applyProtection="1">
      <alignment horizontal="center" vertical="center" wrapText="1"/>
    </xf>
    <xf numFmtId="3" fontId="1" fillId="2" borderId="2" xfId="0" applyNumberFormat="1" applyFont="1" applyFill="1" applyBorder="1" applyAlignment="1">
      <alignment horizontal="center"/>
    </xf>
    <xf numFmtId="3" fontId="11" fillId="2" borderId="9" xfId="0" applyNumberFormat="1" applyFont="1" applyFill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33" fillId="0" borderId="1" xfId="0" applyNumberFormat="1" applyFont="1" applyBorder="1"/>
    <xf numFmtId="0" fontId="0" fillId="0" borderId="0" xfId="0" applyAlignment="1">
      <alignment horizontal="right"/>
    </xf>
    <xf numFmtId="4" fontId="26" fillId="0" borderId="0" xfId="0" applyNumberFormat="1" applyFont="1"/>
    <xf numFmtId="3" fontId="13" fillId="5" borderId="2" xfId="0" applyNumberFormat="1" applyFont="1" applyFill="1" applyBorder="1" applyAlignment="1">
      <alignment horizontal="center"/>
    </xf>
    <xf numFmtId="3" fontId="18" fillId="5" borderId="1" xfId="0" applyNumberFormat="1" applyFont="1" applyFill="1" applyBorder="1" applyAlignment="1">
      <alignment horizontal="center"/>
    </xf>
    <xf numFmtId="3" fontId="11" fillId="5" borderId="2" xfId="0" applyNumberFormat="1" applyFont="1" applyFill="1" applyBorder="1" applyAlignment="1">
      <alignment horizontal="center"/>
    </xf>
    <xf numFmtId="3" fontId="9" fillId="5" borderId="5" xfId="0" applyNumberFormat="1" applyFont="1" applyFill="1" applyBorder="1" applyAlignment="1">
      <alignment horizontal="center"/>
    </xf>
    <xf numFmtId="3" fontId="13" fillId="6" borderId="2" xfId="0" applyNumberFormat="1" applyFont="1" applyFill="1" applyBorder="1" applyAlignment="1">
      <alignment horizontal="center"/>
    </xf>
    <xf numFmtId="3" fontId="11" fillId="6" borderId="2" xfId="0" applyNumberFormat="1" applyFont="1" applyFill="1" applyBorder="1" applyAlignment="1">
      <alignment horizontal="center"/>
    </xf>
    <xf numFmtId="3" fontId="16" fillId="6" borderId="2" xfId="0" applyNumberFormat="1" applyFont="1" applyFill="1" applyBorder="1" applyAlignment="1">
      <alignment horizontal="center"/>
    </xf>
    <xf numFmtId="3" fontId="11" fillId="6" borderId="3" xfId="0" applyNumberFormat="1" applyFont="1" applyFill="1" applyBorder="1" applyAlignment="1">
      <alignment horizontal="center"/>
    </xf>
    <xf numFmtId="4" fontId="30" fillId="0" borderId="10" xfId="0" applyNumberFormat="1" applyFont="1" applyBorder="1" applyAlignment="1" applyProtection="1">
      <alignment horizontal="right" wrapText="1"/>
    </xf>
    <xf numFmtId="0" fontId="7" fillId="6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/>
    </xf>
  </cellXfs>
  <cellStyles count="2">
    <cellStyle name="Звичайний" xfId="0" builtinId="0"/>
    <cellStyle name="Обычный_Лист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7;&#1089;&#1110;&#1111;/49%20&#1089;&#1077;&#1089;&#1110;&#1103;%207%20&#1089;&#1082;&#1083;&#1080;&#1082;&#1072;&#1085;&#1085;&#1103;%2019.12.2019&#1088;%20&#1073;&#1102;&#1076;&#1078;&#1077;&#1090;/&#1041;&#1102;&#1076;&#1078;&#1077;&#1090;%20&#1085;&#1072;%202020&#1088;/&#1055;&#1088;&#1086;&#1077;&#1082;&#1090;%20&#1073;&#1102;&#1076;&#1078;&#1077;&#1090;&#1091;%20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3;&#1102;&#1076;&#1078;&#1077;&#1090;%20&#1085;&#1072;%202021%20&#1088;&#1110;&#1082;/&#1055;&#1088;&#1086;&#1077;&#1082;&#1090;%20&#1073;&#1102;&#1076;&#1078;&#1077;&#1090;&#1091;%20&#1085;&#1072;%202021%20&#1088;&#1110;&#1082;/&#1055;&#1088;&#1086;&#1077;&#1082;&#1090;%20&#1073;&#1102;&#1076;&#1078;&#1077;&#1090;&#1091;%20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7;&#1082;&#1090;%20&#1073;&#1102;&#1076;&#1078;&#1077;&#1090;&#1091;%20&#1085;&#1072;%202024/&#1040;&#1085;&#1072;&#1083;&#1110;&#1079;%20202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7;&#1089;&#1110;&#1111;/48%20&#1089;&#1077;&#1089;&#1110;&#1103;%20&#1074;&#1110;&#1076;%2019.12.2024%20&#1074;&#1110;&#1081;&#1085;&#1072;/&#1041;&#1102;&#1076;&#1078;&#1077;&#1090;%20&#1085;&#1072;%202025%20&#1088;&#1110;&#1082;/&#1040;&#1085;&#1072;&#1083;&#1110;&#1079;%2020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 2012 на сесію"/>
      <sheetName val="План на 2012 як поставили"/>
      <sheetName val="План на 2013 як буде"/>
      <sheetName val="План на 2014 як буде "/>
      <sheetName val="План на 2016 як буде "/>
      <sheetName val="План на 2017 як буде"/>
      <sheetName val="План на 2018"/>
      <sheetName val="План на 2019"/>
      <sheetName val="План на 2020"/>
      <sheetName val="бюджет розвитку"/>
      <sheetName val="Лист3"/>
      <sheetName val="Аналі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7">
          <cell r="AK17">
            <v>238391</v>
          </cell>
        </row>
        <row r="21">
          <cell r="AK21">
            <v>26700</v>
          </cell>
        </row>
        <row r="25">
          <cell r="AK25">
            <v>128104</v>
          </cell>
        </row>
        <row r="41">
          <cell r="AK41">
            <v>200000</v>
          </cell>
        </row>
        <row r="45">
          <cell r="AK45">
            <v>150000</v>
          </cell>
        </row>
        <row r="50">
          <cell r="AK50">
            <v>1571308</v>
          </cell>
        </row>
        <row r="53">
          <cell r="AK53">
            <v>200000</v>
          </cell>
        </row>
        <row r="57">
          <cell r="AK57">
            <v>800000</v>
          </cell>
        </row>
        <row r="59">
          <cell r="AK59">
            <v>2000</v>
          </cell>
        </row>
        <row r="61">
          <cell r="AK61">
            <v>78000</v>
          </cell>
        </row>
        <row r="63">
          <cell r="AK63">
            <v>858294</v>
          </cell>
        </row>
        <row r="69">
          <cell r="AK69">
            <v>30000</v>
          </cell>
        </row>
        <row r="74">
          <cell r="AK74">
            <v>150000</v>
          </cell>
        </row>
        <row r="80">
          <cell r="AK80">
            <v>410000</v>
          </cell>
        </row>
        <row r="81">
          <cell r="AK81">
            <v>69816</v>
          </cell>
        </row>
        <row r="91">
          <cell r="AK91">
            <v>21600</v>
          </cell>
        </row>
        <row r="93">
          <cell r="AK93">
            <v>968000</v>
          </cell>
        </row>
        <row r="97">
          <cell r="AK97">
            <v>49088</v>
          </cell>
        </row>
        <row r="98">
          <cell r="AK98">
            <v>1138500</v>
          </cell>
        </row>
        <row r="209">
          <cell r="AK209">
            <v>3965500</v>
          </cell>
        </row>
        <row r="222">
          <cell r="AK222">
            <v>60893</v>
          </cell>
        </row>
        <row r="337">
          <cell r="AK337">
            <v>163000</v>
          </cell>
        </row>
        <row r="348">
          <cell r="AK348">
            <v>108</v>
          </cell>
        </row>
        <row r="352">
          <cell r="AK352">
            <v>169800</v>
          </cell>
        </row>
        <row r="354">
          <cell r="AK354">
            <v>119800</v>
          </cell>
        </row>
        <row r="357">
          <cell r="AK357">
            <v>104702</v>
          </cell>
        </row>
        <row r="378">
          <cell r="AK378">
            <v>387130</v>
          </cell>
        </row>
        <row r="381">
          <cell r="AK381">
            <v>260000</v>
          </cell>
        </row>
        <row r="384">
          <cell r="AK384">
            <v>1381000</v>
          </cell>
        </row>
        <row r="391">
          <cell r="AK391">
            <v>5631096.9999999991</v>
          </cell>
        </row>
        <row r="406">
          <cell r="AK406">
            <v>144400</v>
          </cell>
        </row>
        <row r="409">
          <cell r="AK409">
            <v>1848198.0000000002</v>
          </cell>
        </row>
        <row r="424">
          <cell r="AK424">
            <v>400000</v>
          </cell>
        </row>
        <row r="429">
          <cell r="AK429">
            <v>2675075</v>
          </cell>
        </row>
        <row r="431">
          <cell r="AK431">
            <v>704900</v>
          </cell>
        </row>
        <row r="444">
          <cell r="AK444">
            <v>270000</v>
          </cell>
        </row>
        <row r="448">
          <cell r="AK448">
            <v>180000</v>
          </cell>
        </row>
        <row r="452">
          <cell r="AK452">
            <v>2290322.62</v>
          </cell>
        </row>
        <row r="454">
          <cell r="AK454">
            <v>18403445</v>
          </cell>
        </row>
        <row r="462">
          <cell r="AK462">
            <v>12097368</v>
          </cell>
        </row>
        <row r="466">
          <cell r="AK466">
            <v>612930</v>
          </cell>
        </row>
        <row r="485">
          <cell r="AK485">
            <v>37000</v>
          </cell>
        </row>
        <row r="487">
          <cell r="AK487">
            <v>30000</v>
          </cell>
        </row>
        <row r="514">
          <cell r="AK514">
            <v>737000</v>
          </cell>
        </row>
        <row r="519">
          <cell r="AK519">
            <v>147240</v>
          </cell>
        </row>
        <row r="576">
          <cell r="AK576">
            <v>10000</v>
          </cell>
        </row>
        <row r="601">
          <cell r="AK601">
            <v>344375</v>
          </cell>
        </row>
        <row r="604">
          <cell r="AK604">
            <v>0</v>
          </cell>
        </row>
        <row r="621">
          <cell r="AJ621">
            <v>36656.01756</v>
          </cell>
        </row>
        <row r="622">
          <cell r="AJ622">
            <v>144033.46388999998</v>
          </cell>
        </row>
        <row r="623">
          <cell r="AJ623">
            <v>33291.64271</v>
          </cell>
        </row>
        <row r="625">
          <cell r="AJ625">
            <v>6761.2550000000001</v>
          </cell>
        </row>
        <row r="648">
          <cell r="AJ648">
            <v>281592413.78000003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 2012 на сесію"/>
      <sheetName val="План на 2012 як поставили"/>
      <sheetName val="План на 2013 як буде"/>
      <sheetName val="План на 2014 як буде "/>
      <sheetName val="План на 2016 як буде "/>
      <sheetName val="План на 2017 як буде"/>
      <sheetName val="План на 2018"/>
      <sheetName val="План на 2019"/>
      <sheetName val="План на 2020"/>
      <sheetName val="План  Лубни на 2021"/>
      <sheetName val="Ісківці"/>
      <sheetName val="Снітин"/>
      <sheetName val="Тишки"/>
      <sheetName val="Калайденці"/>
      <sheetName val="Вовчик"/>
      <sheetName val="Березоточа"/>
      <sheetName val="Окіп"/>
      <sheetName val="Хорошки"/>
      <sheetName val="ВСЕ"/>
      <sheetName val="Лист3"/>
      <sheetName val="Аналіз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3">
          <cell r="AQ23">
            <v>7170</v>
          </cell>
        </row>
        <row r="27">
          <cell r="AQ27">
            <v>135000</v>
          </cell>
        </row>
        <row r="46">
          <cell r="AQ46">
            <v>214000</v>
          </cell>
        </row>
        <row r="53">
          <cell r="AQ53">
            <v>158100</v>
          </cell>
        </row>
        <row r="59">
          <cell r="AQ59">
            <v>996033</v>
          </cell>
        </row>
        <row r="62">
          <cell r="AQ62">
            <v>200000</v>
          </cell>
        </row>
        <row r="66">
          <cell r="AQ66">
            <v>750000</v>
          </cell>
        </row>
        <row r="70">
          <cell r="AQ70">
            <v>2000</v>
          </cell>
        </row>
        <row r="73">
          <cell r="AQ73">
            <v>80000</v>
          </cell>
        </row>
        <row r="76">
          <cell r="AQ76">
            <v>958900</v>
          </cell>
        </row>
        <row r="80">
          <cell r="AQ80">
            <v>77000</v>
          </cell>
        </row>
        <row r="82">
          <cell r="AQ82">
            <v>100000</v>
          </cell>
        </row>
        <row r="87">
          <cell r="AQ87">
            <v>165000</v>
          </cell>
        </row>
        <row r="92">
          <cell r="AQ92">
            <v>370414</v>
          </cell>
        </row>
        <row r="94">
          <cell r="AQ94">
            <v>92750</v>
          </cell>
        </row>
        <row r="98">
          <cell r="AQ98">
            <v>2930014</v>
          </cell>
        </row>
        <row r="104">
          <cell r="AQ104">
            <v>25000</v>
          </cell>
        </row>
        <row r="106">
          <cell r="AQ106">
            <v>761650</v>
          </cell>
        </row>
        <row r="114">
          <cell r="AQ114">
            <v>48786</v>
          </cell>
        </row>
        <row r="115">
          <cell r="AQ115">
            <v>1231714</v>
          </cell>
        </row>
        <row r="228">
          <cell r="AQ228">
            <v>4616430.26</v>
          </cell>
        </row>
        <row r="241">
          <cell r="AQ241">
            <v>32681</v>
          </cell>
        </row>
        <row r="356">
          <cell r="AQ356">
            <v>165000</v>
          </cell>
        </row>
        <row r="364">
          <cell r="AQ364">
            <v>355948</v>
          </cell>
        </row>
        <row r="367">
          <cell r="AQ367">
            <v>500</v>
          </cell>
        </row>
        <row r="371">
          <cell r="AQ371">
            <v>208907</v>
          </cell>
        </row>
        <row r="373">
          <cell r="AQ373">
            <v>126988</v>
          </cell>
        </row>
        <row r="395">
          <cell r="AQ395">
            <v>499.49</v>
          </cell>
        </row>
        <row r="397">
          <cell r="AQ397">
            <v>165000</v>
          </cell>
        </row>
        <row r="400">
          <cell r="AQ400">
            <v>48731</v>
          </cell>
        </row>
        <row r="403">
          <cell r="AQ403">
            <v>1722880</v>
          </cell>
        </row>
        <row r="408">
          <cell r="AQ408">
            <v>231450</v>
          </cell>
        </row>
        <row r="410">
          <cell r="AQ410">
            <v>6009400</v>
          </cell>
        </row>
        <row r="425">
          <cell r="AQ425">
            <v>175670</v>
          </cell>
        </row>
        <row r="428">
          <cell r="AQ428">
            <v>1999099</v>
          </cell>
        </row>
        <row r="443">
          <cell r="AQ443">
            <v>0</v>
          </cell>
        </row>
        <row r="448">
          <cell r="AQ448">
            <v>2717680</v>
          </cell>
        </row>
        <row r="450">
          <cell r="AQ450">
            <v>624290</v>
          </cell>
        </row>
        <row r="452">
          <cell r="AQ452">
            <v>560000</v>
          </cell>
        </row>
        <row r="469">
          <cell r="AQ469">
            <v>51873</v>
          </cell>
        </row>
        <row r="473">
          <cell r="AQ473">
            <v>200500</v>
          </cell>
        </row>
        <row r="477">
          <cell r="AQ477">
            <v>3820000</v>
          </cell>
        </row>
        <row r="479">
          <cell r="AQ479">
            <v>19810536</v>
          </cell>
        </row>
        <row r="487">
          <cell r="AQ487">
            <v>7273142</v>
          </cell>
        </row>
        <row r="491">
          <cell r="AQ491">
            <v>719000</v>
          </cell>
        </row>
        <row r="503">
          <cell r="AQ503">
            <v>50000</v>
          </cell>
        </row>
        <row r="513">
          <cell r="AQ513">
            <v>40000</v>
          </cell>
        </row>
        <row r="532">
          <cell r="AQ532">
            <v>22000</v>
          </cell>
        </row>
        <row r="540">
          <cell r="AQ540">
            <v>544800</v>
          </cell>
        </row>
        <row r="547">
          <cell r="AQ547">
            <v>150000</v>
          </cell>
        </row>
        <row r="610">
          <cell r="AQ610">
            <v>0</v>
          </cell>
        </row>
        <row r="636">
          <cell r="AQ636">
            <v>67962</v>
          </cell>
        </row>
        <row r="639">
          <cell r="AQ639">
            <v>0</v>
          </cell>
        </row>
        <row r="643">
          <cell r="AQ643">
            <v>291294942.87999994</v>
          </cell>
        </row>
        <row r="656">
          <cell r="AP656">
            <v>41874.877070000002</v>
          </cell>
        </row>
        <row r="657">
          <cell r="AP657">
            <v>160444.60316999996</v>
          </cell>
        </row>
        <row r="658">
          <cell r="AP658">
            <v>20085.75189</v>
          </cell>
        </row>
        <row r="660">
          <cell r="AP660">
            <v>7306.6629999999996</v>
          </cell>
        </row>
        <row r="661">
          <cell r="AP661">
            <v>6407.3302599999997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Аналіз фінансування установ"/>
    </sheetNames>
    <sheetDataSet>
      <sheetData sheetId="0">
        <row r="32">
          <cell r="G32">
            <v>636000</v>
          </cell>
          <cell r="H32">
            <v>105000</v>
          </cell>
          <cell r="I32">
            <v>105000</v>
          </cell>
          <cell r="K32">
            <v>125000</v>
          </cell>
        </row>
        <row r="42">
          <cell r="G42">
            <v>230000</v>
          </cell>
          <cell r="H42">
            <v>195000</v>
          </cell>
          <cell r="I42">
            <v>195000</v>
          </cell>
          <cell r="K42">
            <v>200000</v>
          </cell>
        </row>
        <row r="48">
          <cell r="G48">
            <v>320000</v>
          </cell>
          <cell r="H48">
            <v>380000</v>
          </cell>
          <cell r="I48">
            <v>580000</v>
          </cell>
          <cell r="K48">
            <v>550000</v>
          </cell>
        </row>
        <row r="53">
          <cell r="G53">
            <v>1382500</v>
          </cell>
          <cell r="H53">
            <v>1566700</v>
          </cell>
          <cell r="I53">
            <v>0</v>
          </cell>
          <cell r="K53">
            <v>0</v>
          </cell>
        </row>
        <row r="56">
          <cell r="G56">
            <v>280000</v>
          </cell>
          <cell r="H56">
            <v>300000</v>
          </cell>
          <cell r="I56">
            <v>300000</v>
          </cell>
          <cell r="K56">
            <v>300000</v>
          </cell>
        </row>
        <row r="58">
          <cell r="H58">
            <v>0</v>
          </cell>
        </row>
        <row r="60">
          <cell r="G60">
            <v>0</v>
          </cell>
          <cell r="H60">
            <v>300000</v>
          </cell>
          <cell r="I60">
            <v>295500</v>
          </cell>
          <cell r="K60">
            <v>302250</v>
          </cell>
        </row>
        <row r="71">
          <cell r="G71">
            <v>567880</v>
          </cell>
          <cell r="H71">
            <v>900000</v>
          </cell>
          <cell r="I71">
            <v>1135000</v>
          </cell>
          <cell r="K71">
            <v>1150000</v>
          </cell>
        </row>
        <row r="74">
          <cell r="G74">
            <v>98300</v>
          </cell>
          <cell r="H74">
            <v>200000</v>
          </cell>
          <cell r="I74">
            <v>280722</v>
          </cell>
          <cell r="K74">
            <v>300000</v>
          </cell>
        </row>
        <row r="77">
          <cell r="G77">
            <v>0</v>
          </cell>
          <cell r="H77">
            <v>20000</v>
          </cell>
          <cell r="I77">
            <v>4278</v>
          </cell>
          <cell r="K77">
            <v>25000</v>
          </cell>
        </row>
        <row r="79">
          <cell r="G79">
            <v>1438000</v>
          </cell>
          <cell r="H79">
            <v>1539652</v>
          </cell>
          <cell r="I79">
            <v>2189652</v>
          </cell>
          <cell r="K79">
            <v>1610840</v>
          </cell>
        </row>
        <row r="84">
          <cell r="I84">
            <v>49044</v>
          </cell>
        </row>
        <row r="85">
          <cell r="G85">
            <v>1901491</v>
          </cell>
          <cell r="H85">
            <v>0</v>
          </cell>
          <cell r="I85">
            <v>250000</v>
          </cell>
        </row>
        <row r="91">
          <cell r="G91">
            <v>30000</v>
          </cell>
          <cell r="H91">
            <v>0</v>
          </cell>
          <cell r="K91">
            <v>0</v>
          </cell>
        </row>
        <row r="93">
          <cell r="G93">
            <v>120200</v>
          </cell>
          <cell r="H93">
            <v>120200</v>
          </cell>
          <cell r="I93">
            <v>252728</v>
          </cell>
          <cell r="K93">
            <v>130130</v>
          </cell>
        </row>
        <row r="96">
          <cell r="I96">
            <v>40000</v>
          </cell>
          <cell r="K96">
            <v>20000</v>
          </cell>
        </row>
        <row r="98">
          <cell r="G98">
            <v>382800</v>
          </cell>
          <cell r="H98">
            <v>507000</v>
          </cell>
          <cell r="I98">
            <v>376980</v>
          </cell>
          <cell r="K98">
            <v>390000</v>
          </cell>
        </row>
        <row r="103">
          <cell r="G103">
            <v>582000</v>
          </cell>
          <cell r="H103">
            <v>400000</v>
          </cell>
          <cell r="I103">
            <v>700000</v>
          </cell>
          <cell r="K103">
            <v>500000</v>
          </cell>
        </row>
        <row r="107">
          <cell r="G107">
            <v>150000</v>
          </cell>
          <cell r="H107">
            <v>150000</v>
          </cell>
          <cell r="I107">
            <v>150000</v>
          </cell>
          <cell r="K107">
            <v>150000</v>
          </cell>
        </row>
        <row r="110">
          <cell r="G110">
            <v>3249000</v>
          </cell>
          <cell r="H110">
            <v>1500000</v>
          </cell>
          <cell r="I110">
            <v>7622648.9900000002</v>
          </cell>
          <cell r="K110">
            <v>1500000</v>
          </cell>
        </row>
        <row r="117">
          <cell r="G117">
            <v>390000</v>
          </cell>
          <cell r="H117">
            <v>560000</v>
          </cell>
          <cell r="I117">
            <v>560000</v>
          </cell>
          <cell r="K117">
            <v>650000</v>
          </cell>
        </row>
        <row r="119">
          <cell r="G119">
            <v>0</v>
          </cell>
          <cell r="H119">
            <v>220900</v>
          </cell>
          <cell r="I119">
            <v>220900</v>
          </cell>
          <cell r="K119">
            <v>250900</v>
          </cell>
        </row>
        <row r="121">
          <cell r="H121">
            <v>0</v>
          </cell>
          <cell r="I121">
            <v>500000</v>
          </cell>
        </row>
        <row r="123">
          <cell r="G123">
            <v>913500</v>
          </cell>
          <cell r="H123">
            <v>0</v>
          </cell>
          <cell r="I123">
            <v>2589894</v>
          </cell>
        </row>
        <row r="243">
          <cell r="G243">
            <v>137520</v>
          </cell>
          <cell r="H243">
            <v>0</v>
          </cell>
        </row>
        <row r="246">
          <cell r="G246">
            <v>8220124</v>
          </cell>
          <cell r="H246">
            <v>8611200</v>
          </cell>
          <cell r="I246">
            <v>9155247.5</v>
          </cell>
          <cell r="K246">
            <v>9245000</v>
          </cell>
        </row>
        <row r="260">
          <cell r="G260">
            <v>57610</v>
          </cell>
          <cell r="H260">
            <v>60000</v>
          </cell>
          <cell r="I260">
            <v>55000</v>
          </cell>
          <cell r="K260">
            <v>122000</v>
          </cell>
        </row>
        <row r="264">
          <cell r="G264">
            <v>996750.12</v>
          </cell>
          <cell r="H264">
            <v>0</v>
          </cell>
          <cell r="I264">
            <v>244686.21</v>
          </cell>
          <cell r="K264">
            <v>200000</v>
          </cell>
        </row>
        <row r="270">
          <cell r="G270">
            <v>4510456</v>
          </cell>
          <cell r="H270">
            <v>0</v>
          </cell>
          <cell r="K270">
            <v>0</v>
          </cell>
        </row>
        <row r="307">
          <cell r="G307">
            <v>554219</v>
          </cell>
          <cell r="H307">
            <v>429909</v>
          </cell>
          <cell r="I307">
            <v>429909</v>
          </cell>
          <cell r="K307">
            <v>429000</v>
          </cell>
        </row>
        <row r="313">
          <cell r="H313">
            <v>0</v>
          </cell>
        </row>
        <row r="315">
          <cell r="G315">
            <v>7213575</v>
          </cell>
          <cell r="H315">
            <v>7000000</v>
          </cell>
          <cell r="I315">
            <v>11555654</v>
          </cell>
        </row>
        <row r="317">
          <cell r="G317">
            <v>673800</v>
          </cell>
          <cell r="H317">
            <v>700000</v>
          </cell>
          <cell r="I317">
            <v>700000</v>
          </cell>
          <cell r="K317">
            <v>750000</v>
          </cell>
        </row>
        <row r="319">
          <cell r="G319">
            <v>402500</v>
          </cell>
          <cell r="H319">
            <v>0</v>
          </cell>
          <cell r="I319">
            <v>523000</v>
          </cell>
        </row>
        <row r="321">
          <cell r="G321">
            <v>0</v>
          </cell>
          <cell r="H321">
            <v>0</v>
          </cell>
          <cell r="I321">
            <v>790443</v>
          </cell>
        </row>
        <row r="323">
          <cell r="G323">
            <v>208878</v>
          </cell>
          <cell r="H323">
            <v>0</v>
          </cell>
          <cell r="I323">
            <v>271500</v>
          </cell>
        </row>
        <row r="325">
          <cell r="G325">
            <v>17903670</v>
          </cell>
          <cell r="H325">
            <v>18282000</v>
          </cell>
          <cell r="I325">
            <v>18440000</v>
          </cell>
          <cell r="K325">
            <v>19366400</v>
          </cell>
        </row>
        <row r="338">
          <cell r="G338">
            <v>2952670</v>
          </cell>
          <cell r="H338">
            <v>2986000</v>
          </cell>
          <cell r="I338">
            <v>3153880</v>
          </cell>
          <cell r="K338">
            <v>3310000</v>
          </cell>
        </row>
        <row r="351">
          <cell r="G351">
            <v>2032302</v>
          </cell>
          <cell r="H351">
            <v>2300000</v>
          </cell>
          <cell r="I351">
            <v>2537383</v>
          </cell>
          <cell r="K351">
            <v>3100000</v>
          </cell>
        </row>
        <row r="363">
          <cell r="I363">
            <v>472050</v>
          </cell>
          <cell r="K363">
            <v>0</v>
          </cell>
        </row>
        <row r="367">
          <cell r="G367">
            <v>2767074</v>
          </cell>
          <cell r="H367">
            <v>3060670</v>
          </cell>
          <cell r="I367">
            <v>4260670</v>
          </cell>
          <cell r="K367">
            <v>3616160</v>
          </cell>
        </row>
        <row r="372">
          <cell r="G372">
            <v>69958</v>
          </cell>
          <cell r="H372">
            <v>75640</v>
          </cell>
          <cell r="I372">
            <v>75640</v>
          </cell>
          <cell r="K372">
            <v>108092</v>
          </cell>
        </row>
        <row r="375">
          <cell r="G375">
            <v>180000</v>
          </cell>
          <cell r="H375">
            <v>99000</v>
          </cell>
          <cell r="I375">
            <v>99000</v>
          </cell>
          <cell r="K375">
            <v>100000</v>
          </cell>
        </row>
        <row r="383">
          <cell r="G383">
            <v>4648254</v>
          </cell>
          <cell r="H383">
            <v>5050000</v>
          </cell>
          <cell r="I383">
            <v>7900797.5</v>
          </cell>
          <cell r="K383">
            <v>5596500</v>
          </cell>
        </row>
        <row r="384">
          <cell r="G384">
            <v>550000</v>
          </cell>
          <cell r="H384">
            <v>550000</v>
          </cell>
          <cell r="I384">
            <v>550000</v>
          </cell>
          <cell r="K384">
            <v>400000</v>
          </cell>
        </row>
        <row r="385">
          <cell r="G385">
            <v>66000</v>
          </cell>
          <cell r="H385">
            <v>200000</v>
          </cell>
          <cell r="I385">
            <v>158787.5</v>
          </cell>
          <cell r="K385">
            <v>196500</v>
          </cell>
        </row>
        <row r="386">
          <cell r="G386">
            <v>4032254</v>
          </cell>
          <cell r="H386">
            <v>4300000</v>
          </cell>
          <cell r="I386">
            <v>7192010</v>
          </cell>
        </row>
        <row r="387">
          <cell r="G387">
            <v>445000</v>
          </cell>
          <cell r="H387">
            <v>245328</v>
          </cell>
          <cell r="I387">
            <v>710328</v>
          </cell>
          <cell r="K387">
            <v>390600</v>
          </cell>
        </row>
        <row r="479">
          <cell r="G479">
            <v>420000</v>
          </cell>
          <cell r="H479">
            <v>300000</v>
          </cell>
          <cell r="I479">
            <v>1170335</v>
          </cell>
          <cell r="K479">
            <v>350000</v>
          </cell>
        </row>
        <row r="484">
          <cell r="G484">
            <v>7595000</v>
          </cell>
          <cell r="H484">
            <v>200000</v>
          </cell>
          <cell r="I484">
            <v>8967999</v>
          </cell>
          <cell r="K484">
            <v>18786250</v>
          </cell>
        </row>
        <row r="486">
          <cell r="G486">
            <v>26275089</v>
          </cell>
          <cell r="H486">
            <v>31143903</v>
          </cell>
          <cell r="I486">
            <v>32639670</v>
          </cell>
        </row>
        <row r="492">
          <cell r="G492">
            <v>148000</v>
          </cell>
          <cell r="H492">
            <v>148000</v>
          </cell>
          <cell r="I492">
            <v>0</v>
          </cell>
          <cell r="K492">
            <v>0</v>
          </cell>
        </row>
        <row r="495">
          <cell r="G495">
            <v>397000</v>
          </cell>
          <cell r="H495">
            <v>40000</v>
          </cell>
          <cell r="I495">
            <v>110385.66</v>
          </cell>
        </row>
        <row r="499">
          <cell r="G499">
            <v>31456600</v>
          </cell>
          <cell r="H499">
            <v>29439839</v>
          </cell>
          <cell r="I499">
            <v>33421939</v>
          </cell>
          <cell r="K499">
            <v>32226600</v>
          </cell>
        </row>
        <row r="503">
          <cell r="G503">
            <v>100000</v>
          </cell>
          <cell r="H503">
            <v>130000</v>
          </cell>
          <cell r="I503">
            <v>36000</v>
          </cell>
          <cell r="K503">
            <v>50000</v>
          </cell>
        </row>
        <row r="506">
          <cell r="G506">
            <v>1000500</v>
          </cell>
          <cell r="H506">
            <v>1073000</v>
          </cell>
          <cell r="I506">
            <v>1177800</v>
          </cell>
          <cell r="K506">
            <v>1253500</v>
          </cell>
        </row>
        <row r="521">
          <cell r="I521">
            <v>36000</v>
          </cell>
          <cell r="K521">
            <v>0</v>
          </cell>
        </row>
        <row r="523">
          <cell r="G523">
            <v>9205000</v>
          </cell>
          <cell r="H523">
            <v>0</v>
          </cell>
          <cell r="I523">
            <v>9254790</v>
          </cell>
          <cell r="K523">
            <v>0</v>
          </cell>
        </row>
        <row r="525">
          <cell r="G525">
            <v>5000000</v>
          </cell>
          <cell r="H525">
            <v>0</v>
          </cell>
          <cell r="I525">
            <v>1000000</v>
          </cell>
          <cell r="K525">
            <v>0</v>
          </cell>
        </row>
        <row r="538">
          <cell r="G538">
            <v>290000</v>
          </cell>
          <cell r="H538">
            <v>250000</v>
          </cell>
          <cell r="I538">
            <v>481555.56</v>
          </cell>
        </row>
        <row r="541">
          <cell r="G541">
            <v>3746165</v>
          </cell>
          <cell r="H541">
            <v>3521000</v>
          </cell>
          <cell r="I541">
            <v>4558764.5</v>
          </cell>
        </row>
        <row r="550">
          <cell r="G550">
            <v>580000</v>
          </cell>
          <cell r="H550">
            <v>80000</v>
          </cell>
          <cell r="I550">
            <v>1203440</v>
          </cell>
          <cell r="K550">
            <v>100000</v>
          </cell>
        </row>
        <row r="552">
          <cell r="G552">
            <v>475000</v>
          </cell>
          <cell r="H552">
            <v>0</v>
          </cell>
          <cell r="I552">
            <v>425000</v>
          </cell>
          <cell r="K552">
            <v>0</v>
          </cell>
        </row>
        <row r="567">
          <cell r="G567">
            <v>930000</v>
          </cell>
          <cell r="H567">
            <v>0</v>
          </cell>
          <cell r="I567">
            <v>0</v>
          </cell>
          <cell r="K567">
            <v>0</v>
          </cell>
        </row>
        <row r="569">
          <cell r="G569">
            <v>2418868</v>
          </cell>
          <cell r="H569">
            <v>3000000</v>
          </cell>
          <cell r="I569">
            <v>1770593.56</v>
          </cell>
          <cell r="K569">
            <v>3000000</v>
          </cell>
        </row>
        <row r="586">
          <cell r="G586">
            <v>79429943</v>
          </cell>
          <cell r="H586">
            <v>76942000</v>
          </cell>
          <cell r="I586">
            <v>77809214</v>
          </cell>
          <cell r="K586">
            <v>80403698</v>
          </cell>
        </row>
        <row r="587">
          <cell r="G587">
            <v>335991857.63</v>
          </cell>
          <cell r="H587">
            <v>198131300</v>
          </cell>
          <cell r="I587">
            <v>358807536.05245662</v>
          </cell>
        </row>
        <row r="588">
          <cell r="G588">
            <v>24952712.5</v>
          </cell>
          <cell r="H588">
            <v>25900000</v>
          </cell>
          <cell r="I588">
            <v>35568805.380000003</v>
          </cell>
          <cell r="K588">
            <v>29500000</v>
          </cell>
        </row>
        <row r="589">
          <cell r="G589">
            <v>41430201</v>
          </cell>
          <cell r="H589">
            <v>42676843</v>
          </cell>
          <cell r="I589">
            <v>52508250.5</v>
          </cell>
        </row>
        <row r="590">
          <cell r="G590">
            <v>29810770</v>
          </cell>
          <cell r="H590">
            <v>31367265</v>
          </cell>
          <cell r="I590">
            <v>33647877</v>
          </cell>
          <cell r="K590">
            <v>33439330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Аналіз фінансування установ"/>
    </sheetNames>
    <sheetDataSet>
      <sheetData sheetId="0" refreshError="1">
        <row r="32">
          <cell r="K32">
            <v>0</v>
          </cell>
          <cell r="M32">
            <v>170000</v>
          </cell>
        </row>
        <row r="42">
          <cell r="K42">
            <v>180000</v>
          </cell>
        </row>
        <row r="48">
          <cell r="K48">
            <v>527020</v>
          </cell>
          <cell r="M48">
            <v>550000</v>
          </cell>
        </row>
        <row r="53">
          <cell r="K53">
            <v>0</v>
          </cell>
          <cell r="M53">
            <v>0</v>
          </cell>
        </row>
        <row r="56">
          <cell r="K56">
            <v>300000</v>
          </cell>
          <cell r="M56">
            <v>300000</v>
          </cell>
        </row>
        <row r="60">
          <cell r="K60">
            <v>300000</v>
          </cell>
          <cell r="M60">
            <v>300000</v>
          </cell>
        </row>
        <row r="71">
          <cell r="K71">
            <v>1550000</v>
          </cell>
          <cell r="M71">
            <v>1269000</v>
          </cell>
        </row>
        <row r="74">
          <cell r="K74">
            <v>300000</v>
          </cell>
          <cell r="M74">
            <v>300000</v>
          </cell>
        </row>
        <row r="77">
          <cell r="K77">
            <v>25000</v>
          </cell>
          <cell r="M77">
            <v>21000</v>
          </cell>
        </row>
        <row r="79">
          <cell r="K79">
            <v>1889640</v>
          </cell>
          <cell r="M79">
            <v>1900000</v>
          </cell>
        </row>
        <row r="81">
          <cell r="K81">
            <v>72762</v>
          </cell>
          <cell r="M81">
            <v>0</v>
          </cell>
        </row>
        <row r="83">
          <cell r="K83">
            <v>0</v>
          </cell>
          <cell r="M83">
            <v>400000</v>
          </cell>
        </row>
        <row r="92">
          <cell r="K92">
            <v>191236</v>
          </cell>
          <cell r="M92">
            <v>180210</v>
          </cell>
        </row>
        <row r="95">
          <cell r="K95">
            <v>25000</v>
          </cell>
          <cell r="M95">
            <v>30000</v>
          </cell>
        </row>
        <row r="97">
          <cell r="K97">
            <v>480000</v>
          </cell>
          <cell r="M97">
            <v>470000</v>
          </cell>
        </row>
        <row r="100">
          <cell r="K100">
            <v>1296680</v>
          </cell>
          <cell r="M100">
            <v>1000000</v>
          </cell>
        </row>
        <row r="104">
          <cell r="K104">
            <v>50000</v>
          </cell>
          <cell r="M104">
            <v>150000</v>
          </cell>
        </row>
        <row r="107">
          <cell r="K107">
            <v>3490000</v>
          </cell>
          <cell r="M107">
            <v>1705000</v>
          </cell>
        </row>
        <row r="114">
          <cell r="K114">
            <v>650000</v>
          </cell>
          <cell r="M114">
            <v>700000</v>
          </cell>
        </row>
        <row r="116">
          <cell r="K116">
            <v>230360</v>
          </cell>
          <cell r="M116">
            <v>250000</v>
          </cell>
        </row>
        <row r="118">
          <cell r="K118">
            <v>224160</v>
          </cell>
        </row>
        <row r="120">
          <cell r="K120">
            <v>5365253.5</v>
          </cell>
          <cell r="M120">
            <v>0</v>
          </cell>
        </row>
        <row r="248">
          <cell r="K248">
            <v>9540429</v>
          </cell>
          <cell r="M248">
            <v>9800000</v>
          </cell>
        </row>
        <row r="262">
          <cell r="K262">
            <v>93930</v>
          </cell>
          <cell r="M262">
            <v>30000</v>
          </cell>
        </row>
        <row r="266">
          <cell r="K266">
            <v>192000</v>
          </cell>
          <cell r="M266">
            <v>200000</v>
          </cell>
        </row>
        <row r="272">
          <cell r="K272">
            <v>383619</v>
          </cell>
          <cell r="M272">
            <v>0</v>
          </cell>
        </row>
        <row r="313">
          <cell r="K313">
            <v>0</v>
          </cell>
          <cell r="M313">
            <v>480000</v>
          </cell>
        </row>
        <row r="321">
          <cell r="J321">
            <v>7494280</v>
          </cell>
          <cell r="K321">
            <v>14494280</v>
          </cell>
          <cell r="M321">
            <v>10000000</v>
          </cell>
        </row>
        <row r="323">
          <cell r="K323">
            <v>750000</v>
          </cell>
          <cell r="M323">
            <v>800000</v>
          </cell>
        </row>
        <row r="325">
          <cell r="J325">
            <v>431154</v>
          </cell>
          <cell r="K325">
            <v>573111</v>
          </cell>
          <cell r="M325">
            <v>0</v>
          </cell>
        </row>
        <row r="327">
          <cell r="J327">
            <v>466500</v>
          </cell>
          <cell r="K327">
            <v>753500</v>
          </cell>
          <cell r="M327">
            <v>0</v>
          </cell>
        </row>
        <row r="329">
          <cell r="J329">
            <v>319200</v>
          </cell>
          <cell r="K329">
            <v>459200</v>
          </cell>
          <cell r="M329">
            <v>0</v>
          </cell>
        </row>
        <row r="331">
          <cell r="K331">
            <v>19404400</v>
          </cell>
          <cell r="M331">
            <v>19545000</v>
          </cell>
        </row>
        <row r="344">
          <cell r="K344">
            <v>3684625</v>
          </cell>
          <cell r="M344">
            <v>3530000</v>
          </cell>
        </row>
        <row r="357">
          <cell r="K357">
            <v>2729509.3800000004</v>
          </cell>
          <cell r="M357">
            <v>2917782</v>
          </cell>
        </row>
        <row r="369">
          <cell r="K369">
            <v>731470</v>
          </cell>
          <cell r="M369">
            <v>1259420</v>
          </cell>
        </row>
        <row r="380">
          <cell r="K380">
            <v>6616160</v>
          </cell>
          <cell r="M380">
            <v>4500410</v>
          </cell>
        </row>
        <row r="383">
          <cell r="J383">
            <v>900</v>
          </cell>
          <cell r="K383">
            <v>900</v>
          </cell>
          <cell r="M383">
            <v>0</v>
          </cell>
        </row>
        <row r="385">
          <cell r="J385">
            <v>0</v>
          </cell>
          <cell r="K385">
            <v>141630</v>
          </cell>
          <cell r="M385">
            <v>380000</v>
          </cell>
        </row>
        <row r="390">
          <cell r="K390">
            <v>97735</v>
          </cell>
          <cell r="M390">
            <v>159826</v>
          </cell>
        </row>
        <row r="393">
          <cell r="K393">
            <v>0</v>
          </cell>
          <cell r="M393">
            <v>49500</v>
          </cell>
        </row>
        <row r="396">
          <cell r="K396">
            <v>14083624.620000001</v>
          </cell>
          <cell r="M396">
            <v>10582602</v>
          </cell>
        </row>
        <row r="398">
          <cell r="K398">
            <v>175000</v>
          </cell>
          <cell r="M398">
            <v>400000</v>
          </cell>
        </row>
        <row r="399">
          <cell r="K399">
            <v>90000</v>
          </cell>
          <cell r="M399">
            <v>200000</v>
          </cell>
        </row>
        <row r="400">
          <cell r="J400">
            <v>5360000</v>
          </cell>
          <cell r="K400">
            <v>13790624.620000001</v>
          </cell>
          <cell r="M400">
            <v>9942602</v>
          </cell>
        </row>
        <row r="401">
          <cell r="K401">
            <v>390600</v>
          </cell>
          <cell r="M401">
            <v>334000</v>
          </cell>
        </row>
        <row r="403">
          <cell r="K403">
            <v>0</v>
          </cell>
          <cell r="M403">
            <v>49220</v>
          </cell>
        </row>
        <row r="417">
          <cell r="M417">
            <v>180000</v>
          </cell>
        </row>
        <row r="421">
          <cell r="K421">
            <v>0</v>
          </cell>
          <cell r="M421">
            <v>75700</v>
          </cell>
        </row>
        <row r="497">
          <cell r="K497">
            <v>0</v>
          </cell>
          <cell r="M497">
            <v>100000</v>
          </cell>
        </row>
        <row r="512">
          <cell r="K512">
            <v>130000</v>
          </cell>
          <cell r="M512">
            <v>150000</v>
          </cell>
        </row>
        <row r="515">
          <cell r="K515">
            <v>651158</v>
          </cell>
          <cell r="M515">
            <v>350000</v>
          </cell>
        </row>
        <row r="520">
          <cell r="M520">
            <v>21500000</v>
          </cell>
        </row>
        <row r="521">
          <cell r="K521">
            <v>16820258</v>
          </cell>
        </row>
        <row r="522">
          <cell r="J522">
            <v>31817850</v>
          </cell>
          <cell r="K522">
            <v>39304950</v>
          </cell>
          <cell r="M522">
            <v>40704000</v>
          </cell>
        </row>
        <row r="528">
          <cell r="J528">
            <v>0</v>
          </cell>
          <cell r="K528">
            <v>0</v>
          </cell>
          <cell r="M528">
            <v>0</v>
          </cell>
        </row>
        <row r="531">
          <cell r="J531">
            <v>0</v>
          </cell>
          <cell r="K531">
            <v>61000</v>
          </cell>
          <cell r="M531">
            <v>0</v>
          </cell>
        </row>
        <row r="535">
          <cell r="K535">
            <v>44984500</v>
          </cell>
          <cell r="M535">
            <v>35300000</v>
          </cell>
        </row>
        <row r="539">
          <cell r="M539">
            <v>200000</v>
          </cell>
        </row>
        <row r="542">
          <cell r="K542">
            <v>43200</v>
          </cell>
          <cell r="M542">
            <v>40000</v>
          </cell>
        </row>
        <row r="545">
          <cell r="K545">
            <v>1491100</v>
          </cell>
          <cell r="M545">
            <v>1545000</v>
          </cell>
        </row>
        <row r="557">
          <cell r="K557">
            <v>250000</v>
          </cell>
          <cell r="M557">
            <v>0</v>
          </cell>
        </row>
        <row r="559">
          <cell r="J559">
            <v>0</v>
          </cell>
          <cell r="K559">
            <v>0</v>
          </cell>
          <cell r="M559">
            <v>0</v>
          </cell>
        </row>
        <row r="562">
          <cell r="J562">
            <v>0</v>
          </cell>
          <cell r="K562">
            <v>0</v>
          </cell>
          <cell r="M562">
            <v>0</v>
          </cell>
        </row>
        <row r="564">
          <cell r="K564">
            <v>7618000</v>
          </cell>
          <cell r="M564">
            <v>0</v>
          </cell>
        </row>
        <row r="566">
          <cell r="K566">
            <v>3304742</v>
          </cell>
          <cell r="M566">
            <v>0</v>
          </cell>
        </row>
        <row r="579">
          <cell r="J579">
            <v>310000</v>
          </cell>
          <cell r="K579">
            <v>170000</v>
          </cell>
          <cell r="M579">
            <v>170000</v>
          </cell>
        </row>
        <row r="582">
          <cell r="J582">
            <v>4403720</v>
          </cell>
          <cell r="K582">
            <v>2977006</v>
          </cell>
          <cell r="M582">
            <v>2420000</v>
          </cell>
        </row>
        <row r="591">
          <cell r="K591">
            <v>350000</v>
          </cell>
          <cell r="M591">
            <v>100000</v>
          </cell>
        </row>
        <row r="593">
          <cell r="M593">
            <v>50000</v>
          </cell>
        </row>
        <row r="595">
          <cell r="K595">
            <v>200000</v>
          </cell>
          <cell r="M595">
            <v>0</v>
          </cell>
        </row>
        <row r="597">
          <cell r="K597">
            <v>0</v>
          </cell>
          <cell r="M597">
            <v>0</v>
          </cell>
        </row>
        <row r="612">
          <cell r="K612">
            <v>0</v>
          </cell>
          <cell r="M612">
            <v>95000</v>
          </cell>
        </row>
        <row r="618">
          <cell r="K618">
            <v>439300</v>
          </cell>
          <cell r="M618">
            <v>3000000</v>
          </cell>
        </row>
        <row r="619">
          <cell r="M619">
            <v>587287200</v>
          </cell>
        </row>
        <row r="634">
          <cell r="K634">
            <v>94005912.829999998</v>
          </cell>
          <cell r="M634">
            <v>107630640</v>
          </cell>
        </row>
        <row r="635">
          <cell r="J635">
            <v>370182766</v>
          </cell>
          <cell r="K635">
            <v>399910126.16999996</v>
          </cell>
          <cell r="M635">
            <v>221423110</v>
          </cell>
        </row>
        <row r="636">
          <cell r="K636">
            <v>40603473</v>
          </cell>
          <cell r="M636">
            <v>41210000</v>
          </cell>
        </row>
        <row r="637">
          <cell r="J637">
            <v>46752536</v>
          </cell>
          <cell r="K637">
            <v>66288265</v>
          </cell>
          <cell r="M637">
            <v>55374540</v>
          </cell>
        </row>
        <row r="638">
          <cell r="K638">
            <v>35885751.5</v>
          </cell>
          <cell r="M638">
            <v>36480000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03"/>
  <sheetViews>
    <sheetView tabSelected="1" view="pageBreakPreview" topLeftCell="A7" zoomScale="80" zoomScaleNormal="90" zoomScaleSheetLayoutView="80" workbookViewId="0">
      <selection activeCell="Z63" sqref="Z63"/>
    </sheetView>
  </sheetViews>
  <sheetFormatPr defaultRowHeight="15"/>
  <cols>
    <col min="1" max="1" width="43.28515625" customWidth="1"/>
    <col min="2" max="2" width="0.140625" customWidth="1"/>
    <col min="3" max="11" width="9.140625" hidden="1" customWidth="1"/>
    <col min="12" max="12" width="0.28515625" hidden="1" customWidth="1"/>
    <col min="13" max="13" width="17.42578125" hidden="1" customWidth="1"/>
    <col min="14" max="14" width="19.140625" hidden="1" customWidth="1"/>
    <col min="15" max="15" width="17.7109375" hidden="1" customWidth="1"/>
    <col min="16" max="16" width="19.7109375" hidden="1" customWidth="1"/>
    <col min="17" max="19" width="20.85546875" hidden="1" customWidth="1"/>
    <col min="20" max="20" width="20.85546875" customWidth="1"/>
    <col min="21" max="21" width="18.42578125" customWidth="1"/>
    <col min="22" max="22" width="19.7109375" customWidth="1"/>
    <col min="23" max="23" width="18" customWidth="1"/>
    <col min="24" max="26" width="20.28515625" customWidth="1"/>
    <col min="27" max="27" width="17.7109375" customWidth="1"/>
    <col min="28" max="28" width="16" customWidth="1"/>
    <col min="29" max="29" width="18.42578125" hidden="1" customWidth="1"/>
    <col min="30" max="30" width="18.140625" hidden="1" customWidth="1"/>
    <col min="31" max="31" width="17.85546875" customWidth="1"/>
    <col min="32" max="32" width="18.7109375" customWidth="1"/>
  </cols>
  <sheetData>
    <row r="1" spans="1:32" ht="22.5">
      <c r="A1" s="106" t="s">
        <v>97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77"/>
      <c r="AD1" s="77"/>
      <c r="AF1" s="94" t="s">
        <v>93</v>
      </c>
    </row>
    <row r="2" spans="1:32" ht="20.25">
      <c r="A2" s="2"/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5"/>
      <c r="AA2" s="6"/>
      <c r="AB2" s="6"/>
      <c r="AC2" s="7">
        <v>106.7</v>
      </c>
      <c r="AD2" s="7">
        <v>106</v>
      </c>
      <c r="AF2" s="94" t="s">
        <v>92</v>
      </c>
    </row>
    <row r="3" spans="1:32" ht="59.25" customHeight="1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9" t="s">
        <v>13</v>
      </c>
      <c r="O3" s="9" t="s">
        <v>14</v>
      </c>
      <c r="P3" s="9" t="s">
        <v>48</v>
      </c>
      <c r="Q3" s="9" t="s">
        <v>49</v>
      </c>
      <c r="R3" s="9" t="s">
        <v>67</v>
      </c>
      <c r="S3" s="9" t="s">
        <v>68</v>
      </c>
      <c r="T3" s="9" t="s">
        <v>75</v>
      </c>
      <c r="U3" s="9" t="s">
        <v>76</v>
      </c>
      <c r="V3" s="9" t="s">
        <v>82</v>
      </c>
      <c r="W3" s="9" t="s">
        <v>83</v>
      </c>
      <c r="X3" s="9" t="s">
        <v>94</v>
      </c>
      <c r="Y3" s="9" t="s">
        <v>95</v>
      </c>
      <c r="Z3" s="105" t="s">
        <v>90</v>
      </c>
      <c r="AA3" s="10" t="s">
        <v>15</v>
      </c>
      <c r="AB3" s="11" t="s">
        <v>80</v>
      </c>
      <c r="AC3" s="9" t="s">
        <v>47</v>
      </c>
      <c r="AD3" s="9" t="s">
        <v>50</v>
      </c>
      <c r="AE3" s="105" t="s">
        <v>91</v>
      </c>
      <c r="AF3" s="105" t="s">
        <v>96</v>
      </c>
    </row>
    <row r="4" spans="1:32" ht="15.75">
      <c r="A4" s="91">
        <v>1</v>
      </c>
      <c r="B4" s="12">
        <v>2</v>
      </c>
      <c r="C4" s="12">
        <v>3</v>
      </c>
      <c r="D4" s="12">
        <v>2</v>
      </c>
      <c r="E4" s="12">
        <v>3</v>
      </c>
      <c r="F4" s="12">
        <v>2</v>
      </c>
      <c r="G4" s="12">
        <v>3</v>
      </c>
      <c r="H4" s="12">
        <v>2</v>
      </c>
      <c r="I4" s="12">
        <v>3</v>
      </c>
      <c r="J4" s="12">
        <v>2</v>
      </c>
      <c r="K4" s="12">
        <v>3</v>
      </c>
      <c r="L4" s="12">
        <v>2</v>
      </c>
      <c r="M4" s="12">
        <v>3</v>
      </c>
      <c r="N4" s="12">
        <v>2</v>
      </c>
      <c r="O4" s="12">
        <v>3</v>
      </c>
      <c r="P4" s="12">
        <v>4</v>
      </c>
      <c r="Q4" s="12">
        <v>5</v>
      </c>
      <c r="R4" s="12">
        <v>2</v>
      </c>
      <c r="S4" s="12">
        <v>3</v>
      </c>
      <c r="T4" s="12">
        <v>2</v>
      </c>
      <c r="U4" s="12">
        <v>3</v>
      </c>
      <c r="V4" s="87">
        <v>4</v>
      </c>
      <c r="W4" s="87">
        <v>5</v>
      </c>
      <c r="X4" s="87">
        <v>7</v>
      </c>
      <c r="Y4" s="87">
        <v>8</v>
      </c>
      <c r="Z4" s="87">
        <v>9</v>
      </c>
      <c r="AA4" s="13" t="s">
        <v>101</v>
      </c>
      <c r="AB4" s="13" t="s">
        <v>102</v>
      </c>
      <c r="AC4" s="14">
        <v>9</v>
      </c>
      <c r="AD4" s="14">
        <v>10</v>
      </c>
      <c r="AE4" s="92">
        <v>12</v>
      </c>
      <c r="AF4" s="92">
        <v>13</v>
      </c>
    </row>
    <row r="5" spans="1:32" ht="40.5">
      <c r="A5" s="15" t="s">
        <v>16</v>
      </c>
      <c r="B5" s="16">
        <v>8082655</v>
      </c>
      <c r="C5" s="16">
        <v>8268569</v>
      </c>
      <c r="D5" s="17">
        <v>8890300</v>
      </c>
      <c r="E5" s="17">
        <v>8591159.1899999995</v>
      </c>
      <c r="F5" s="17">
        <v>8650000</v>
      </c>
      <c r="G5" s="17">
        <v>10240906</v>
      </c>
      <c r="H5" s="17">
        <v>11771760</v>
      </c>
      <c r="I5" s="17">
        <v>14319004</v>
      </c>
      <c r="J5" s="17">
        <v>18810680</v>
      </c>
      <c r="K5" s="17">
        <v>23090972</v>
      </c>
      <c r="L5" s="17">
        <v>26267100</v>
      </c>
      <c r="M5" s="17">
        <v>29801066</v>
      </c>
      <c r="N5" s="17">
        <v>35974170</v>
      </c>
      <c r="O5" s="17">
        <f>'[1]План на 2020'!AJ621*1000</f>
        <v>36656017.560000002</v>
      </c>
      <c r="P5" s="17">
        <v>41068229</v>
      </c>
      <c r="Q5" s="17">
        <f>'[2]План  Лубни на 2021'!$AP$656*1000</f>
        <v>41874877.07</v>
      </c>
      <c r="R5" s="17">
        <v>78122620</v>
      </c>
      <c r="S5" s="17">
        <v>77033350</v>
      </c>
      <c r="T5" s="17">
        <v>77196458</v>
      </c>
      <c r="U5" s="17">
        <f>'[3]Аналіз фінансування установ'!$G$586</f>
        <v>79429943</v>
      </c>
      <c r="V5" s="17">
        <f>'[3]Аналіз фінансування установ'!$H$586</f>
        <v>76942000</v>
      </c>
      <c r="W5" s="17">
        <f>'[3]Аналіз фінансування установ'!$I$586</f>
        <v>77809214</v>
      </c>
      <c r="X5" s="17">
        <f>'[3]Аналіз фінансування установ'!$K$586</f>
        <v>80403698</v>
      </c>
      <c r="Y5" s="17">
        <f>'[4]Аналіз фінансування установ'!$K$634</f>
        <v>94005912.829999998</v>
      </c>
      <c r="Z5" s="101">
        <f>'[4]Аналіз фінансування установ'!$M$634+5070200</f>
        <v>112700840</v>
      </c>
      <c r="AA5" s="16">
        <f>Z5-X5</f>
        <v>32297142</v>
      </c>
      <c r="AB5" s="16">
        <f>Z5/X5*100</f>
        <v>140.16872706526507</v>
      </c>
      <c r="AC5" s="19">
        <f>V5*106.7/100</f>
        <v>82097114</v>
      </c>
      <c r="AD5" s="19">
        <f>AC5*106/100</f>
        <v>87022940.840000004</v>
      </c>
      <c r="AE5" s="93">
        <f>Z5*107/100</f>
        <v>120589898.8</v>
      </c>
      <c r="AF5" s="93">
        <f>AE5*106/100</f>
        <v>127825292.72799999</v>
      </c>
    </row>
    <row r="6" spans="1:32" ht="20.25">
      <c r="A6" s="15" t="s">
        <v>17</v>
      </c>
      <c r="B6" s="16">
        <v>46080245</v>
      </c>
      <c r="C6" s="16">
        <v>48085250</v>
      </c>
      <c r="D6" s="17">
        <v>48478500</v>
      </c>
      <c r="E6" s="17">
        <v>50226062.07</v>
      </c>
      <c r="F6" s="17">
        <v>49716200</v>
      </c>
      <c r="G6" s="17">
        <v>60059891</v>
      </c>
      <c r="H6" s="17">
        <v>65967560</v>
      </c>
      <c r="I6" s="17">
        <v>71499947</v>
      </c>
      <c r="J6" s="17">
        <v>97504670</v>
      </c>
      <c r="K6" s="17">
        <v>105356894</v>
      </c>
      <c r="L6" s="17">
        <f>109019170+6138900</f>
        <v>115158070</v>
      </c>
      <c r="M6" s="17">
        <v>122198442</v>
      </c>
      <c r="N6" s="17">
        <v>140737805</v>
      </c>
      <c r="O6" s="17">
        <f>'[1]План на 2020'!AJ622*1000</f>
        <v>144033463.88999999</v>
      </c>
      <c r="P6" s="17">
        <v>160311354</v>
      </c>
      <c r="Q6" s="17">
        <f>'[2]План  Лубни на 2021'!$AP$657*1000</f>
        <v>160444603.16999996</v>
      </c>
      <c r="R6" s="17">
        <v>297398725</v>
      </c>
      <c r="S6" s="17">
        <v>311967396</v>
      </c>
      <c r="T6" s="17">
        <f>344255201+417800</f>
        <v>344673001</v>
      </c>
      <c r="U6" s="17">
        <f>'[3]Аналіз фінансування установ'!$G$587</f>
        <v>335991857.63</v>
      </c>
      <c r="V6" s="17">
        <f>'[3]Аналіз фінансування установ'!$H$587+5384400+139389100</f>
        <v>342904800</v>
      </c>
      <c r="W6" s="17">
        <f>'[3]Аналіз фінансування установ'!$I$587</f>
        <v>358807536.05245662</v>
      </c>
      <c r="X6" s="17">
        <f>'[4]Аналіз фінансування установ'!$J$635</f>
        <v>370182766</v>
      </c>
      <c r="Y6" s="17">
        <f>'[4]Аналіз фінансування установ'!$K$635</f>
        <v>399910126.16999996</v>
      </c>
      <c r="Z6" s="101">
        <f>'[4]Аналіз фінансування установ'!$M$635+110196400-140000</f>
        <v>331479510</v>
      </c>
      <c r="AA6" s="16">
        <f t="shared" ref="AA6:AA68" si="0">Z6-X6</f>
        <v>-38703256</v>
      </c>
      <c r="AB6" s="16">
        <f t="shared" ref="AB6:AB68" si="1">Z6/X6*100</f>
        <v>89.544825001388645</v>
      </c>
      <c r="AC6" s="19">
        <f t="shared" ref="AC6:AC68" si="2">V6*106.7/100</f>
        <v>365879421.60000002</v>
      </c>
      <c r="AD6" s="19">
        <f t="shared" ref="AD6:AD68" si="3">AC6*106/100</f>
        <v>387832186.89600009</v>
      </c>
      <c r="AE6" s="93">
        <f t="shared" ref="AE6:AE68" si="4">Z6*107/100</f>
        <v>354683075.69999999</v>
      </c>
      <c r="AF6" s="93">
        <f t="shared" ref="AF6:AF68" si="5">AE6*106/100</f>
        <v>375964060.24199998</v>
      </c>
    </row>
    <row r="7" spans="1:32" ht="20.25">
      <c r="A7" s="15" t="s">
        <v>18</v>
      </c>
      <c r="B7" s="16">
        <v>34449592</v>
      </c>
      <c r="C7" s="16">
        <v>35478846</v>
      </c>
      <c r="D7" s="17">
        <v>36076689</v>
      </c>
      <c r="E7" s="17">
        <v>35488734.310000002</v>
      </c>
      <c r="F7" s="17">
        <v>38706990</v>
      </c>
      <c r="G7" s="17">
        <v>46700161.380000003</v>
      </c>
      <c r="H7" s="17">
        <v>48133900</v>
      </c>
      <c r="I7" s="17">
        <v>51270923</v>
      </c>
      <c r="J7" s="17">
        <v>61818390</v>
      </c>
      <c r="K7" s="17">
        <v>74583277</v>
      </c>
      <c r="L7" s="17">
        <v>73911020</v>
      </c>
      <c r="M7" s="17">
        <v>77422041</v>
      </c>
      <c r="N7" s="17">
        <v>29290810</v>
      </c>
      <c r="O7" s="17">
        <f>'[1]План на 2020'!AJ623*1000</f>
        <v>33291642.710000001</v>
      </c>
      <c r="P7" s="17">
        <v>14676070</v>
      </c>
      <c r="Q7" s="17">
        <f>'[2]План  Лубни на 2021'!$AP$658*1000</f>
        <v>20085751.890000001</v>
      </c>
      <c r="R7" s="17">
        <v>13441000</v>
      </c>
      <c r="S7" s="17">
        <v>20284346</v>
      </c>
      <c r="T7" s="17">
        <v>17144576</v>
      </c>
      <c r="U7" s="17">
        <f>'[3]Аналіз фінансування установ'!$G$588</f>
        <v>24952712.5</v>
      </c>
      <c r="V7" s="17">
        <f>'[3]Аналіз фінансування установ'!$H$588</f>
        <v>25900000</v>
      </c>
      <c r="W7" s="17">
        <f>'[3]Аналіз фінансування установ'!$I$588</f>
        <v>35568805.380000003</v>
      </c>
      <c r="X7" s="17">
        <f>'[3]Аналіз фінансування установ'!$K$588</f>
        <v>29500000</v>
      </c>
      <c r="Y7" s="17">
        <f>'[4]Аналіз фінансування установ'!$K$636</f>
        <v>40603473</v>
      </c>
      <c r="Z7" s="101">
        <f>'[4]Аналіз фінансування установ'!$M$636</f>
        <v>41210000</v>
      </c>
      <c r="AA7" s="16">
        <f t="shared" si="0"/>
        <v>11710000</v>
      </c>
      <c r="AB7" s="16">
        <f t="shared" si="1"/>
        <v>139.69491525423729</v>
      </c>
      <c r="AC7" s="19">
        <f t="shared" si="2"/>
        <v>27635300</v>
      </c>
      <c r="AD7" s="19">
        <f t="shared" si="3"/>
        <v>29293418</v>
      </c>
      <c r="AE7" s="93">
        <f t="shared" si="4"/>
        <v>44094700</v>
      </c>
      <c r="AF7" s="93">
        <f t="shared" si="5"/>
        <v>46740382</v>
      </c>
    </row>
    <row r="8" spans="1:32" ht="20.25">
      <c r="A8" s="15" t="s">
        <v>19</v>
      </c>
      <c r="B8" s="16">
        <v>4989100</v>
      </c>
      <c r="C8" s="16">
        <v>4985691</v>
      </c>
      <c r="D8" s="17">
        <v>5181800</v>
      </c>
      <c r="E8" s="20">
        <v>5025200</v>
      </c>
      <c r="F8" s="17">
        <v>5171600</v>
      </c>
      <c r="G8" s="17">
        <v>6644184</v>
      </c>
      <c r="H8" s="17">
        <v>7065000</v>
      </c>
      <c r="I8" s="17">
        <v>7293864</v>
      </c>
      <c r="J8" s="17">
        <v>9037790</v>
      </c>
      <c r="K8" s="17">
        <v>9645450</v>
      </c>
      <c r="L8" s="17">
        <f>10918521-6138900</f>
        <v>4779621</v>
      </c>
      <c r="M8" s="17">
        <v>5076055</v>
      </c>
      <c r="N8" s="17">
        <v>6243600</v>
      </c>
      <c r="O8" s="17">
        <f>'[1]План на 2020'!AJ625*1000</f>
        <v>6761255</v>
      </c>
      <c r="P8" s="17">
        <v>6780200</v>
      </c>
      <c r="Q8" s="17">
        <f>'[2]План  Лубни на 2021'!$AP$660*1000</f>
        <v>7306663</v>
      </c>
      <c r="R8" s="17">
        <v>16193200</v>
      </c>
      <c r="S8" s="17">
        <v>25733786</v>
      </c>
      <c r="T8" s="17">
        <v>26744370</v>
      </c>
      <c r="U8" s="17">
        <f>'[3]Аналіз фінансування установ'!$G$590</f>
        <v>29810770</v>
      </c>
      <c r="V8" s="17">
        <f>'[3]Аналіз фінансування установ'!$H$590</f>
        <v>31367265</v>
      </c>
      <c r="W8" s="17">
        <f>'[3]Аналіз фінансування установ'!$I$590</f>
        <v>33647877</v>
      </c>
      <c r="X8" s="17">
        <f>'[3]Аналіз фінансування установ'!$K$590</f>
        <v>33439330</v>
      </c>
      <c r="Y8" s="17">
        <f>'[4]Аналіз фінансування установ'!$K$638</f>
        <v>35885751.5</v>
      </c>
      <c r="Z8" s="101">
        <f>'[4]Аналіз фінансування установ'!$M$638</f>
        <v>36480000</v>
      </c>
      <c r="AA8" s="16">
        <f t="shared" si="0"/>
        <v>3040670</v>
      </c>
      <c r="AB8" s="16">
        <f t="shared" si="1"/>
        <v>109.09309486763041</v>
      </c>
      <c r="AC8" s="19">
        <f t="shared" si="2"/>
        <v>33468871.754999999</v>
      </c>
      <c r="AD8" s="19">
        <f t="shared" si="3"/>
        <v>35477004.0603</v>
      </c>
      <c r="AE8" s="93">
        <f t="shared" si="4"/>
        <v>39033600</v>
      </c>
      <c r="AF8" s="93">
        <f t="shared" si="5"/>
        <v>41375616</v>
      </c>
    </row>
    <row r="9" spans="1:32" ht="20.25">
      <c r="A9" s="15" t="s">
        <v>20</v>
      </c>
      <c r="B9" s="21">
        <f>SUM(B10:B21)-B19-B20</f>
        <v>3701000</v>
      </c>
      <c r="C9" s="21">
        <f>SUM(C10:C21)-C19-C20</f>
        <v>3602377</v>
      </c>
      <c r="D9" s="21">
        <f>SUM(D10:D21)-D19-D20</f>
        <v>4401300</v>
      </c>
      <c r="E9" s="21">
        <f>SUM(E10:E21)-E19-E20</f>
        <v>3806599.67</v>
      </c>
      <c r="F9" s="21">
        <f>SUM(F10:F21)-F19-F20</f>
        <v>3942861</v>
      </c>
      <c r="G9" s="21">
        <f>SUM(G10:G22)-G19-G20</f>
        <v>4792739.7</v>
      </c>
      <c r="H9" s="21">
        <f>SUM(H10:H22)-H19-H20</f>
        <v>4956165</v>
      </c>
      <c r="I9" s="21">
        <f>SUM(I10:I22)-I19-I20+I23+I24+I25+I26+I27+I28</f>
        <v>7090622</v>
      </c>
      <c r="J9" s="21">
        <f>SUM(J10:J22)-J19-J20+J23+J24+J25+J26+J27+J28</f>
        <v>8539330</v>
      </c>
      <c r="K9" s="21">
        <f>SUM(K10:K22)-K19-K20+K23+K24+K25+K26+K27+K28</f>
        <v>11455071.24</v>
      </c>
      <c r="L9" s="21">
        <f>SUM(L10:L22)-L19-L20+L23+L24+L25+L26+L27+L28+L29</f>
        <v>12158021</v>
      </c>
      <c r="M9" s="21">
        <f>SUM(M10:M22)-M19-M20+M23+M24+M25+M26+M27+M28+M29</f>
        <v>14051037.6</v>
      </c>
      <c r="N9" s="21">
        <f>SUM(N10:N21)-N19-N20+N23+N24+N25+N26+N27+N28+N29+N22</f>
        <v>14528075</v>
      </c>
      <c r="O9" s="21">
        <f>SUM(O10:O21)-O19-O20+O23+O24+O25+O26+O27+O28+O29+O22</f>
        <v>16871583</v>
      </c>
      <c r="P9" s="21">
        <f>SUM(P10:P21)-P19-P20+P23+P24+P25+P26+P27+P28+P29+P22</f>
        <v>17423304</v>
      </c>
      <c r="Q9" s="21">
        <f>SUM(Q10:Q22)-Q19-Q20+Q23+Q24+Q25+Q26+Q27+Q28+Q29-Q21</f>
        <v>16477768.49</v>
      </c>
      <c r="R9" s="21">
        <f t="shared" ref="R9:S9" si="6">SUM(R10:R22)-R19-R20+R23+R24+R25+R26+R27+R28+R29-R21</f>
        <v>26400300</v>
      </c>
      <c r="S9" s="21">
        <f t="shared" si="6"/>
        <v>34435084</v>
      </c>
      <c r="T9" s="21">
        <f t="shared" ref="T9" si="7">SUM(T10:T22)-T19-T20+T23+T24+T25+T26+T27+T28+T29-T21</f>
        <v>37249734</v>
      </c>
      <c r="U9" s="21">
        <f>'[3]Аналіз фінансування установ'!$G$589</f>
        <v>41430201</v>
      </c>
      <c r="V9" s="21">
        <f>'[3]Аналіз фінансування установ'!$H$589</f>
        <v>42676843</v>
      </c>
      <c r="W9" s="21">
        <f>'[3]Аналіз фінансування установ'!$I$589</f>
        <v>52508250.5</v>
      </c>
      <c r="X9" s="21">
        <f>'[4]Аналіз фінансування установ'!$J$637</f>
        <v>46752536</v>
      </c>
      <c r="Y9" s="21">
        <f>'[4]Аналіз фінансування установ'!$K$637</f>
        <v>66288265</v>
      </c>
      <c r="Z9" s="103">
        <f>'[4]Аналіз фінансування установ'!$M$637+135000+37-324200</f>
        <v>55185377</v>
      </c>
      <c r="AA9" s="16">
        <f t="shared" si="0"/>
        <v>8432841</v>
      </c>
      <c r="AB9" s="16">
        <f t="shared" si="1"/>
        <v>118.03718412194794</v>
      </c>
      <c r="AC9" s="19">
        <f t="shared" si="2"/>
        <v>45536191.481000006</v>
      </c>
      <c r="AD9" s="19">
        <f t="shared" si="3"/>
        <v>48268362.96986001</v>
      </c>
      <c r="AE9" s="93">
        <f t="shared" si="4"/>
        <v>59048353.390000001</v>
      </c>
      <c r="AF9" s="93">
        <f t="shared" si="5"/>
        <v>62591254.593400002</v>
      </c>
    </row>
    <row r="10" spans="1:32" ht="40.5">
      <c r="A10" s="22" t="s">
        <v>74</v>
      </c>
      <c r="B10" s="23">
        <v>259100</v>
      </c>
      <c r="C10" s="23">
        <v>521243</v>
      </c>
      <c r="D10" s="24">
        <v>290200</v>
      </c>
      <c r="E10" s="24">
        <v>560011</v>
      </c>
      <c r="F10" s="24">
        <v>494861</v>
      </c>
      <c r="G10" s="24">
        <v>628761</v>
      </c>
      <c r="H10" s="24">
        <v>678000</v>
      </c>
      <c r="I10" s="24">
        <v>756157</v>
      </c>
      <c r="J10" s="17">
        <v>983970</v>
      </c>
      <c r="K10" s="24">
        <v>1133841</v>
      </c>
      <c r="L10" s="24">
        <v>1289256</v>
      </c>
      <c r="M10" s="24">
        <v>1544340</v>
      </c>
      <c r="N10" s="24">
        <v>1567000</v>
      </c>
      <c r="O10" s="24">
        <f>'[1]План на 2020'!AK409</f>
        <v>1848198.0000000002</v>
      </c>
      <c r="P10" s="17">
        <v>1567000</v>
      </c>
      <c r="Q10" s="24">
        <f>'[2]План  Лубни на 2021'!$AQ$428</f>
        <v>1999099</v>
      </c>
      <c r="R10" s="24">
        <v>1485000</v>
      </c>
      <c r="S10" s="24">
        <v>2816200</v>
      </c>
      <c r="T10" s="24">
        <v>2825320</v>
      </c>
      <c r="U10" s="24">
        <f>'[3]Аналіз фінансування установ'!$G$338</f>
        <v>2952670</v>
      </c>
      <c r="V10" s="24">
        <f>'[3]Аналіз фінансування установ'!$H$338</f>
        <v>2986000</v>
      </c>
      <c r="W10" s="24">
        <f>'[3]Аналіз фінансування установ'!$I$338</f>
        <v>3153880</v>
      </c>
      <c r="X10" s="24">
        <f>'[3]Аналіз фінансування установ'!$K$338</f>
        <v>3310000</v>
      </c>
      <c r="Y10" s="24">
        <f>'[4]Аналіз фінансування установ'!$K$344</f>
        <v>3684625</v>
      </c>
      <c r="Z10" s="96">
        <f>'[4]Аналіз фінансування установ'!$M$344+135000</f>
        <v>3665000</v>
      </c>
      <c r="AA10" s="16">
        <f t="shared" si="0"/>
        <v>355000</v>
      </c>
      <c r="AB10" s="16">
        <f t="shared" si="1"/>
        <v>110.7250755287009</v>
      </c>
      <c r="AC10" s="19">
        <f t="shared" si="2"/>
        <v>3186062</v>
      </c>
      <c r="AD10" s="19">
        <f t="shared" si="3"/>
        <v>3377225.72</v>
      </c>
      <c r="AE10" s="93">
        <f t="shared" si="4"/>
        <v>3921550</v>
      </c>
      <c r="AF10" s="93">
        <f t="shared" si="5"/>
        <v>4156843</v>
      </c>
    </row>
    <row r="11" spans="1:32" ht="20.25">
      <c r="A11" s="25" t="s">
        <v>21</v>
      </c>
      <c r="B11" s="23">
        <v>2656400</v>
      </c>
      <c r="C11" s="23">
        <v>2244476</v>
      </c>
      <c r="D11" s="24">
        <v>3444200</v>
      </c>
      <c r="E11" s="24">
        <v>2564080</v>
      </c>
      <c r="F11" s="24">
        <v>2800000</v>
      </c>
      <c r="G11" s="24">
        <v>3062618.7</v>
      </c>
      <c r="H11" s="24">
        <v>3155000</v>
      </c>
      <c r="I11" s="24">
        <v>3047562</v>
      </c>
      <c r="J11" s="17">
        <v>3990610</v>
      </c>
      <c r="K11" s="24">
        <v>4273210</v>
      </c>
      <c r="L11" s="24">
        <v>4820000</v>
      </c>
      <c r="M11" s="24">
        <v>4850000</v>
      </c>
      <c r="N11" s="24">
        <v>5304000</v>
      </c>
      <c r="O11" s="24">
        <f>'[1]План на 2020'!AK391</f>
        <v>5631096.9999999991</v>
      </c>
      <c r="P11" s="17">
        <v>5990000</v>
      </c>
      <c r="Q11" s="24">
        <f>'[2]План  Лубни на 2021'!$AQ$410</f>
        <v>6009400</v>
      </c>
      <c r="R11" s="24">
        <v>14768400</v>
      </c>
      <c r="S11" s="24">
        <v>16514900</v>
      </c>
      <c r="T11" s="24">
        <v>17853670</v>
      </c>
      <c r="U11" s="24">
        <f>'[3]Аналіз фінансування установ'!$G$325</f>
        <v>17903670</v>
      </c>
      <c r="V11" s="24">
        <f>'[3]Аналіз фінансування установ'!$H$325</f>
        <v>18282000</v>
      </c>
      <c r="W11" s="24">
        <f>'[3]Аналіз фінансування установ'!$I$325</f>
        <v>18440000</v>
      </c>
      <c r="X11" s="24">
        <f>'[3]Аналіз фінансування установ'!$K$325</f>
        <v>19366400</v>
      </c>
      <c r="Y11" s="24">
        <f>'[4]Аналіз фінансування установ'!$K$331</f>
        <v>19404400</v>
      </c>
      <c r="Z11" s="96">
        <f>'[4]Аналіз фінансування установ'!$M$331</f>
        <v>19545000</v>
      </c>
      <c r="AA11" s="16">
        <f t="shared" si="0"/>
        <v>178600</v>
      </c>
      <c r="AB11" s="16">
        <f t="shared" si="1"/>
        <v>100.92221579643092</v>
      </c>
      <c r="AC11" s="19">
        <f t="shared" si="2"/>
        <v>19506894</v>
      </c>
      <c r="AD11" s="19">
        <f t="shared" si="3"/>
        <v>20677307.640000001</v>
      </c>
      <c r="AE11" s="93">
        <f t="shared" si="4"/>
        <v>20913150</v>
      </c>
      <c r="AF11" s="93">
        <f t="shared" si="5"/>
        <v>22167939</v>
      </c>
    </row>
    <row r="12" spans="1:32" ht="20.25">
      <c r="A12" s="25" t="s">
        <v>89</v>
      </c>
      <c r="B12" s="26">
        <v>405700</v>
      </c>
      <c r="C12" s="26">
        <v>410700</v>
      </c>
      <c r="D12" s="27">
        <v>304200</v>
      </c>
      <c r="E12" s="27">
        <v>152388</v>
      </c>
      <c r="F12" s="27">
        <v>90000</v>
      </c>
      <c r="G12" s="27">
        <v>96520</v>
      </c>
      <c r="H12" s="24">
        <v>109100</v>
      </c>
      <c r="I12" s="24">
        <v>143580</v>
      </c>
      <c r="J12" s="17">
        <v>189890</v>
      </c>
      <c r="K12" s="24">
        <v>253390</v>
      </c>
      <c r="L12" s="24">
        <v>298000</v>
      </c>
      <c r="M12" s="24">
        <v>328431</v>
      </c>
      <c r="N12" s="24">
        <v>475000</v>
      </c>
      <c r="O12" s="24">
        <v>475000</v>
      </c>
      <c r="P12" s="17">
        <v>530000</v>
      </c>
      <c r="Q12" s="24">
        <f>'[2]План  Лубни на 2021'!$AQ$452</f>
        <v>560000</v>
      </c>
      <c r="R12" s="24">
        <v>1385000</v>
      </c>
      <c r="S12" s="24">
        <v>1572000</v>
      </c>
      <c r="T12" s="24">
        <v>1677602</v>
      </c>
      <c r="U12" s="24">
        <f>'[3]Аналіз фінансування установ'!$G$351</f>
        <v>2032302</v>
      </c>
      <c r="V12" s="24">
        <f>'[3]Аналіз фінансування установ'!$H$351</f>
        <v>2300000</v>
      </c>
      <c r="W12" s="24">
        <f>'[3]Аналіз фінансування установ'!$I$351</f>
        <v>2537383</v>
      </c>
      <c r="X12" s="24">
        <f>'[3]Аналіз фінансування установ'!$K$351</f>
        <v>3100000</v>
      </c>
      <c r="Y12" s="24">
        <f>'[4]Аналіз фінансування установ'!$K$357</f>
        <v>2729509.3800000004</v>
      </c>
      <c r="Z12" s="96">
        <f>'[4]Аналіз фінансування установ'!$M$357-463019</f>
        <v>2454763</v>
      </c>
      <c r="AA12" s="16">
        <f t="shared" si="0"/>
        <v>-645237</v>
      </c>
      <c r="AB12" s="16">
        <f t="shared" si="1"/>
        <v>79.185903225806456</v>
      </c>
      <c r="AC12" s="19">
        <f t="shared" si="2"/>
        <v>2454100</v>
      </c>
      <c r="AD12" s="19">
        <f t="shared" si="3"/>
        <v>2601346</v>
      </c>
      <c r="AE12" s="93">
        <f t="shared" si="4"/>
        <v>2626596.41</v>
      </c>
      <c r="AF12" s="93">
        <f t="shared" si="5"/>
        <v>2784192.1946000005</v>
      </c>
    </row>
    <row r="13" spans="1:32" ht="20.25">
      <c r="A13" s="25" t="s">
        <v>53</v>
      </c>
      <c r="B13" s="28">
        <v>15000</v>
      </c>
      <c r="C13" s="28">
        <v>33000</v>
      </c>
      <c r="D13" s="29">
        <v>42000</v>
      </c>
      <c r="E13" s="29">
        <v>10788</v>
      </c>
      <c r="F13" s="29">
        <v>50000</v>
      </c>
      <c r="G13" s="29">
        <v>50000</v>
      </c>
      <c r="H13" s="24">
        <v>50000</v>
      </c>
      <c r="I13" s="24">
        <v>64145</v>
      </c>
      <c r="J13" s="17">
        <v>60000</v>
      </c>
      <c r="K13" s="24">
        <v>107553</v>
      </c>
      <c r="L13" s="24">
        <v>70000</v>
      </c>
      <c r="M13" s="24">
        <v>142000</v>
      </c>
      <c r="N13" s="24">
        <v>150000</v>
      </c>
      <c r="O13" s="24">
        <f>'[1]План на 2020'!AK41</f>
        <v>200000</v>
      </c>
      <c r="P13" s="17">
        <v>150000</v>
      </c>
      <c r="Q13" s="24">
        <f>'[2]План  Лубни на 2021'!$AQ$46</f>
        <v>214000</v>
      </c>
      <c r="R13" s="24">
        <v>240000</v>
      </c>
      <c r="S13" s="24">
        <v>290000</v>
      </c>
      <c r="T13" s="24">
        <v>320000</v>
      </c>
      <c r="U13" s="24">
        <f>'[3]Аналіз фінансування установ'!$G$48</f>
        <v>320000</v>
      </c>
      <c r="V13" s="24">
        <f>'[3]Аналіз фінансування установ'!$H$48</f>
        <v>380000</v>
      </c>
      <c r="W13" s="24">
        <f>'[3]Аналіз фінансування установ'!$I$48</f>
        <v>580000</v>
      </c>
      <c r="X13" s="24">
        <f>'[3]Аналіз фінансування установ'!$K$48</f>
        <v>550000</v>
      </c>
      <c r="Y13" s="24">
        <f>'[4]Аналіз фінансування установ'!$K$48</f>
        <v>527020</v>
      </c>
      <c r="Z13" s="96">
        <f>'[4]Аналіз фінансування установ'!$M$48</f>
        <v>550000</v>
      </c>
      <c r="AA13" s="16">
        <f t="shared" si="0"/>
        <v>0</v>
      </c>
      <c r="AB13" s="16">
        <f t="shared" si="1"/>
        <v>100</v>
      </c>
      <c r="AC13" s="19">
        <f t="shared" si="2"/>
        <v>405460</v>
      </c>
      <c r="AD13" s="19">
        <f t="shared" si="3"/>
        <v>429787.6</v>
      </c>
      <c r="AE13" s="93">
        <f t="shared" si="4"/>
        <v>588500</v>
      </c>
      <c r="AF13" s="93">
        <f t="shared" si="5"/>
        <v>623810</v>
      </c>
    </row>
    <row r="14" spans="1:32" ht="20.25">
      <c r="A14" s="25" t="s">
        <v>54</v>
      </c>
      <c r="B14" s="28">
        <v>30000</v>
      </c>
      <c r="C14" s="28">
        <v>29675</v>
      </c>
      <c r="D14" s="29">
        <v>30000</v>
      </c>
      <c r="E14" s="29">
        <v>29975</v>
      </c>
      <c r="F14" s="29">
        <v>35000</v>
      </c>
      <c r="G14" s="29">
        <v>34960</v>
      </c>
      <c r="H14" s="24">
        <v>50000</v>
      </c>
      <c r="I14" s="24">
        <v>50000</v>
      </c>
      <c r="J14" s="17">
        <v>100000</v>
      </c>
      <c r="K14" s="24">
        <v>100000</v>
      </c>
      <c r="L14" s="24">
        <v>100000</v>
      </c>
      <c r="M14" s="24">
        <v>100000</v>
      </c>
      <c r="N14" s="24">
        <v>150000</v>
      </c>
      <c r="O14" s="24">
        <f>'[1]План на 2020'!AK45</f>
        <v>150000</v>
      </c>
      <c r="P14" s="17">
        <v>151100</v>
      </c>
      <c r="Q14" s="24">
        <f>'[2]План  Лубни на 2021'!$AQ$53</f>
        <v>158100</v>
      </c>
      <c r="R14" s="24">
        <v>201500</v>
      </c>
      <c r="S14" s="24">
        <v>201500</v>
      </c>
      <c r="T14" s="24">
        <v>252000</v>
      </c>
      <c r="U14" s="24">
        <f>'[3]Аналіз фінансування установ'!$G$60</f>
        <v>0</v>
      </c>
      <c r="V14" s="24">
        <f>'[3]Аналіз фінансування установ'!$H$60</f>
        <v>300000</v>
      </c>
      <c r="W14" s="24">
        <f>'[3]Аналіз фінансування установ'!$I$60</f>
        <v>295500</v>
      </c>
      <c r="X14" s="24">
        <f>'[3]Аналіз фінансування установ'!$K$60</f>
        <v>302250</v>
      </c>
      <c r="Y14" s="24">
        <f>'[4]Аналіз фінансування установ'!$K$60</f>
        <v>300000</v>
      </c>
      <c r="Z14" s="96">
        <f>'[4]Аналіз фінансування установ'!$M$60</f>
        <v>300000</v>
      </c>
      <c r="AA14" s="16">
        <f t="shared" si="0"/>
        <v>-2250</v>
      </c>
      <c r="AB14" s="16">
        <f t="shared" si="1"/>
        <v>99.255583126550874</v>
      </c>
      <c r="AC14" s="19">
        <f t="shared" si="2"/>
        <v>320100</v>
      </c>
      <c r="AD14" s="19">
        <f t="shared" si="3"/>
        <v>339306</v>
      </c>
      <c r="AE14" s="93">
        <f t="shared" si="4"/>
        <v>321000</v>
      </c>
      <c r="AF14" s="93">
        <f t="shared" si="5"/>
        <v>340260</v>
      </c>
    </row>
    <row r="15" spans="1:32" ht="20.25">
      <c r="A15" s="25" t="s">
        <v>55</v>
      </c>
      <c r="B15" s="28">
        <v>100000</v>
      </c>
      <c r="C15" s="28">
        <v>125580</v>
      </c>
      <c r="D15" s="29">
        <v>100000</v>
      </c>
      <c r="E15" s="29">
        <v>97650</v>
      </c>
      <c r="F15" s="29">
        <v>100000</v>
      </c>
      <c r="G15" s="29">
        <v>196491</v>
      </c>
      <c r="H15" s="24">
        <v>198000</v>
      </c>
      <c r="I15" s="24">
        <v>567720</v>
      </c>
      <c r="J15" s="17">
        <v>443000</v>
      </c>
      <c r="K15" s="24">
        <v>1063091</v>
      </c>
      <c r="L15" s="24">
        <v>985380</v>
      </c>
      <c r="M15" s="24">
        <v>1384074</v>
      </c>
      <c r="N15" s="24">
        <v>1250000</v>
      </c>
      <c r="O15" s="24">
        <f>'[1]План на 2020'!AK50</f>
        <v>1571308</v>
      </c>
      <c r="P15" s="17">
        <v>1560350</v>
      </c>
      <c r="Q15" s="24">
        <f>'[2]План  Лубни на 2021'!$AQ$59</f>
        <v>996033</v>
      </c>
      <c r="R15" s="24">
        <v>1200000</v>
      </c>
      <c r="S15" s="24">
        <v>2736191</v>
      </c>
      <c r="T15" s="24">
        <v>3588500</v>
      </c>
      <c r="U15" s="24">
        <f>'[3]Аналіз фінансування установ'!$G$53</f>
        <v>1382500</v>
      </c>
      <c r="V15" s="24">
        <f>'[3]Аналіз фінансування установ'!$H$53</f>
        <v>1566700</v>
      </c>
      <c r="W15" s="24">
        <f>'[3]Аналіз фінансування установ'!$I$53</f>
        <v>0</v>
      </c>
      <c r="X15" s="24">
        <f>'[3]Аналіз фінансування установ'!$K$53</f>
        <v>0</v>
      </c>
      <c r="Y15" s="24">
        <f>'[4]Аналіз фінансування установ'!$K$53</f>
        <v>0</v>
      </c>
      <c r="Z15" s="96">
        <f>'[4]Аналіз фінансування установ'!$M$53</f>
        <v>0</v>
      </c>
      <c r="AA15" s="16">
        <f t="shared" si="0"/>
        <v>0</v>
      </c>
      <c r="AB15" s="16"/>
      <c r="AC15" s="19">
        <f t="shared" si="2"/>
        <v>1671668.9</v>
      </c>
      <c r="AD15" s="19">
        <f t="shared" si="3"/>
        <v>1771969.0339999998</v>
      </c>
      <c r="AE15" s="93">
        <v>10000000</v>
      </c>
      <c r="AF15" s="93">
        <f t="shared" si="5"/>
        <v>10600000</v>
      </c>
    </row>
    <row r="16" spans="1:32" ht="40.5">
      <c r="A16" s="25" t="s">
        <v>56</v>
      </c>
      <c r="B16" s="28">
        <v>30000</v>
      </c>
      <c r="C16" s="28">
        <v>30000</v>
      </c>
      <c r="D16" s="29">
        <v>30000</v>
      </c>
      <c r="E16" s="29">
        <v>30000</v>
      </c>
      <c r="F16" s="29">
        <v>60000</v>
      </c>
      <c r="G16" s="29">
        <v>71000</v>
      </c>
      <c r="H16" s="24">
        <v>140000</v>
      </c>
      <c r="I16" s="24">
        <v>170000</v>
      </c>
      <c r="J16" s="17">
        <v>180000</v>
      </c>
      <c r="K16" s="24">
        <v>217000</v>
      </c>
      <c r="L16" s="24">
        <v>200000</v>
      </c>
      <c r="M16" s="24">
        <v>209000</v>
      </c>
      <c r="N16" s="24">
        <v>200000</v>
      </c>
      <c r="O16" s="24">
        <f>'[1]План на 2020'!AK53</f>
        <v>200000</v>
      </c>
      <c r="P16" s="17">
        <v>200000</v>
      </c>
      <c r="Q16" s="24">
        <f>'[2]План  Лубни на 2021'!$AQ$62</f>
        <v>200000</v>
      </c>
      <c r="R16" s="24">
        <v>0</v>
      </c>
      <c r="S16" s="24">
        <v>240000</v>
      </c>
      <c r="T16" s="24">
        <v>300000</v>
      </c>
      <c r="U16" s="24">
        <f>'[3]Аналіз фінансування установ'!$G$56</f>
        <v>280000</v>
      </c>
      <c r="V16" s="24">
        <f>'[3]Аналіз фінансування установ'!$H$56</f>
        <v>300000</v>
      </c>
      <c r="W16" s="24">
        <f>'[3]Аналіз фінансування установ'!$I$56</f>
        <v>300000</v>
      </c>
      <c r="X16" s="24">
        <f>'[3]Аналіз фінансування установ'!$K$56</f>
        <v>300000</v>
      </c>
      <c r="Y16" s="24">
        <f>'[4]Аналіз фінансування установ'!$K$56</f>
        <v>300000</v>
      </c>
      <c r="Z16" s="96">
        <f>'[4]Аналіз фінансування установ'!$M$56</f>
        <v>300000</v>
      </c>
      <c r="AA16" s="16">
        <f t="shared" si="0"/>
        <v>0</v>
      </c>
      <c r="AB16" s="16">
        <f t="shared" si="1"/>
        <v>100</v>
      </c>
      <c r="AC16" s="19">
        <f t="shared" si="2"/>
        <v>320100</v>
      </c>
      <c r="AD16" s="19">
        <f t="shared" si="3"/>
        <v>339306</v>
      </c>
      <c r="AE16" s="93">
        <f t="shared" si="4"/>
        <v>321000</v>
      </c>
      <c r="AF16" s="93">
        <f t="shared" si="5"/>
        <v>340260</v>
      </c>
    </row>
    <row r="17" spans="1:32" ht="18.75">
      <c r="A17" s="80" t="s">
        <v>57</v>
      </c>
      <c r="B17" s="28">
        <v>20000</v>
      </c>
      <c r="C17" s="28">
        <v>17905</v>
      </c>
      <c r="D17" s="29">
        <v>20000</v>
      </c>
      <c r="E17" s="29">
        <v>26212</v>
      </c>
      <c r="F17" s="29">
        <v>28000</v>
      </c>
      <c r="G17" s="29">
        <v>27589</v>
      </c>
      <c r="H17" s="24">
        <v>30000</v>
      </c>
      <c r="I17" s="24">
        <v>15855</v>
      </c>
      <c r="J17" s="17">
        <v>160000</v>
      </c>
      <c r="K17" s="24">
        <v>130000</v>
      </c>
      <c r="L17" s="24">
        <v>135000</v>
      </c>
      <c r="M17" s="24">
        <v>128574</v>
      </c>
      <c r="N17" s="24">
        <v>135000</v>
      </c>
      <c r="O17" s="24">
        <f>'[1]План на 2020'!AK25</f>
        <v>128104</v>
      </c>
      <c r="P17" s="17">
        <v>135000</v>
      </c>
      <c r="Q17" s="24">
        <f>'[2]План  Лубни на 2021'!$AQ$27</f>
        <v>135000</v>
      </c>
      <c r="R17" s="24">
        <v>205000</v>
      </c>
      <c r="S17" s="24">
        <v>148000</v>
      </c>
      <c r="T17" s="24">
        <v>230000</v>
      </c>
      <c r="U17" s="24">
        <f>'[3]Аналіз фінансування установ'!$G$42</f>
        <v>230000</v>
      </c>
      <c r="V17" s="24">
        <f>'[3]Аналіз фінансування установ'!$H$42</f>
        <v>195000</v>
      </c>
      <c r="W17" s="24">
        <f>'[3]Аналіз фінансування установ'!$I$42</f>
        <v>195000</v>
      </c>
      <c r="X17" s="24">
        <f>'[3]Аналіз фінансування установ'!$K$42</f>
        <v>200000</v>
      </c>
      <c r="Y17" s="24">
        <f>'[4]Аналіз фінансування установ'!$K$42</f>
        <v>180000</v>
      </c>
      <c r="Z17" s="96">
        <f>'[4]Аналіз фінансування установ'!$M$417</f>
        <v>180000</v>
      </c>
      <c r="AA17" s="16">
        <f t="shared" si="0"/>
        <v>-20000</v>
      </c>
      <c r="AB17" s="16">
        <f t="shared" si="1"/>
        <v>90</v>
      </c>
      <c r="AC17" s="19">
        <f t="shared" si="2"/>
        <v>208065</v>
      </c>
      <c r="AD17" s="19">
        <f t="shared" si="3"/>
        <v>220548.9</v>
      </c>
      <c r="AE17" s="93">
        <f t="shared" si="4"/>
        <v>192600</v>
      </c>
      <c r="AF17" s="93">
        <f t="shared" si="5"/>
        <v>204156</v>
      </c>
    </row>
    <row r="18" spans="1:32" ht="20.25">
      <c r="A18" s="25" t="s">
        <v>58</v>
      </c>
      <c r="B18" s="28">
        <v>110000</v>
      </c>
      <c r="C18" s="28">
        <v>122921</v>
      </c>
      <c r="D18" s="29">
        <v>110000</v>
      </c>
      <c r="E18" s="29">
        <f t="shared" ref="E18:J18" si="8">E19+E20</f>
        <v>250926.07</v>
      </c>
      <c r="F18" s="29">
        <f t="shared" si="8"/>
        <v>200000</v>
      </c>
      <c r="G18" s="29">
        <f t="shared" si="8"/>
        <v>391100</v>
      </c>
      <c r="H18" s="29">
        <f t="shared" si="8"/>
        <v>331600</v>
      </c>
      <c r="I18" s="29">
        <f t="shared" si="8"/>
        <v>458772</v>
      </c>
      <c r="J18" s="30">
        <f t="shared" si="8"/>
        <v>380000</v>
      </c>
      <c r="K18" s="30">
        <v>711250</v>
      </c>
      <c r="L18" s="30">
        <v>614936</v>
      </c>
      <c r="M18" s="30">
        <f>M19+M20</f>
        <v>1202500</v>
      </c>
      <c r="N18" s="30">
        <f>N19+N20</f>
        <v>1046000</v>
      </c>
      <c r="O18" s="30">
        <f>'[1]План на 2020'!AK384</f>
        <v>1381000</v>
      </c>
      <c r="P18" s="30">
        <v>1460000</v>
      </c>
      <c r="Q18" s="30">
        <f>'[2]План  Лубни на 2021'!$AQ$403</f>
        <v>1722880</v>
      </c>
      <c r="R18" s="30">
        <v>1610000</v>
      </c>
      <c r="S18" s="30">
        <v>2575483</v>
      </c>
      <c r="T18" s="30">
        <v>2708384</v>
      </c>
      <c r="U18" s="30">
        <f>'[3]Аналіз фінансування установ'!$G$383</f>
        <v>4648254</v>
      </c>
      <c r="V18" s="30">
        <f>'[3]Аналіз фінансування установ'!$H$383</f>
        <v>5050000</v>
      </c>
      <c r="W18" s="30">
        <f>'[3]Аналіз фінансування установ'!$I$383</f>
        <v>7900797.5</v>
      </c>
      <c r="X18" s="30">
        <f>'[3]Аналіз фінансування установ'!$K$383</f>
        <v>5596500</v>
      </c>
      <c r="Y18" s="30">
        <f>'[4]Аналіз фінансування установ'!$K$396</f>
        <v>14083624.620000001</v>
      </c>
      <c r="Z18" s="102">
        <f>'[4]Аналіз фінансування установ'!$M$396</f>
        <v>10582602</v>
      </c>
      <c r="AA18" s="16">
        <f t="shared" si="0"/>
        <v>4986102</v>
      </c>
      <c r="AB18" s="16">
        <f t="shared" si="1"/>
        <v>189.09321897614581</v>
      </c>
      <c r="AC18" s="19">
        <f t="shared" si="2"/>
        <v>5388350</v>
      </c>
      <c r="AD18" s="19">
        <f t="shared" si="3"/>
        <v>5711651</v>
      </c>
      <c r="AE18" s="93">
        <f t="shared" si="4"/>
        <v>11323384.140000001</v>
      </c>
      <c r="AF18" s="93">
        <f t="shared" si="5"/>
        <v>12002787.188400002</v>
      </c>
    </row>
    <row r="19" spans="1:32" ht="20.25">
      <c r="A19" s="31" t="s">
        <v>22</v>
      </c>
      <c r="B19" s="28">
        <v>20000</v>
      </c>
      <c r="C19" s="28">
        <v>20000</v>
      </c>
      <c r="D19" s="29">
        <v>20000</v>
      </c>
      <c r="E19" s="29">
        <v>20000</v>
      </c>
      <c r="F19" s="29">
        <v>20000</v>
      </c>
      <c r="G19" s="29">
        <v>20000</v>
      </c>
      <c r="H19" s="24">
        <f>G19*1.15</f>
        <v>23000</v>
      </c>
      <c r="I19" s="24">
        <v>23000</v>
      </c>
      <c r="J19" s="17">
        <v>23000</v>
      </c>
      <c r="K19" s="24">
        <v>23000</v>
      </c>
      <c r="L19" s="24">
        <v>46000</v>
      </c>
      <c r="M19" s="24">
        <v>46000</v>
      </c>
      <c r="N19" s="24">
        <v>46000</v>
      </c>
      <c r="O19" s="24">
        <v>46000</v>
      </c>
      <c r="P19" s="24">
        <v>46000</v>
      </c>
      <c r="Q19" s="24">
        <v>46000</v>
      </c>
      <c r="R19" s="24">
        <v>46000</v>
      </c>
      <c r="S19" s="24">
        <v>281300</v>
      </c>
      <c r="T19" s="24">
        <v>341000</v>
      </c>
      <c r="U19" s="24">
        <f>'[3]Аналіз фінансування установ'!$G$385</f>
        <v>66000</v>
      </c>
      <c r="V19" s="24">
        <f>'[3]Аналіз фінансування установ'!$H$385</f>
        <v>200000</v>
      </c>
      <c r="W19" s="24">
        <f>'[3]Аналіз фінансування установ'!$I$385</f>
        <v>158787.5</v>
      </c>
      <c r="X19" s="24">
        <f>'[3]Аналіз фінансування установ'!$K$385</f>
        <v>196500</v>
      </c>
      <c r="Y19" s="24">
        <f>'[4]Аналіз фінансування установ'!$K$399</f>
        <v>90000</v>
      </c>
      <c r="Z19" s="100">
        <f>'[4]Аналіз фінансування установ'!$M$399</f>
        <v>200000</v>
      </c>
      <c r="AA19" s="16">
        <f t="shared" si="0"/>
        <v>3500</v>
      </c>
      <c r="AB19" s="16">
        <f t="shared" si="1"/>
        <v>101.78117048346056</v>
      </c>
      <c r="AC19" s="19">
        <f t="shared" si="2"/>
        <v>213400</v>
      </c>
      <c r="AD19" s="19">
        <f t="shared" si="3"/>
        <v>226204</v>
      </c>
      <c r="AE19" s="93">
        <f t="shared" si="4"/>
        <v>214000</v>
      </c>
      <c r="AF19" s="93">
        <f t="shared" si="5"/>
        <v>226840</v>
      </c>
    </row>
    <row r="20" spans="1:32" ht="20.25">
      <c r="A20" s="31" t="s">
        <v>23</v>
      </c>
      <c r="B20" s="28">
        <v>90000</v>
      </c>
      <c r="C20" s="28">
        <v>102921</v>
      </c>
      <c r="D20" s="29">
        <v>90000</v>
      </c>
      <c r="E20" s="29">
        <v>230926.07</v>
      </c>
      <c r="F20" s="29">
        <v>180000</v>
      </c>
      <c r="G20" s="29">
        <v>371100</v>
      </c>
      <c r="H20" s="24">
        <v>308600</v>
      </c>
      <c r="I20" s="24">
        <v>435772</v>
      </c>
      <c r="J20" s="17">
        <v>357000</v>
      </c>
      <c r="K20" s="24">
        <v>650886</v>
      </c>
      <c r="L20" s="24">
        <v>568936</v>
      </c>
      <c r="M20" s="24">
        <v>1156500</v>
      </c>
      <c r="N20" s="24">
        <v>1000000</v>
      </c>
      <c r="O20" s="24">
        <f>O18-O19</f>
        <v>1335000</v>
      </c>
      <c r="P20" s="24">
        <f>P18-P19</f>
        <v>1414000</v>
      </c>
      <c r="Q20" s="24">
        <f>Q18-Q19-Q21</f>
        <v>1445430</v>
      </c>
      <c r="R20" s="24">
        <v>1354000</v>
      </c>
      <c r="S20" s="24">
        <v>2095530</v>
      </c>
      <c r="T20" s="24">
        <v>1817384</v>
      </c>
      <c r="U20" s="24">
        <f>'[3]Аналіз фінансування установ'!$G$386</f>
        <v>4032254</v>
      </c>
      <c r="V20" s="24">
        <f>'[3]Аналіз фінансування установ'!$H$386</f>
        <v>4300000</v>
      </c>
      <c r="W20" s="24">
        <f>'[3]Аналіз фінансування установ'!$I$386</f>
        <v>7192010</v>
      </c>
      <c r="X20" s="24">
        <f>'[4]Аналіз фінансування установ'!$J$400</f>
        <v>5360000</v>
      </c>
      <c r="Y20" s="24">
        <f>'[4]Аналіз фінансування установ'!$K$400</f>
        <v>13790624.620000001</v>
      </c>
      <c r="Z20" s="100">
        <f>'[4]Аналіз фінансування установ'!$M$400</f>
        <v>9942602</v>
      </c>
      <c r="AA20" s="16">
        <f t="shared" si="0"/>
        <v>4582602</v>
      </c>
      <c r="AB20" s="16">
        <f t="shared" si="1"/>
        <v>185.49630597014925</v>
      </c>
      <c r="AC20" s="19">
        <f t="shared" si="2"/>
        <v>4588100</v>
      </c>
      <c r="AD20" s="19">
        <f t="shared" si="3"/>
        <v>4863386</v>
      </c>
      <c r="AE20" s="93">
        <f t="shared" si="4"/>
        <v>10638584.140000001</v>
      </c>
      <c r="AF20" s="93">
        <f t="shared" si="5"/>
        <v>11276899.188400002</v>
      </c>
    </row>
    <row r="21" spans="1:32" ht="23.25" customHeight="1">
      <c r="A21" s="79" t="s">
        <v>72</v>
      </c>
      <c r="B21" s="28">
        <v>74800</v>
      </c>
      <c r="C21" s="28">
        <v>66877</v>
      </c>
      <c r="D21" s="29">
        <v>30700</v>
      </c>
      <c r="E21" s="32">
        <v>84569.600000000006</v>
      </c>
      <c r="F21" s="29">
        <v>85000</v>
      </c>
      <c r="G21" s="29">
        <v>121500</v>
      </c>
      <c r="H21" s="24">
        <v>114465</v>
      </c>
      <c r="I21" s="24">
        <v>94165</v>
      </c>
      <c r="J21" s="17">
        <v>136740</v>
      </c>
      <c r="K21" s="24">
        <v>85674</v>
      </c>
      <c r="L21" s="24">
        <v>0</v>
      </c>
      <c r="M21" s="24">
        <f>98336+86831</f>
        <v>185167</v>
      </c>
      <c r="N21" s="24">
        <v>20000</v>
      </c>
      <c r="O21" s="24">
        <f>'[1]План на 2020'!AK17</f>
        <v>238391</v>
      </c>
      <c r="P21" s="24">
        <v>150000</v>
      </c>
      <c r="Q21" s="24">
        <f>'[2]План  Лубни на 2021'!$AQ$408</f>
        <v>231450</v>
      </c>
      <c r="R21" s="24">
        <v>210000</v>
      </c>
      <c r="S21" s="24">
        <v>198653</v>
      </c>
      <c r="T21" s="24">
        <v>550000</v>
      </c>
      <c r="U21" s="24">
        <f>'[3]Аналіз фінансування установ'!$G$384</f>
        <v>550000</v>
      </c>
      <c r="V21" s="24">
        <f>'[3]Аналіз фінансування установ'!$H$384</f>
        <v>550000</v>
      </c>
      <c r="W21" s="24">
        <f>'[3]Аналіз фінансування установ'!$I$384</f>
        <v>550000</v>
      </c>
      <c r="X21" s="24">
        <f>'[3]Аналіз фінансування установ'!$K$384</f>
        <v>400000</v>
      </c>
      <c r="Y21" s="24">
        <f>'[4]Аналіз фінансування установ'!$K$398</f>
        <v>175000</v>
      </c>
      <c r="Z21" s="100">
        <f>'[4]Аналіз фінансування установ'!$M$398</f>
        <v>400000</v>
      </c>
      <c r="AA21" s="16">
        <f t="shared" si="0"/>
        <v>0</v>
      </c>
      <c r="AB21" s="16">
        <f t="shared" si="1"/>
        <v>100</v>
      </c>
      <c r="AC21" s="19">
        <f t="shared" si="2"/>
        <v>586850</v>
      </c>
      <c r="AD21" s="19">
        <f t="shared" si="3"/>
        <v>622061</v>
      </c>
      <c r="AE21" s="93">
        <f t="shared" si="4"/>
        <v>428000</v>
      </c>
      <c r="AF21" s="93">
        <f t="shared" si="5"/>
        <v>453680</v>
      </c>
    </row>
    <row r="22" spans="1:32" ht="112.5">
      <c r="A22" s="82" t="s">
        <v>59</v>
      </c>
      <c r="B22" s="33"/>
      <c r="C22" s="33"/>
      <c r="D22" s="33"/>
      <c r="E22" s="33"/>
      <c r="F22" s="33"/>
      <c r="G22" s="34">
        <v>112200</v>
      </c>
      <c r="H22" s="24">
        <v>100000</v>
      </c>
      <c r="I22" s="24">
        <v>374360</v>
      </c>
      <c r="J22" s="17">
        <v>198000</v>
      </c>
      <c r="K22" s="24">
        <v>273000</v>
      </c>
      <c r="L22" s="24">
        <v>230000</v>
      </c>
      <c r="M22" s="24">
        <v>190000</v>
      </c>
      <c r="N22" s="24">
        <f>136700</f>
        <v>136700</v>
      </c>
      <c r="O22" s="24">
        <f>'[1]План на 2020'!AK406+'[1]План на 2020'!AK357</f>
        <v>249102</v>
      </c>
      <c r="P22" s="24">
        <v>136700</v>
      </c>
      <c r="Q22" s="24">
        <f>'[2]План  Лубни на 2021'!$AQ$425</f>
        <v>175670</v>
      </c>
      <c r="R22" s="24">
        <v>430000</v>
      </c>
      <c r="S22" s="24">
        <v>1477270</v>
      </c>
      <c r="T22" s="24">
        <v>1167074</v>
      </c>
      <c r="U22" s="24">
        <f>'[3]Аналіз фінансування установ'!$G$367</f>
        <v>2767074</v>
      </c>
      <c r="V22" s="24">
        <f>'[3]Аналіз фінансування установ'!$H$367</f>
        <v>3060670</v>
      </c>
      <c r="W22" s="24">
        <f>'[3]Аналіз фінансування установ'!$I$367</f>
        <v>4260670</v>
      </c>
      <c r="X22" s="24">
        <f>'[3]Аналіз фінансування установ'!$K$367</f>
        <v>3616160</v>
      </c>
      <c r="Y22" s="24">
        <f>'[4]Аналіз фінансування установ'!$K$380</f>
        <v>6616160</v>
      </c>
      <c r="Z22" s="96">
        <f>'[4]Аналіз фінансування установ'!$M$380</f>
        <v>4500410</v>
      </c>
      <c r="AA22" s="16">
        <f t="shared" si="0"/>
        <v>884250</v>
      </c>
      <c r="AB22" s="16">
        <f t="shared" si="1"/>
        <v>124.45273439228353</v>
      </c>
      <c r="AC22" s="19">
        <f t="shared" si="2"/>
        <v>3265734.89</v>
      </c>
      <c r="AD22" s="19">
        <f t="shared" si="3"/>
        <v>3461678.9834000003</v>
      </c>
      <c r="AE22" s="93">
        <f t="shared" si="4"/>
        <v>4815438.7</v>
      </c>
      <c r="AF22" s="93">
        <f t="shared" si="5"/>
        <v>5104365.0220000008</v>
      </c>
    </row>
    <row r="23" spans="1:32" ht="40.5">
      <c r="A23" s="25" t="s">
        <v>60</v>
      </c>
      <c r="B23" s="33"/>
      <c r="C23" s="33"/>
      <c r="D23" s="33"/>
      <c r="E23" s="33"/>
      <c r="F23" s="33"/>
      <c r="G23" s="34"/>
      <c r="H23" s="24"/>
      <c r="I23" s="24">
        <v>632500</v>
      </c>
      <c r="J23" s="17">
        <v>690000</v>
      </c>
      <c r="K23" s="24">
        <v>1600000</v>
      </c>
      <c r="L23" s="24">
        <v>1752000</v>
      </c>
      <c r="M23" s="24">
        <v>1852000</v>
      </c>
      <c r="N23" s="24">
        <v>2375075</v>
      </c>
      <c r="O23" s="24">
        <f>'[1]План на 2020'!AK429</f>
        <v>2675075</v>
      </c>
      <c r="P23" s="24">
        <v>2867680</v>
      </c>
      <c r="Q23" s="24">
        <f>'[2]План  Лубни на 2021'!$AQ$448</f>
        <v>2717680</v>
      </c>
      <c r="R23" s="24">
        <v>3500000</v>
      </c>
      <c r="S23" s="24">
        <v>4213519</v>
      </c>
      <c r="T23" s="24">
        <v>4000000</v>
      </c>
      <c r="U23" s="24">
        <f>'[3]Аналіз фінансування установ'!$G$315</f>
        <v>7213575</v>
      </c>
      <c r="V23" s="24">
        <f>'[3]Аналіз фінансування установ'!$H$315</f>
        <v>7000000</v>
      </c>
      <c r="W23" s="24">
        <f>'[3]Аналіз фінансування установ'!$I$315</f>
        <v>11555654</v>
      </c>
      <c r="X23" s="24">
        <f>'[4]Аналіз фінансування установ'!$J$321</f>
        <v>7494280</v>
      </c>
      <c r="Y23" s="24">
        <f>'[4]Аналіз фінансування установ'!$K$321</f>
        <v>14494280</v>
      </c>
      <c r="Z23" s="96">
        <f>'[4]Аналіз фінансування установ'!$M$321</f>
        <v>10000000</v>
      </c>
      <c r="AA23" s="16">
        <f t="shared" si="0"/>
        <v>2505720</v>
      </c>
      <c r="AB23" s="16">
        <f t="shared" si="1"/>
        <v>133.43509983614169</v>
      </c>
      <c r="AC23" s="19">
        <f t="shared" si="2"/>
        <v>7469000</v>
      </c>
      <c r="AD23" s="19">
        <f t="shared" si="3"/>
        <v>7917140</v>
      </c>
      <c r="AE23" s="93">
        <f t="shared" si="4"/>
        <v>10700000</v>
      </c>
      <c r="AF23" s="93">
        <f t="shared" si="5"/>
        <v>11342000</v>
      </c>
    </row>
    <row r="24" spans="1:32" ht="40.5">
      <c r="A24" s="25" t="s">
        <v>61</v>
      </c>
      <c r="B24" s="33"/>
      <c r="C24" s="33"/>
      <c r="D24" s="33"/>
      <c r="E24" s="33"/>
      <c r="F24" s="33"/>
      <c r="G24" s="34"/>
      <c r="H24" s="24"/>
      <c r="I24" s="24">
        <v>381003</v>
      </c>
      <c r="J24" s="17">
        <v>684380</v>
      </c>
      <c r="K24" s="24">
        <v>584380</v>
      </c>
      <c r="L24" s="24">
        <v>639900</v>
      </c>
      <c r="M24" s="24">
        <v>639900</v>
      </c>
      <c r="N24" s="24">
        <v>694300</v>
      </c>
      <c r="O24" s="24">
        <f>'[1]План на 2020'!AK431</f>
        <v>704900</v>
      </c>
      <c r="P24" s="24">
        <v>744290</v>
      </c>
      <c r="Q24" s="24">
        <f>'[2]План  Лубни на 2021'!$AQ$450</f>
        <v>624290</v>
      </c>
      <c r="R24" s="24">
        <v>800000</v>
      </c>
      <c r="S24" s="24">
        <v>742230</v>
      </c>
      <c r="T24" s="24">
        <v>673800</v>
      </c>
      <c r="U24" s="24">
        <f>'[3]Аналіз фінансування установ'!$G$317</f>
        <v>673800</v>
      </c>
      <c r="V24" s="24">
        <f>'[3]Аналіз фінансування установ'!$H$317</f>
        <v>700000</v>
      </c>
      <c r="W24" s="24">
        <f>'[3]Аналіз фінансування установ'!$I$317</f>
        <v>700000</v>
      </c>
      <c r="X24" s="24">
        <f>'[3]Аналіз фінансування установ'!$K$317</f>
        <v>750000</v>
      </c>
      <c r="Y24" s="24">
        <f>'[4]Аналіз фінансування установ'!$K$323</f>
        <v>750000</v>
      </c>
      <c r="Z24" s="96">
        <f>'[4]Аналіз фінансування установ'!$M$323</f>
        <v>800000</v>
      </c>
      <c r="AA24" s="16">
        <f t="shared" si="0"/>
        <v>50000</v>
      </c>
      <c r="AB24" s="16">
        <f t="shared" si="1"/>
        <v>106.66666666666667</v>
      </c>
      <c r="AC24" s="19">
        <f t="shared" si="2"/>
        <v>746900</v>
      </c>
      <c r="AD24" s="19">
        <f t="shared" si="3"/>
        <v>791714</v>
      </c>
      <c r="AE24" s="93">
        <f t="shared" si="4"/>
        <v>856000</v>
      </c>
      <c r="AF24" s="93">
        <f t="shared" si="5"/>
        <v>907360</v>
      </c>
    </row>
    <row r="25" spans="1:32" ht="20.25">
      <c r="A25" s="25" t="s">
        <v>62</v>
      </c>
      <c r="B25" s="33"/>
      <c r="C25" s="33"/>
      <c r="D25" s="33"/>
      <c r="E25" s="33"/>
      <c r="F25" s="33"/>
      <c r="G25" s="34"/>
      <c r="H25" s="24"/>
      <c r="I25" s="24">
        <v>175700</v>
      </c>
      <c r="J25" s="17">
        <v>70000</v>
      </c>
      <c r="K25" s="24">
        <v>549942.24</v>
      </c>
      <c r="L25" s="24">
        <v>455616</v>
      </c>
      <c r="M25" s="24">
        <v>524317.6</v>
      </c>
      <c r="N25" s="24">
        <v>410000</v>
      </c>
      <c r="O25" s="24">
        <f>'[1]План на 2020'!AK424</f>
        <v>400000</v>
      </c>
      <c r="P25" s="24">
        <v>410000</v>
      </c>
      <c r="Q25" s="24">
        <f>'[2]План  Лубни на 2021'!$AQ$443</f>
        <v>0</v>
      </c>
      <c r="R25" s="24">
        <v>200000</v>
      </c>
      <c r="S25" s="24">
        <v>0</v>
      </c>
      <c r="T25" s="24">
        <v>0</v>
      </c>
      <c r="U25" s="24">
        <f>'[3]Аналіз фінансування установ'!$G$313</f>
        <v>0</v>
      </c>
      <c r="V25" s="24">
        <f>'[3]Аналіз фінансування установ'!$H$313</f>
        <v>0</v>
      </c>
      <c r="W25" s="24">
        <f>'[3]Аналіз фінансування установ'!$I$313</f>
        <v>0</v>
      </c>
      <c r="X25" s="24">
        <f>'[4]Аналіз фінансування установ'!$J$383</f>
        <v>900</v>
      </c>
      <c r="Y25" s="24">
        <f>'[4]Аналіз фінансування установ'!$K$383</f>
        <v>900</v>
      </c>
      <c r="Z25" s="96">
        <f>'[4]Аналіз фінансування установ'!$M$383</f>
        <v>0</v>
      </c>
      <c r="AA25" s="16">
        <f t="shared" si="0"/>
        <v>-900</v>
      </c>
      <c r="AB25" s="16">
        <f t="shared" si="1"/>
        <v>0</v>
      </c>
      <c r="AC25" s="19">
        <f t="shared" si="2"/>
        <v>0</v>
      </c>
      <c r="AD25" s="19">
        <f t="shared" si="3"/>
        <v>0</v>
      </c>
      <c r="AE25" s="93">
        <f t="shared" si="4"/>
        <v>0</v>
      </c>
      <c r="AF25" s="93">
        <f t="shared" si="5"/>
        <v>0</v>
      </c>
    </row>
    <row r="26" spans="1:32" ht="20.25">
      <c r="A26" s="25" t="s">
        <v>63</v>
      </c>
      <c r="B26" s="33"/>
      <c r="C26" s="33"/>
      <c r="D26" s="33"/>
      <c r="E26" s="33"/>
      <c r="F26" s="33"/>
      <c r="G26" s="34"/>
      <c r="H26" s="24"/>
      <c r="I26" s="24">
        <v>4800</v>
      </c>
      <c r="J26" s="17">
        <v>4920</v>
      </c>
      <c r="K26" s="24">
        <v>4920</v>
      </c>
      <c r="L26" s="24">
        <f>149876+102</f>
        <v>149978</v>
      </c>
      <c r="M26" s="24">
        <f>149876+102</f>
        <v>149978</v>
      </c>
      <c r="N26" s="24">
        <v>0</v>
      </c>
      <c r="O26" s="24">
        <f>'[1]План на 2020'!AK352+'[1]План на 2020'!AK348</f>
        <v>169908</v>
      </c>
      <c r="P26" s="24">
        <f>565355+110</f>
        <v>565465</v>
      </c>
      <c r="Q26" s="24">
        <f>'[2]План  Лубни на 2021'!$AQ$364+'[2]План  Лубни на 2021'!$AQ$367+'[2]План  Лубни на 2021'!$AQ$371+'[2]План  Лубни на 2021'!$AQ$395</f>
        <v>565854.49</v>
      </c>
      <c r="R26" s="24">
        <v>0</v>
      </c>
      <c r="S26" s="24">
        <f>390000+300</f>
        <v>390300</v>
      </c>
      <c r="T26" s="24">
        <f>718175+400</f>
        <v>718575</v>
      </c>
      <c r="U26" s="24">
        <f>'[3]Аналіз фінансування установ'!$G$319+'[3]Аналіз фінансування установ'!$G$321</f>
        <v>402500</v>
      </c>
      <c r="V26" s="24">
        <f>'[3]Аналіз фінансування установ'!$H$319+'[3]Аналіз фінансування установ'!$H$321</f>
        <v>0</v>
      </c>
      <c r="W26" s="24">
        <f>'[3]Аналіз фінансування установ'!$I$319+'[3]Аналіз фінансування установ'!$I$321</f>
        <v>1313443</v>
      </c>
      <c r="X26" s="24">
        <f>'[4]Аналіз фінансування установ'!$J$325</f>
        <v>431154</v>
      </c>
      <c r="Y26" s="24">
        <f>'[4]Аналіз фінансування установ'!$K$325</f>
        <v>573111</v>
      </c>
      <c r="Z26" s="96">
        <f>'[4]Аналіз фінансування установ'!$M$325</f>
        <v>0</v>
      </c>
      <c r="AA26" s="16">
        <f t="shared" si="0"/>
        <v>-431154</v>
      </c>
      <c r="AB26" s="16">
        <f t="shared" si="1"/>
        <v>0</v>
      </c>
      <c r="AC26" s="19">
        <f t="shared" si="2"/>
        <v>0</v>
      </c>
      <c r="AD26" s="19">
        <f t="shared" si="3"/>
        <v>0</v>
      </c>
      <c r="AE26" s="93">
        <v>1000000</v>
      </c>
      <c r="AF26" s="93">
        <f t="shared" si="5"/>
        <v>1060000</v>
      </c>
    </row>
    <row r="27" spans="1:32" ht="20.25">
      <c r="A27" s="25" t="s">
        <v>64</v>
      </c>
      <c r="B27" s="33"/>
      <c r="C27" s="33"/>
      <c r="D27" s="33"/>
      <c r="E27" s="33"/>
      <c r="F27" s="33"/>
      <c r="G27" s="34"/>
      <c r="H27" s="24"/>
      <c r="I27" s="24">
        <v>96020</v>
      </c>
      <c r="J27" s="17">
        <v>97020</v>
      </c>
      <c r="K27" s="24">
        <v>97020</v>
      </c>
      <c r="L27" s="24">
        <v>128880</v>
      </c>
      <c r="M27" s="24">
        <v>128880</v>
      </c>
      <c r="N27" s="24">
        <v>130000</v>
      </c>
      <c r="O27" s="24">
        <f>'[1]План на 2020'!AK337</f>
        <v>163000</v>
      </c>
      <c r="P27" s="24">
        <v>165000</v>
      </c>
      <c r="Q27" s="24">
        <f>'[2]План  Лубни на 2021'!$AQ$356</f>
        <v>165000</v>
      </c>
      <c r="R27" s="24">
        <v>165000</v>
      </c>
      <c r="S27" s="24">
        <v>163941</v>
      </c>
      <c r="T27" s="24">
        <v>465923</v>
      </c>
      <c r="U27" s="24">
        <f>'[3]Аналіз фінансування установ'!$G$321</f>
        <v>0</v>
      </c>
      <c r="V27" s="24">
        <f>'[3]Аналіз фінансування установ'!$H$321</f>
        <v>0</v>
      </c>
      <c r="W27" s="24">
        <f>'[3]Аналіз фінансування установ'!$I$321</f>
        <v>790443</v>
      </c>
      <c r="X27" s="24">
        <f>'[4]Аналіз фінансування установ'!$J$327</f>
        <v>466500</v>
      </c>
      <c r="Y27" s="24">
        <f>'[4]Аналіз фінансування установ'!$K$327</f>
        <v>753500</v>
      </c>
      <c r="Z27" s="96">
        <f>'[4]Аналіз фінансування установ'!$M$327</f>
        <v>0</v>
      </c>
      <c r="AA27" s="16">
        <f t="shared" si="0"/>
        <v>-466500</v>
      </c>
      <c r="AB27" s="16">
        <f t="shared" si="1"/>
        <v>0</v>
      </c>
      <c r="AC27" s="19">
        <f t="shared" si="2"/>
        <v>0</v>
      </c>
      <c r="AD27" s="19">
        <f t="shared" si="3"/>
        <v>0</v>
      </c>
      <c r="AE27" s="93">
        <v>5000000</v>
      </c>
      <c r="AF27" s="93">
        <f t="shared" si="5"/>
        <v>5300000</v>
      </c>
    </row>
    <row r="28" spans="1:32" ht="20.25">
      <c r="A28" s="25" t="s">
        <v>65</v>
      </c>
      <c r="B28" s="33"/>
      <c r="C28" s="33"/>
      <c r="D28" s="33"/>
      <c r="E28" s="33"/>
      <c r="F28" s="33"/>
      <c r="G28" s="34"/>
      <c r="H28" s="24"/>
      <c r="I28" s="24">
        <v>58283</v>
      </c>
      <c r="J28" s="17">
        <v>170800</v>
      </c>
      <c r="K28" s="24">
        <f>100000+170800</f>
        <v>270800</v>
      </c>
      <c r="L28" s="24">
        <v>205973</v>
      </c>
      <c r="M28" s="24">
        <f>149700+185973+34651+10000</f>
        <v>380324</v>
      </c>
      <c r="N28" s="24">
        <f>170000+260000+45000+10000</f>
        <v>485000</v>
      </c>
      <c r="O28" s="24">
        <f>'[1]План на 2020'!AK444+'[1]План на 2020'!AK381+'[1]План на 2020'!AK21+'[1]План на 2020'!AK576</f>
        <v>566700</v>
      </c>
      <c r="P28" s="24">
        <v>513731</v>
      </c>
      <c r="Q28" s="24">
        <f>'[2]План  Лубни на 2021'!$AQ$23+'[2]План  Лубни на 2021'!$AQ$400+'[2]План  Лубни на 2021'!$AQ$469+'[2]План  Лубни на 2021'!$AQ$610</f>
        <v>107774</v>
      </c>
      <c r="R28" s="24">
        <v>210400</v>
      </c>
      <c r="S28" s="24">
        <v>138150</v>
      </c>
      <c r="T28" s="24">
        <f>160008+100000</f>
        <v>260008</v>
      </c>
      <c r="U28" s="24">
        <f>'[3]Аналіз фінансування установ'!$G$58+'[3]Аналіз фінансування установ'!$G$372</f>
        <v>69958</v>
      </c>
      <c r="V28" s="24">
        <f>'[3]Аналіз фінансування установ'!$H$58+'[3]Аналіз фінансування установ'!$H$372</f>
        <v>75640</v>
      </c>
      <c r="W28" s="24">
        <f>'[3]Аналіз фінансування установ'!$I$58+'[3]Аналіз фінансування установ'!$I$372</f>
        <v>75640</v>
      </c>
      <c r="X28" s="24">
        <f>'[3]Аналіз фінансування установ'!$K$58+'[3]Аналіз фінансування установ'!$K$372</f>
        <v>108092</v>
      </c>
      <c r="Y28" s="24">
        <f>'[4]Аналіз фінансування установ'!$K$390+'[4]Аналіз фінансування установ'!$K$512</f>
        <v>227735</v>
      </c>
      <c r="Z28" s="96">
        <f>'[4]Аналіз фінансування установ'!$M$390+'[4]Аналіз фінансування установ'!$M$512</f>
        <v>309826</v>
      </c>
      <c r="AA28" s="16">
        <f t="shared" si="0"/>
        <v>201734</v>
      </c>
      <c r="AB28" s="16">
        <f t="shared" si="1"/>
        <v>286.63175813196165</v>
      </c>
      <c r="AC28" s="19">
        <f t="shared" si="2"/>
        <v>80707.88</v>
      </c>
      <c r="AD28" s="19">
        <f t="shared" si="3"/>
        <v>85550.352800000008</v>
      </c>
      <c r="AE28" s="93">
        <f t="shared" si="4"/>
        <v>331513.82</v>
      </c>
      <c r="AF28" s="93">
        <f t="shared" si="5"/>
        <v>351404.64920000004</v>
      </c>
    </row>
    <row r="29" spans="1:32" ht="40.5">
      <c r="A29" s="25" t="s">
        <v>66</v>
      </c>
      <c r="B29" s="33"/>
      <c r="C29" s="33"/>
      <c r="D29" s="33"/>
      <c r="E29" s="33"/>
      <c r="F29" s="33"/>
      <c r="G29" s="34"/>
      <c r="H29" s="24"/>
      <c r="I29" s="24"/>
      <c r="J29" s="17"/>
      <c r="K29" s="24"/>
      <c r="L29" s="24">
        <v>83102</v>
      </c>
      <c r="M29" s="24">
        <v>111552</v>
      </c>
      <c r="N29" s="24"/>
      <c r="O29" s="24">
        <f>'[1]План на 2020'!AK354</f>
        <v>119800</v>
      </c>
      <c r="P29" s="24">
        <v>126988</v>
      </c>
      <c r="Q29" s="24">
        <f>'[2]План  Лубни на 2021'!$AQ$373</f>
        <v>126988</v>
      </c>
      <c r="R29" s="24">
        <v>0</v>
      </c>
      <c r="S29" s="24">
        <v>215400</v>
      </c>
      <c r="T29" s="24">
        <v>208878</v>
      </c>
      <c r="U29" s="24">
        <f>'[3]Аналіз фінансування установ'!$G$323</f>
        <v>208878</v>
      </c>
      <c r="V29" s="24">
        <f>'[3]Аналіз фінансування установ'!$H$323</f>
        <v>0</v>
      </c>
      <c r="W29" s="24">
        <f>'[3]Аналіз фінансування установ'!$I$323</f>
        <v>271500</v>
      </c>
      <c r="X29" s="24">
        <f>'[4]Аналіз фінансування установ'!$J$329</f>
        <v>319200</v>
      </c>
      <c r="Y29" s="24">
        <f>'[4]Аналіз фінансування установ'!$K$329</f>
        <v>459200</v>
      </c>
      <c r="Z29" s="96">
        <f>'[4]Аналіз фінансування установ'!$M$329</f>
        <v>0</v>
      </c>
      <c r="AA29" s="16">
        <f t="shared" si="0"/>
        <v>-319200</v>
      </c>
      <c r="AB29" s="16">
        <f t="shared" si="1"/>
        <v>0</v>
      </c>
      <c r="AC29" s="19">
        <f t="shared" si="2"/>
        <v>0</v>
      </c>
      <c r="AD29" s="19">
        <f t="shared" si="3"/>
        <v>0</v>
      </c>
      <c r="AE29" s="93">
        <f t="shared" si="4"/>
        <v>0</v>
      </c>
      <c r="AF29" s="93">
        <f t="shared" si="5"/>
        <v>0</v>
      </c>
    </row>
    <row r="30" spans="1:32" ht="20.25">
      <c r="A30" s="25" t="s">
        <v>79</v>
      </c>
      <c r="B30" s="33"/>
      <c r="C30" s="33"/>
      <c r="D30" s="33"/>
      <c r="E30" s="33"/>
      <c r="F30" s="33"/>
      <c r="G30" s="34"/>
      <c r="H30" s="24"/>
      <c r="I30" s="24"/>
      <c r="J30" s="17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>
        <f>'[3]Аналіз фінансування установ'!$G$375+'[3]Аналіз фінансування установ'!$G$243</f>
        <v>317520</v>
      </c>
      <c r="V30" s="24">
        <f>'[3]Аналіз фінансування установ'!$H$375+'[3]Аналіз фінансування установ'!$H$243</f>
        <v>99000</v>
      </c>
      <c r="W30" s="24">
        <f>'[3]Аналіз фінансування установ'!$I$375+'[3]Аналіз фінансування установ'!$I$243</f>
        <v>99000</v>
      </c>
      <c r="X30" s="24">
        <f>'[3]Аналіз фінансування установ'!$K$375+'[3]Аналіз фінансування установ'!$K$243</f>
        <v>100000</v>
      </c>
      <c r="Y30" s="24">
        <f>'[4]Аналіз фінансування установ'!$K$393</f>
        <v>0</v>
      </c>
      <c r="Z30" s="96">
        <f>'[4]Аналіз фінансування установ'!$M$393</f>
        <v>49500</v>
      </c>
      <c r="AA30" s="16">
        <f t="shared" si="0"/>
        <v>-50500</v>
      </c>
      <c r="AB30" s="16">
        <f t="shared" si="1"/>
        <v>49.5</v>
      </c>
      <c r="AC30" s="19"/>
      <c r="AD30" s="19"/>
      <c r="AE30" s="93">
        <f t="shared" si="4"/>
        <v>52965</v>
      </c>
      <c r="AF30" s="93">
        <f t="shared" si="5"/>
        <v>56142.9</v>
      </c>
    </row>
    <row r="31" spans="1:32" ht="81">
      <c r="A31" s="25" t="s">
        <v>84</v>
      </c>
      <c r="B31" s="33"/>
      <c r="C31" s="33"/>
      <c r="D31" s="33"/>
      <c r="E31" s="33"/>
      <c r="F31" s="33"/>
      <c r="G31" s="34"/>
      <c r="H31" s="24"/>
      <c r="I31" s="24"/>
      <c r="J31" s="17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>
        <f>'[3]Аналіз фінансування установ'!$I$363</f>
        <v>472050</v>
      </c>
      <c r="X31" s="24">
        <f>'[3]Аналіз фінансування установ'!$K$363</f>
        <v>0</v>
      </c>
      <c r="Y31" s="24">
        <f>'[4]Аналіз фінансування установ'!$K$369</f>
        <v>731470</v>
      </c>
      <c r="Z31" s="96">
        <f>'[4]Аналіз фінансування установ'!$M$369+463019</f>
        <v>1722439</v>
      </c>
      <c r="AA31" s="16">
        <f t="shared" si="0"/>
        <v>1722439</v>
      </c>
      <c r="AB31" s="16"/>
      <c r="AC31" s="19"/>
      <c r="AD31" s="19"/>
      <c r="AE31" s="93">
        <f t="shared" si="4"/>
        <v>1843009.73</v>
      </c>
      <c r="AF31" s="93">
        <f t="shared" si="5"/>
        <v>1953590.3137999999</v>
      </c>
    </row>
    <row r="32" spans="1:32" ht="40.5">
      <c r="A32" s="25" t="s">
        <v>100</v>
      </c>
      <c r="B32" s="33"/>
      <c r="C32" s="33"/>
      <c r="D32" s="33"/>
      <c r="E32" s="33"/>
      <c r="F32" s="33"/>
      <c r="G32" s="34"/>
      <c r="H32" s="24"/>
      <c r="I32" s="24"/>
      <c r="J32" s="17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>
        <f>'[4]Аналіз фінансування установ'!$J$385</f>
        <v>0</v>
      </c>
      <c r="Y32" s="24">
        <f>'[4]Аналіз фінансування установ'!$K$385</f>
        <v>141630</v>
      </c>
      <c r="Z32" s="100">
        <f>'[4]Аналіз фінансування установ'!$M$385</f>
        <v>380000</v>
      </c>
      <c r="AA32" s="16">
        <f t="shared" si="0"/>
        <v>380000</v>
      </c>
      <c r="AB32" s="16"/>
      <c r="AC32" s="19"/>
      <c r="AD32" s="19"/>
      <c r="AE32" s="93">
        <f t="shared" si="4"/>
        <v>406600</v>
      </c>
      <c r="AF32" s="93">
        <f t="shared" si="5"/>
        <v>430996</v>
      </c>
    </row>
    <row r="33" spans="1:32" ht="40.5">
      <c r="A33" s="15" t="s">
        <v>24</v>
      </c>
      <c r="B33" s="33"/>
      <c r="C33" s="33"/>
      <c r="D33" s="33"/>
      <c r="E33" s="33"/>
      <c r="F33" s="33"/>
      <c r="G33" s="34"/>
      <c r="H33" s="24"/>
      <c r="I33" s="24"/>
      <c r="J33" s="17"/>
      <c r="K33" s="24"/>
      <c r="L33" s="17">
        <v>0</v>
      </c>
      <c r="M33" s="17"/>
      <c r="N33" s="24"/>
      <c r="O33" s="17">
        <f>'[1]План на 2020'!AK378</f>
        <v>387130</v>
      </c>
      <c r="P33" s="17">
        <v>120000</v>
      </c>
      <c r="Q33" s="17">
        <f>'[2]План  Лубни на 2021'!$AQ$397</f>
        <v>165000</v>
      </c>
      <c r="R33" s="17">
        <v>195000</v>
      </c>
      <c r="S33" s="17">
        <v>295000</v>
      </c>
      <c r="T33" s="17">
        <v>410000</v>
      </c>
      <c r="U33" s="17">
        <f>'[3]Аналіз фінансування установ'!$G$387</f>
        <v>445000</v>
      </c>
      <c r="V33" s="17">
        <f>'[3]Аналіз фінансування установ'!$H$387</f>
        <v>245328</v>
      </c>
      <c r="W33" s="17">
        <f>'[3]Аналіз фінансування установ'!$I$387</f>
        <v>710328</v>
      </c>
      <c r="X33" s="17">
        <f>'[3]Аналіз фінансування установ'!$K$387</f>
        <v>390600</v>
      </c>
      <c r="Y33" s="17">
        <f>'[4]Аналіз фінансування установ'!$K$401</f>
        <v>390600</v>
      </c>
      <c r="Z33" s="101">
        <f>'[4]Аналіз фінансування установ'!$M$401</f>
        <v>334000</v>
      </c>
      <c r="AA33" s="16">
        <f t="shared" si="0"/>
        <v>-56600</v>
      </c>
      <c r="AB33" s="16">
        <f t="shared" si="1"/>
        <v>85.509472606246788</v>
      </c>
      <c r="AC33" s="19">
        <f t="shared" si="2"/>
        <v>261764.97600000002</v>
      </c>
      <c r="AD33" s="19">
        <f t="shared" si="3"/>
        <v>277470.87456000003</v>
      </c>
      <c r="AE33" s="93">
        <f t="shared" si="4"/>
        <v>357380</v>
      </c>
      <c r="AF33" s="93">
        <f t="shared" si="5"/>
        <v>378822.8</v>
      </c>
    </row>
    <row r="34" spans="1:32" ht="1.5" customHeight="1">
      <c r="A34" s="15" t="s">
        <v>25</v>
      </c>
      <c r="B34" s="35">
        <v>0</v>
      </c>
      <c r="C34" s="35">
        <v>30000</v>
      </c>
      <c r="D34" s="36">
        <v>0</v>
      </c>
      <c r="E34" s="36">
        <v>0</v>
      </c>
      <c r="F34" s="36">
        <v>30000</v>
      </c>
      <c r="G34" s="36">
        <v>30000</v>
      </c>
      <c r="H34" s="17"/>
      <c r="I34" s="17"/>
      <c r="J34" s="17"/>
      <c r="K34" s="17">
        <v>46600</v>
      </c>
      <c r="L34" s="17"/>
      <c r="M34" s="17">
        <v>38024</v>
      </c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8"/>
      <c r="AA34" s="16">
        <f t="shared" si="0"/>
        <v>0</v>
      </c>
      <c r="AB34" s="16" t="e">
        <f t="shared" si="1"/>
        <v>#DIV/0!</v>
      </c>
      <c r="AC34" s="19"/>
      <c r="AD34" s="19"/>
      <c r="AE34" s="93">
        <f t="shared" si="4"/>
        <v>0</v>
      </c>
      <c r="AF34" s="93">
        <f t="shared" si="5"/>
        <v>0</v>
      </c>
    </row>
    <row r="35" spans="1:32" ht="40.5">
      <c r="A35" s="15" t="s">
        <v>26</v>
      </c>
      <c r="B35" s="35">
        <v>0</v>
      </c>
      <c r="C35" s="35">
        <v>417012</v>
      </c>
      <c r="D35" s="37">
        <v>0</v>
      </c>
      <c r="E35" s="37">
        <v>0</v>
      </c>
      <c r="F35" s="37">
        <v>2200000</v>
      </c>
      <c r="G35" s="37">
        <v>3200000</v>
      </c>
      <c r="H35" s="17">
        <v>3000000</v>
      </c>
      <c r="I35" s="17">
        <v>3965000</v>
      </c>
      <c r="J35" s="17">
        <f>5654261+32000</f>
        <v>5686261</v>
      </c>
      <c r="K35" s="17">
        <v>6686261</v>
      </c>
      <c r="L35" s="17">
        <v>4000000</v>
      </c>
      <c r="M35" s="17">
        <v>10090259</v>
      </c>
      <c r="N35" s="17">
        <v>5000000</v>
      </c>
      <c r="O35" s="17">
        <f>'[1]План на 2020'!AK462</f>
        <v>12097368</v>
      </c>
      <c r="P35" s="17">
        <v>9000000</v>
      </c>
      <c r="Q35" s="17">
        <f>'[2]План  Лубни на 2021'!$AQ$487</f>
        <v>7273142</v>
      </c>
      <c r="R35" s="17">
        <v>10000000</v>
      </c>
      <c r="S35" s="17">
        <v>16708086</v>
      </c>
      <c r="T35" s="17">
        <v>34166600</v>
      </c>
      <c r="U35" s="17">
        <f>'[3]Аналіз фінансування установ'!$G$499</f>
        <v>31456600</v>
      </c>
      <c r="V35" s="17">
        <f>'[3]Аналіз фінансування установ'!$H$499</f>
        <v>29439839</v>
      </c>
      <c r="W35" s="17">
        <f>'[3]Аналіз фінансування установ'!$I$499</f>
        <v>33421939</v>
      </c>
      <c r="X35" s="17">
        <f>'[3]Аналіз фінансування установ'!$K$499</f>
        <v>32226600</v>
      </c>
      <c r="Y35" s="17">
        <f>'[4]Аналіз фінансування установ'!$K$535</f>
        <v>44984500</v>
      </c>
      <c r="Z35" s="98">
        <f>'[4]Аналіз фінансування установ'!$M$535</f>
        <v>35300000</v>
      </c>
      <c r="AA35" s="16">
        <f t="shared" si="0"/>
        <v>3073400</v>
      </c>
      <c r="AB35" s="16">
        <f t="shared" si="1"/>
        <v>109.53684223591691</v>
      </c>
      <c r="AC35" s="19">
        <f t="shared" si="2"/>
        <v>31412308.213000003</v>
      </c>
      <c r="AD35" s="19">
        <f t="shared" si="3"/>
        <v>33297046.705780007</v>
      </c>
      <c r="AE35" s="93">
        <f t="shared" si="4"/>
        <v>37771000</v>
      </c>
      <c r="AF35" s="93">
        <f t="shared" si="5"/>
        <v>40037260</v>
      </c>
    </row>
    <row r="36" spans="1:32" ht="40.5">
      <c r="A36" s="15" t="s">
        <v>69</v>
      </c>
      <c r="B36" s="35"/>
      <c r="C36" s="35"/>
      <c r="D36" s="37"/>
      <c r="E36" s="37"/>
      <c r="F36" s="37"/>
      <c r="G36" s="3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>
        <v>0</v>
      </c>
      <c r="S36" s="17">
        <v>6937700</v>
      </c>
      <c r="T36" s="17">
        <v>0</v>
      </c>
      <c r="U36" s="17">
        <f>'[3]Аналіз фінансування установ'!$G$523</f>
        <v>9205000</v>
      </c>
      <c r="V36" s="17">
        <f>'[3]Аналіз фінансування установ'!$H$523</f>
        <v>0</v>
      </c>
      <c r="W36" s="17">
        <f>'[3]Аналіз фінансування установ'!$I$523</f>
        <v>9254790</v>
      </c>
      <c r="X36" s="17">
        <f>'[3]Аналіз фінансування установ'!$K$523</f>
        <v>0</v>
      </c>
      <c r="Y36" s="17">
        <f>'[4]Аналіз фінансування установ'!$K$564</f>
        <v>7618000</v>
      </c>
      <c r="Z36" s="98">
        <f>'[4]Аналіз фінансування установ'!$M$564</f>
        <v>0</v>
      </c>
      <c r="AA36" s="16">
        <f t="shared" si="0"/>
        <v>0</v>
      </c>
      <c r="AB36" s="16"/>
      <c r="AC36" s="19">
        <f t="shared" si="2"/>
        <v>0</v>
      </c>
      <c r="AD36" s="19">
        <f t="shared" si="3"/>
        <v>0</v>
      </c>
      <c r="AE36" s="93">
        <v>10000000</v>
      </c>
      <c r="AF36" s="93">
        <f t="shared" si="5"/>
        <v>10600000</v>
      </c>
    </row>
    <row r="37" spans="1:32" ht="30.75" customHeight="1">
      <c r="A37" s="15" t="s">
        <v>27</v>
      </c>
      <c r="B37" s="35">
        <v>3675000</v>
      </c>
      <c r="C37" s="35">
        <v>3683748</v>
      </c>
      <c r="D37" s="38">
        <v>3700000</v>
      </c>
      <c r="E37" s="38">
        <v>3713000</v>
      </c>
      <c r="F37" s="38">
        <v>4300000</v>
      </c>
      <c r="G37" s="38">
        <v>4694200</v>
      </c>
      <c r="H37" s="17">
        <v>5200000</v>
      </c>
      <c r="I37" s="17">
        <v>7179716</v>
      </c>
      <c r="J37" s="17">
        <v>10413110</v>
      </c>
      <c r="K37" s="17">
        <v>11707610</v>
      </c>
      <c r="L37" s="17">
        <v>12901500</v>
      </c>
      <c r="M37" s="17">
        <v>14994704.4</v>
      </c>
      <c r="N37" s="17">
        <v>17652000</v>
      </c>
      <c r="O37" s="17">
        <f>'[1]План на 2020'!AK454</f>
        <v>18403445</v>
      </c>
      <c r="P37" s="17">
        <v>18215000</v>
      </c>
      <c r="Q37" s="17">
        <f>'[2]План  Лубни на 2021'!$AQ$479</f>
        <v>19810536</v>
      </c>
      <c r="R37" s="17">
        <v>24500000</v>
      </c>
      <c r="S37" s="17">
        <f>21508219+100000</f>
        <v>21608219</v>
      </c>
      <c r="T37" s="17">
        <f>100000+27776400+36000</f>
        <v>27912400</v>
      </c>
      <c r="U37" s="17">
        <f>'[3]Аналіз фінансування установ'!$G$486+'[3]Аналіз фінансування установ'!$G$495</f>
        <v>26672089</v>
      </c>
      <c r="V37" s="17">
        <f>'[3]Аналіз фінансування установ'!$H$486+'[3]Аналіз фінансування установ'!$H$495</f>
        <v>31183903</v>
      </c>
      <c r="W37" s="17">
        <f>'[3]Аналіз фінансування установ'!$I$486+'[3]Аналіз фінансування установ'!$I$495</f>
        <v>32750055.66</v>
      </c>
      <c r="X37" s="17">
        <f>'[4]Аналіз фінансування установ'!$J$522</f>
        <v>31817850</v>
      </c>
      <c r="Y37" s="17">
        <f>'[4]Аналіз фінансування установ'!$K$522</f>
        <v>39304950</v>
      </c>
      <c r="Z37" s="98">
        <f>'[4]Аналіз фінансування установ'!$M$522</f>
        <v>40704000</v>
      </c>
      <c r="AA37" s="16">
        <f t="shared" si="0"/>
        <v>8886150</v>
      </c>
      <c r="AB37" s="16">
        <f t="shared" si="1"/>
        <v>127.92819125113732</v>
      </c>
      <c r="AC37" s="19">
        <f t="shared" si="2"/>
        <v>33273224.500999998</v>
      </c>
      <c r="AD37" s="19">
        <f t="shared" si="3"/>
        <v>35269617.97106</v>
      </c>
      <c r="AE37" s="93">
        <f t="shared" si="4"/>
        <v>43553280</v>
      </c>
      <c r="AF37" s="93">
        <f t="shared" si="5"/>
        <v>46166476.799999997</v>
      </c>
    </row>
    <row r="38" spans="1:32" ht="40.5">
      <c r="A38" s="15" t="s">
        <v>28</v>
      </c>
      <c r="B38" s="35"/>
      <c r="C38" s="35"/>
      <c r="D38" s="38">
        <v>0</v>
      </c>
      <c r="E38" s="38">
        <v>0</v>
      </c>
      <c r="F38" s="38">
        <v>0</v>
      </c>
      <c r="G38" s="38">
        <v>1495806.5</v>
      </c>
      <c r="H38" s="17"/>
      <c r="I38" s="17">
        <v>1495008</v>
      </c>
      <c r="J38" s="17"/>
      <c r="K38" s="17">
        <v>1121000</v>
      </c>
      <c r="L38" s="17">
        <v>0</v>
      </c>
      <c r="M38" s="17">
        <f>3140000+172152.48</f>
        <v>3312152.48</v>
      </c>
      <c r="N38" s="17">
        <v>140000</v>
      </c>
      <c r="O38" s="17">
        <f>'[1]План на 2020'!AK452+'[1]План на 2020'!AK487+109950</f>
        <v>2430272.62</v>
      </c>
      <c r="P38" s="17">
        <v>420000</v>
      </c>
      <c r="Q38" s="17">
        <f>'[2]План  Лубни на 2021'!$AQ$477+'[2]План  Лубни на 2021'!$AQ$513</f>
        <v>3860000</v>
      </c>
      <c r="R38" s="17">
        <v>30000</v>
      </c>
      <c r="S38" s="17">
        <v>3935000</v>
      </c>
      <c r="T38" s="17">
        <v>200000</v>
      </c>
      <c r="U38" s="17">
        <f>'[3]Аналіз фінансування установ'!$G$484</f>
        <v>7595000</v>
      </c>
      <c r="V38" s="17">
        <f>'[3]Аналіз фінансування установ'!$H$484</f>
        <v>200000</v>
      </c>
      <c r="W38" s="17">
        <f>'[3]Аналіз фінансування установ'!$I$484</f>
        <v>8967999</v>
      </c>
      <c r="X38" s="17">
        <f>'[3]Аналіз фінансування установ'!$K$484</f>
        <v>18786250</v>
      </c>
      <c r="Y38" s="17">
        <f>'[4]Аналіз фінансування установ'!$K$521</f>
        <v>16820258</v>
      </c>
      <c r="Z38" s="98">
        <f>'[4]Аналіз фінансування установ'!$M$566+'[4]Аналіз фінансування установ'!$M$520</f>
        <v>21500000</v>
      </c>
      <c r="AA38" s="16">
        <f t="shared" si="0"/>
        <v>2713750</v>
      </c>
      <c r="AB38" s="16">
        <f t="shared" si="1"/>
        <v>114.44540554927141</v>
      </c>
      <c r="AC38" s="19">
        <f t="shared" si="2"/>
        <v>213400</v>
      </c>
      <c r="AD38" s="19">
        <f t="shared" si="3"/>
        <v>226204</v>
      </c>
      <c r="AE38" s="93">
        <f t="shared" si="4"/>
        <v>23005000</v>
      </c>
      <c r="AF38" s="93">
        <f t="shared" si="5"/>
        <v>24385300</v>
      </c>
    </row>
    <row r="39" spans="1:32" ht="40.5">
      <c r="A39" s="15" t="s">
        <v>29</v>
      </c>
      <c r="B39" s="35"/>
      <c r="C39" s="35"/>
      <c r="D39" s="38"/>
      <c r="E39" s="38"/>
      <c r="F39" s="38"/>
      <c r="G39" s="38"/>
      <c r="H39" s="17"/>
      <c r="I39" s="17"/>
      <c r="J39" s="17"/>
      <c r="K39" s="17">
        <v>90000</v>
      </c>
      <c r="L39" s="17">
        <v>0</v>
      </c>
      <c r="M39" s="17">
        <v>133600</v>
      </c>
      <c r="N39" s="17">
        <v>0</v>
      </c>
      <c r="O39" s="17">
        <f>'[1]План на 2020'!AK448</f>
        <v>180000</v>
      </c>
      <c r="P39" s="17">
        <v>100000</v>
      </c>
      <c r="Q39" s="17">
        <f>'[2]План  Лубни на 2021'!$AQ$473</f>
        <v>200500</v>
      </c>
      <c r="R39" s="17">
        <v>200000</v>
      </c>
      <c r="S39" s="17">
        <v>817865</v>
      </c>
      <c r="T39" s="17">
        <f>420000+448000</f>
        <v>868000</v>
      </c>
      <c r="U39" s="17">
        <f>'[3]Аналіз фінансування установ'!$G$479+'[3]Аналіз фінансування установ'!$G$492</f>
        <v>568000</v>
      </c>
      <c r="V39" s="17">
        <f>'[3]Аналіз фінансування установ'!$H$479+'[3]Аналіз фінансування установ'!$H$492</f>
        <v>448000</v>
      </c>
      <c r="W39" s="17">
        <f>'[3]Аналіз фінансування установ'!$I$479+'[3]Аналіз фінансування установ'!$I$492</f>
        <v>1170335</v>
      </c>
      <c r="X39" s="17">
        <f>'[3]Аналіз фінансування установ'!$K$479+'[3]Аналіз фінансування установ'!$K$492</f>
        <v>350000</v>
      </c>
      <c r="Y39" s="17">
        <f>'[4]Аналіз фінансування установ'!$K$515</f>
        <v>651158</v>
      </c>
      <c r="Z39" s="98">
        <f>'[4]Аналіз фінансування установ'!$M$515</f>
        <v>350000</v>
      </c>
      <c r="AA39" s="16">
        <f t="shared" si="0"/>
        <v>0</v>
      </c>
      <c r="AB39" s="16">
        <f t="shared" si="1"/>
        <v>100</v>
      </c>
      <c r="AC39" s="19">
        <f t="shared" si="2"/>
        <v>478016</v>
      </c>
      <c r="AD39" s="19">
        <f t="shared" si="3"/>
        <v>506696.96000000002</v>
      </c>
      <c r="AE39" s="93">
        <f t="shared" si="4"/>
        <v>374500</v>
      </c>
      <c r="AF39" s="93">
        <f t="shared" si="5"/>
        <v>396970</v>
      </c>
    </row>
    <row r="40" spans="1:32" ht="0.75" customHeight="1">
      <c r="A40" s="39" t="s">
        <v>30</v>
      </c>
      <c r="B40" s="35">
        <v>0</v>
      </c>
      <c r="C40" s="35">
        <v>29711</v>
      </c>
      <c r="D40" s="38">
        <v>0</v>
      </c>
      <c r="E40" s="38">
        <v>0</v>
      </c>
      <c r="F40" s="38">
        <v>0</v>
      </c>
      <c r="G40" s="38">
        <v>20000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8"/>
      <c r="AA40" s="16">
        <f t="shared" si="0"/>
        <v>0</v>
      </c>
      <c r="AB40" s="16" t="e">
        <f t="shared" si="1"/>
        <v>#DIV/0!</v>
      </c>
      <c r="AC40" s="19">
        <f t="shared" si="2"/>
        <v>0</v>
      </c>
      <c r="AD40" s="19">
        <f t="shared" si="3"/>
        <v>0</v>
      </c>
      <c r="AE40" s="93">
        <f t="shared" si="4"/>
        <v>0</v>
      </c>
      <c r="AF40" s="93">
        <f t="shared" si="5"/>
        <v>0</v>
      </c>
    </row>
    <row r="41" spans="1:32" ht="20.25">
      <c r="A41" s="15" t="s">
        <v>70</v>
      </c>
      <c r="B41" s="35">
        <v>200000</v>
      </c>
      <c r="C41" s="35">
        <v>193435</v>
      </c>
      <c r="D41" s="38">
        <v>195000</v>
      </c>
      <c r="E41" s="38">
        <v>175000</v>
      </c>
      <c r="F41" s="38">
        <v>180000</v>
      </c>
      <c r="G41" s="38">
        <v>239698</v>
      </c>
      <c r="H41" s="17">
        <v>250000</v>
      </c>
      <c r="I41" s="17">
        <v>316500</v>
      </c>
      <c r="J41" s="17">
        <v>420000</v>
      </c>
      <c r="K41" s="17">
        <v>420000</v>
      </c>
      <c r="L41" s="17">
        <v>500000</v>
      </c>
      <c r="M41" s="17">
        <v>535252</v>
      </c>
      <c r="N41" s="17"/>
      <c r="O41" s="17"/>
      <c r="P41" s="17"/>
      <c r="Q41" s="17"/>
      <c r="R41" s="17">
        <v>0</v>
      </c>
      <c r="S41" s="17">
        <v>304806</v>
      </c>
      <c r="T41" s="17">
        <v>390000</v>
      </c>
      <c r="U41" s="17">
        <f>'[3]Аналіз фінансування установ'!$G$117</f>
        <v>390000</v>
      </c>
      <c r="V41" s="17">
        <f>'[3]Аналіз фінансування установ'!$H$117</f>
        <v>560000</v>
      </c>
      <c r="W41" s="17">
        <f>'[3]Аналіз фінансування установ'!$I$117</f>
        <v>560000</v>
      </c>
      <c r="X41" s="17">
        <f>'[3]Аналіз фінансування установ'!$K$117</f>
        <v>650000</v>
      </c>
      <c r="Y41" s="17">
        <f>'[4]Аналіз фінансування установ'!$K$114</f>
        <v>650000</v>
      </c>
      <c r="Z41" s="98">
        <f>'[4]Аналіз фінансування установ'!$M$114</f>
        <v>700000</v>
      </c>
      <c r="AA41" s="16">
        <f t="shared" si="0"/>
        <v>50000</v>
      </c>
      <c r="AB41" s="16">
        <f t="shared" si="1"/>
        <v>107.69230769230769</v>
      </c>
      <c r="AC41" s="19"/>
      <c r="AD41" s="19"/>
      <c r="AE41" s="93">
        <f t="shared" si="4"/>
        <v>749000</v>
      </c>
      <c r="AF41" s="93">
        <f t="shared" si="5"/>
        <v>793940</v>
      </c>
    </row>
    <row r="42" spans="1:32" ht="18.75">
      <c r="A42" s="81" t="s">
        <v>31</v>
      </c>
      <c r="B42" s="21">
        <f t="shared" ref="B42:I42" si="9">B43+B44+B45</f>
        <v>1783800</v>
      </c>
      <c r="C42" s="16">
        <f t="shared" si="9"/>
        <v>1885580</v>
      </c>
      <c r="D42" s="40">
        <f t="shared" si="9"/>
        <v>1920000</v>
      </c>
      <c r="E42" s="40">
        <f t="shared" si="9"/>
        <v>1869335.71</v>
      </c>
      <c r="F42" s="40">
        <f t="shared" si="9"/>
        <v>2080000</v>
      </c>
      <c r="G42" s="40">
        <f t="shared" si="9"/>
        <v>2558693.5099999998</v>
      </c>
      <c r="H42" s="40">
        <f t="shared" si="9"/>
        <v>2624600</v>
      </c>
      <c r="I42" s="40">
        <f t="shared" si="9"/>
        <v>3073493</v>
      </c>
      <c r="J42" s="40">
        <f>J43+J44+J45</f>
        <v>3623240</v>
      </c>
      <c r="K42" s="40">
        <f>K43+K44+K45</f>
        <v>4319155</v>
      </c>
      <c r="L42" s="40">
        <f>SUM(L43:L45)</f>
        <v>4735000</v>
      </c>
      <c r="M42" s="40">
        <f>SUM(M43:M45)</f>
        <v>4742304</v>
      </c>
      <c r="N42" s="40">
        <f>SUM(N43:N45)</f>
        <v>5640600</v>
      </c>
      <c r="O42" s="40">
        <f>SUM(O43:O45)</f>
        <v>5703794</v>
      </c>
      <c r="P42" s="40">
        <f>SUM(P43:P45)</f>
        <v>6060900</v>
      </c>
      <c r="Q42" s="40">
        <f>'[2]План  Лубни на 2021'!$AP$661*1000</f>
        <v>6407330.2599999998</v>
      </c>
      <c r="R42" s="40">
        <v>9217350</v>
      </c>
      <c r="S42" s="40">
        <f>S43+S44+S45</f>
        <v>9567700</v>
      </c>
      <c r="T42" s="40">
        <f>T43+T44+T45</f>
        <v>10443100</v>
      </c>
      <c r="U42" s="40">
        <f>U43+U44+U45</f>
        <v>10324304</v>
      </c>
      <c r="V42" s="40">
        <f t="shared" ref="V42:Z42" si="10">V43+V44+V45</f>
        <v>11270852</v>
      </c>
      <c r="W42" s="40">
        <f>W43+W44+W45+W46</f>
        <v>12813943.5</v>
      </c>
      <c r="X42" s="40">
        <f t="shared" si="10"/>
        <v>12330840</v>
      </c>
      <c r="Y42" s="40">
        <f t="shared" si="10"/>
        <v>13305069</v>
      </c>
      <c r="Z42" s="97">
        <f t="shared" si="10"/>
        <v>13290000</v>
      </c>
      <c r="AA42" s="16">
        <f t="shared" si="0"/>
        <v>959160</v>
      </c>
      <c r="AB42" s="16">
        <f t="shared" si="1"/>
        <v>107.77854550054984</v>
      </c>
      <c r="AC42" s="19">
        <f t="shared" si="2"/>
        <v>12025999.084000001</v>
      </c>
      <c r="AD42" s="19">
        <f t="shared" si="3"/>
        <v>12747559.029040001</v>
      </c>
      <c r="AE42" s="93">
        <f t="shared" si="4"/>
        <v>14220300</v>
      </c>
      <c r="AF42" s="93">
        <f t="shared" si="5"/>
        <v>15073518</v>
      </c>
    </row>
    <row r="43" spans="1:32" ht="20.25">
      <c r="A43" s="25" t="s">
        <v>32</v>
      </c>
      <c r="B43" s="41">
        <v>1263800</v>
      </c>
      <c r="C43" s="41">
        <v>1385910</v>
      </c>
      <c r="D43" s="42">
        <v>1400000</v>
      </c>
      <c r="E43" s="42">
        <v>1380665.71</v>
      </c>
      <c r="F43" s="42">
        <v>1500000</v>
      </c>
      <c r="G43" s="42">
        <v>1856600</v>
      </c>
      <c r="H43" s="17">
        <v>1936500</v>
      </c>
      <c r="I43" s="17">
        <v>2096202</v>
      </c>
      <c r="J43" s="24">
        <v>2537240</v>
      </c>
      <c r="K43" s="24">
        <v>3113155</v>
      </c>
      <c r="L43" s="24">
        <v>3448000</v>
      </c>
      <c r="M43" s="24">
        <v>3198804</v>
      </c>
      <c r="N43" s="24">
        <v>3990000</v>
      </c>
      <c r="O43" s="24">
        <f>'[1]План на 2020'!AK209</f>
        <v>3965500</v>
      </c>
      <c r="P43" s="24">
        <v>4300000</v>
      </c>
      <c r="Q43" s="24">
        <f>'[2]План  Лубни на 2021'!$AQ$228</f>
        <v>4616430.26</v>
      </c>
      <c r="R43" s="24">
        <v>7200000</v>
      </c>
      <c r="S43" s="24">
        <v>7440244</v>
      </c>
      <c r="T43" s="24">
        <v>7628200</v>
      </c>
      <c r="U43" s="24">
        <f>'[3]Аналіз фінансування установ'!$G$246</f>
        <v>8220124</v>
      </c>
      <c r="V43" s="24">
        <f>'[3]Аналіз фінансування установ'!$H$246</f>
        <v>8611200</v>
      </c>
      <c r="W43" s="24">
        <f>'[3]Аналіз фінансування установ'!$I$246</f>
        <v>9155247.5</v>
      </c>
      <c r="X43" s="24">
        <f>'[3]Аналіз фінансування установ'!$K$246</f>
        <v>9245000</v>
      </c>
      <c r="Y43" s="24">
        <f>'[4]Аналіз фінансування установ'!$K$248</f>
        <v>9540429</v>
      </c>
      <c r="Z43" s="96">
        <f>'[4]Аналіз фінансування установ'!$M$248</f>
        <v>9800000</v>
      </c>
      <c r="AA43" s="16">
        <f t="shared" si="0"/>
        <v>555000</v>
      </c>
      <c r="AB43" s="16">
        <f t="shared" si="1"/>
        <v>106.00324499729584</v>
      </c>
      <c r="AC43" s="19">
        <f t="shared" si="2"/>
        <v>9188150.4000000004</v>
      </c>
      <c r="AD43" s="19">
        <f t="shared" si="3"/>
        <v>9739439.4240000006</v>
      </c>
      <c r="AE43" s="93">
        <f t="shared" si="4"/>
        <v>10486000</v>
      </c>
      <c r="AF43" s="93">
        <f t="shared" si="5"/>
        <v>11115160</v>
      </c>
    </row>
    <row r="44" spans="1:32" ht="20.25">
      <c r="A44" s="25" t="s">
        <v>33</v>
      </c>
      <c r="B44" s="41">
        <v>300000</v>
      </c>
      <c r="C44" s="41">
        <v>279670</v>
      </c>
      <c r="D44" s="42">
        <v>280000</v>
      </c>
      <c r="E44" s="42">
        <v>248670</v>
      </c>
      <c r="F44" s="42">
        <v>300000</v>
      </c>
      <c r="G44" s="42">
        <v>365905</v>
      </c>
      <c r="H44" s="17">
        <v>376000</v>
      </c>
      <c r="I44" s="17">
        <v>576000</v>
      </c>
      <c r="J44" s="24">
        <v>536000</v>
      </c>
      <c r="K44" s="24">
        <v>656000</v>
      </c>
      <c r="L44" s="24">
        <v>647000</v>
      </c>
      <c r="M44" s="24">
        <f>725000+72000</f>
        <v>797000</v>
      </c>
      <c r="N44" s="24">
        <v>830000</v>
      </c>
      <c r="O44" s="24">
        <f>'[1]План на 2020'!AK57+'[1]План на 2020'!AK59+'[1]План на 2020'!AK61</f>
        <v>880000</v>
      </c>
      <c r="P44" s="24">
        <v>832000</v>
      </c>
      <c r="Q44" s="24">
        <f>'[2]План  Лубни на 2021'!$AQ$66+'[2]План  Лубни на 2021'!$AQ$70+'[2]План  Лубни на 2021'!$AQ$73</f>
        <v>832000</v>
      </c>
      <c r="R44" s="24">
        <v>1010450</v>
      </c>
      <c r="S44" s="24">
        <v>1022556</v>
      </c>
      <c r="T44" s="24">
        <v>1314900</v>
      </c>
      <c r="U44" s="24">
        <f>'[3]Аналіз фінансування установ'!$G$71+'[3]Аналіз фінансування установ'!$G$74+'[3]Аналіз фінансування установ'!$G$77</f>
        <v>666180</v>
      </c>
      <c r="V44" s="24">
        <f>'[3]Аналіз фінансування установ'!$H$71+'[3]Аналіз фінансування установ'!$H$74+'[3]Аналіз фінансування установ'!$H$77</f>
        <v>1120000</v>
      </c>
      <c r="W44" s="24">
        <f>'[3]Аналіз фінансування установ'!$I$71+'[3]Аналіз фінансування установ'!$I$74+'[3]Аналіз фінансування установ'!$I$77</f>
        <v>1420000</v>
      </c>
      <c r="X44" s="24">
        <f>'[3]Аналіз фінансування установ'!$K$71+'[3]Аналіз фінансування установ'!$K$74+'[3]Аналіз фінансування установ'!$K$77</f>
        <v>1475000</v>
      </c>
      <c r="Y44" s="24">
        <f>'[4]Аналіз фінансування установ'!$K$71+'[4]Аналіз фінансування установ'!$K$74+'[4]Аналіз фінансування установ'!$K$77</f>
        <v>1875000</v>
      </c>
      <c r="Z44" s="96">
        <f>'[4]Аналіз фінансування установ'!$M$71+'[4]Аналіз фінансування установ'!$M$74+'[4]Аналіз фінансування установ'!$M$77</f>
        <v>1590000</v>
      </c>
      <c r="AA44" s="16">
        <f t="shared" si="0"/>
        <v>115000</v>
      </c>
      <c r="AB44" s="16">
        <f t="shared" si="1"/>
        <v>107.79661016949153</v>
      </c>
      <c r="AC44" s="19">
        <f t="shared" si="2"/>
        <v>1195040</v>
      </c>
      <c r="AD44" s="19">
        <f t="shared" si="3"/>
        <v>1266742.3999999999</v>
      </c>
      <c r="AE44" s="93">
        <f t="shared" si="4"/>
        <v>1701300</v>
      </c>
      <c r="AF44" s="93">
        <f t="shared" si="5"/>
        <v>1803378</v>
      </c>
    </row>
    <row r="45" spans="1:32" ht="18.75" customHeight="1">
      <c r="A45" s="25" t="s">
        <v>34</v>
      </c>
      <c r="B45" s="41">
        <v>220000</v>
      </c>
      <c r="C45" s="41">
        <v>220000</v>
      </c>
      <c r="D45" s="42">
        <v>240000</v>
      </c>
      <c r="E45" s="42">
        <v>240000</v>
      </c>
      <c r="F45" s="42">
        <v>280000</v>
      </c>
      <c r="G45" s="43">
        <v>336188.51</v>
      </c>
      <c r="H45" s="17">
        <v>312100</v>
      </c>
      <c r="I45" s="17">
        <v>401291</v>
      </c>
      <c r="J45" s="24">
        <v>550000</v>
      </c>
      <c r="K45" s="24">
        <v>550000</v>
      </c>
      <c r="L45" s="24">
        <v>640000</v>
      </c>
      <c r="M45" s="24">
        <v>746500</v>
      </c>
      <c r="N45" s="24">
        <v>820600</v>
      </c>
      <c r="O45" s="24">
        <f>'[1]План на 2020'!AK63</f>
        <v>858294</v>
      </c>
      <c r="P45" s="24">
        <v>928900</v>
      </c>
      <c r="Q45" s="24">
        <f>'[2]План  Лубни на 2021'!$AQ$76</f>
        <v>958900</v>
      </c>
      <c r="R45" s="24">
        <v>1006900</v>
      </c>
      <c r="S45" s="24">
        <v>1104900</v>
      </c>
      <c r="T45" s="24">
        <v>1500000</v>
      </c>
      <c r="U45" s="24">
        <f>'[3]Аналіз фінансування установ'!$G$79</f>
        <v>1438000</v>
      </c>
      <c r="V45" s="24">
        <f>'[3]Аналіз фінансування установ'!$H$79</f>
        <v>1539652</v>
      </c>
      <c r="W45" s="24">
        <f>'[3]Аналіз фінансування установ'!$I$79</f>
        <v>2189652</v>
      </c>
      <c r="X45" s="24">
        <f>'[3]Аналіз фінансування установ'!$K$79</f>
        <v>1610840</v>
      </c>
      <c r="Y45" s="24">
        <f>'[4]Аналіз фінансування установ'!$K$79</f>
        <v>1889640</v>
      </c>
      <c r="Z45" s="96">
        <f>'[4]Аналіз фінансування установ'!$M$79</f>
        <v>1900000</v>
      </c>
      <c r="AA45" s="16">
        <f t="shared" si="0"/>
        <v>289160</v>
      </c>
      <c r="AB45" s="16">
        <f t="shared" si="1"/>
        <v>117.95088276923842</v>
      </c>
      <c r="AC45" s="19">
        <f t="shared" si="2"/>
        <v>1642808.6840000001</v>
      </c>
      <c r="AD45" s="19">
        <f t="shared" si="3"/>
        <v>1741377.2050400001</v>
      </c>
      <c r="AE45" s="93">
        <f t="shared" si="4"/>
        <v>2033000</v>
      </c>
      <c r="AF45" s="93">
        <f t="shared" si="5"/>
        <v>2154980</v>
      </c>
    </row>
    <row r="46" spans="1:32" ht="20.25">
      <c r="A46" s="25" t="s">
        <v>86</v>
      </c>
      <c r="B46" s="35">
        <v>10000</v>
      </c>
      <c r="C46" s="35">
        <v>0</v>
      </c>
      <c r="D46" s="38">
        <v>10000</v>
      </c>
      <c r="E46" s="38">
        <v>0</v>
      </c>
      <c r="F46" s="38">
        <v>10000</v>
      </c>
      <c r="G46" s="38">
        <v>0</v>
      </c>
      <c r="H46" s="17">
        <v>50000</v>
      </c>
      <c r="I46" s="17"/>
      <c r="J46" s="17">
        <v>50000</v>
      </c>
      <c r="K46" s="17">
        <v>0</v>
      </c>
      <c r="L46" s="17">
        <v>0</v>
      </c>
      <c r="M46" s="17">
        <v>0</v>
      </c>
      <c r="N46" s="17">
        <v>0</v>
      </c>
      <c r="O46" s="17"/>
      <c r="P46" s="17">
        <v>0</v>
      </c>
      <c r="Q46" s="17">
        <f>'[2]План  Лубни на 2021'!$AQ$80</f>
        <v>77000</v>
      </c>
      <c r="R46" s="24">
        <v>0</v>
      </c>
      <c r="S46" s="24">
        <v>90000</v>
      </c>
      <c r="T46" s="24">
        <v>0</v>
      </c>
      <c r="U46" s="24">
        <f>'[3]Аналіз фінансування установ'!$G$84</f>
        <v>0</v>
      </c>
      <c r="V46" s="24">
        <f>'[3]Аналіз фінансування установ'!$H$84</f>
        <v>0</v>
      </c>
      <c r="W46" s="24">
        <f>'[3]Аналіз фінансування установ'!$I$84</f>
        <v>49044</v>
      </c>
      <c r="X46" s="17">
        <f>'[3]Аналіз фінансування установ'!$K$84</f>
        <v>0</v>
      </c>
      <c r="Y46" s="17">
        <f>'[4]Аналіз фінансування установ'!$K$81</f>
        <v>72762</v>
      </c>
      <c r="Z46" s="98">
        <f>'[4]Аналіз фінансування установ'!$M$81</f>
        <v>0</v>
      </c>
      <c r="AA46" s="16">
        <f t="shared" si="0"/>
        <v>0</v>
      </c>
      <c r="AB46" s="16"/>
      <c r="AC46" s="19">
        <f t="shared" si="2"/>
        <v>0</v>
      </c>
      <c r="AD46" s="19">
        <f t="shared" si="3"/>
        <v>0</v>
      </c>
      <c r="AE46" s="93">
        <v>80000</v>
      </c>
      <c r="AF46" s="93">
        <f t="shared" si="5"/>
        <v>84800</v>
      </c>
    </row>
    <row r="47" spans="1:32" ht="20.25">
      <c r="A47" s="15" t="s">
        <v>35</v>
      </c>
      <c r="B47" s="35"/>
      <c r="C47" s="35"/>
      <c r="D47" s="38"/>
      <c r="E47" s="38"/>
      <c r="F47" s="38"/>
      <c r="G47" s="38"/>
      <c r="H47" s="17"/>
      <c r="I47" s="17"/>
      <c r="J47" s="17"/>
      <c r="K47" s="17"/>
      <c r="L47" s="17">
        <v>0</v>
      </c>
      <c r="M47" s="17">
        <v>19080</v>
      </c>
      <c r="N47" s="17">
        <v>22000</v>
      </c>
      <c r="O47" s="17">
        <f>'[1]План на 2020'!AK91</f>
        <v>21600</v>
      </c>
      <c r="P47" s="17">
        <v>25000</v>
      </c>
      <c r="Q47" s="17">
        <f>'[2]План  Лубни на 2021'!$AQ$104+'[2]План  Лубни на 2021'!$AQ$503</f>
        <v>75000</v>
      </c>
      <c r="R47" s="17">
        <v>80000</v>
      </c>
      <c r="S47" s="17">
        <v>176600</v>
      </c>
      <c r="T47" s="17">
        <f>200000+30000</f>
        <v>230000</v>
      </c>
      <c r="U47" s="17">
        <f>'[3]Аналіз фінансування установ'!$G$91+'[3]Аналіз фінансування установ'!$G$503</f>
        <v>130000</v>
      </c>
      <c r="V47" s="17">
        <f>'[3]Аналіз фінансування установ'!$H$91+'[3]Аналіз фінансування установ'!$H$503</f>
        <v>130000</v>
      </c>
      <c r="W47" s="17">
        <f>'[3]Аналіз фінансування установ'!$I$91+'[3]Аналіз фінансування установ'!$I$503</f>
        <v>36000</v>
      </c>
      <c r="X47" s="17">
        <f>'[3]Аналіз фінансування установ'!$K$91+'[3]Аналіз фінансування установ'!$K$503</f>
        <v>50000</v>
      </c>
      <c r="Y47" s="17">
        <f>'[4]Аналіз фінансування установ'!$K$542</f>
        <v>43200</v>
      </c>
      <c r="Z47" s="98">
        <f>'[4]Аналіз фінансування установ'!$M$542</f>
        <v>40000</v>
      </c>
      <c r="AA47" s="16">
        <f t="shared" si="0"/>
        <v>-10000</v>
      </c>
      <c r="AB47" s="16">
        <f t="shared" si="1"/>
        <v>80</v>
      </c>
      <c r="AC47" s="19">
        <f t="shared" si="2"/>
        <v>138710</v>
      </c>
      <c r="AD47" s="19">
        <f t="shared" si="3"/>
        <v>147032.6</v>
      </c>
      <c r="AE47" s="93">
        <f t="shared" si="4"/>
        <v>42800</v>
      </c>
      <c r="AF47" s="93">
        <f t="shared" si="5"/>
        <v>45368</v>
      </c>
    </row>
    <row r="48" spans="1:32" ht="20.25">
      <c r="A48" s="15" t="s">
        <v>51</v>
      </c>
      <c r="B48" s="35"/>
      <c r="C48" s="35"/>
      <c r="D48" s="38"/>
      <c r="E48" s="38"/>
      <c r="F48" s="38"/>
      <c r="G48" s="38"/>
      <c r="H48" s="17"/>
      <c r="I48" s="17"/>
      <c r="J48" s="17"/>
      <c r="K48" s="17">
        <v>3964908</v>
      </c>
      <c r="L48" s="17"/>
      <c r="M48" s="17"/>
      <c r="N48" s="17"/>
      <c r="O48" s="17"/>
      <c r="P48" s="17"/>
      <c r="Q48" s="17">
        <f>'[2]План  Лубни на 2021'!$AQ$98</f>
        <v>2930014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98">
        <v>0</v>
      </c>
      <c r="AA48" s="16">
        <f t="shared" si="0"/>
        <v>0</v>
      </c>
      <c r="AB48" s="16"/>
      <c r="AC48" s="19">
        <f t="shared" si="2"/>
        <v>0</v>
      </c>
      <c r="AD48" s="19">
        <f t="shared" si="3"/>
        <v>0</v>
      </c>
      <c r="AE48" s="93">
        <f t="shared" si="4"/>
        <v>0</v>
      </c>
      <c r="AF48" s="93">
        <f t="shared" si="5"/>
        <v>0</v>
      </c>
    </row>
    <row r="49" spans="1:32" ht="20.25">
      <c r="A49" s="15" t="s">
        <v>36</v>
      </c>
      <c r="B49" s="35">
        <v>161600</v>
      </c>
      <c r="C49" s="35">
        <v>168124</v>
      </c>
      <c r="D49" s="38">
        <v>170000</v>
      </c>
      <c r="E49" s="38">
        <v>171500</v>
      </c>
      <c r="F49" s="38">
        <v>175000</v>
      </c>
      <c r="G49" s="38">
        <v>239849</v>
      </c>
      <c r="H49" s="17">
        <v>278000</v>
      </c>
      <c r="I49" s="17">
        <v>296200</v>
      </c>
      <c r="J49" s="17">
        <v>364600</v>
      </c>
      <c r="K49" s="17">
        <v>395100</v>
      </c>
      <c r="L49" s="17">
        <v>458480</v>
      </c>
      <c r="M49" s="17">
        <v>521482</v>
      </c>
      <c r="N49" s="17">
        <v>570000</v>
      </c>
      <c r="O49" s="17">
        <f>'[1]План на 2020'!AK466</f>
        <v>612930</v>
      </c>
      <c r="P49" s="17">
        <v>690000</v>
      </c>
      <c r="Q49" s="17">
        <f>'[2]План  Лубни на 2021'!$AQ$491</f>
        <v>719000</v>
      </c>
      <c r="R49" s="17">
        <v>907000</v>
      </c>
      <c r="S49" s="17">
        <v>942570</v>
      </c>
      <c r="T49" s="17">
        <v>1000000</v>
      </c>
      <c r="U49" s="17">
        <f>'[3]Аналіз фінансування установ'!$G$506</f>
        <v>1000500</v>
      </c>
      <c r="V49" s="17">
        <f>'[3]Аналіз фінансування установ'!$H$506</f>
        <v>1073000</v>
      </c>
      <c r="W49" s="17">
        <f>'[3]Аналіз фінансування установ'!$I$506</f>
        <v>1177800</v>
      </c>
      <c r="X49" s="17">
        <f>'[3]Аналіз фінансування установ'!$K$506</f>
        <v>1253500</v>
      </c>
      <c r="Y49" s="17">
        <f>'[4]Аналіз фінансування установ'!$K$545</f>
        <v>1491100</v>
      </c>
      <c r="Z49" s="98">
        <f>'[4]Аналіз фінансування установ'!$M$545</f>
        <v>1545000</v>
      </c>
      <c r="AA49" s="16">
        <f t="shared" si="0"/>
        <v>291500</v>
      </c>
      <c r="AB49" s="16">
        <f t="shared" si="1"/>
        <v>123.25488631830875</v>
      </c>
      <c r="AC49" s="19">
        <f t="shared" si="2"/>
        <v>1144891</v>
      </c>
      <c r="AD49" s="19">
        <f t="shared" si="3"/>
        <v>1213584.46</v>
      </c>
      <c r="AE49" s="93">
        <f t="shared" si="4"/>
        <v>1653150</v>
      </c>
      <c r="AF49" s="93">
        <f t="shared" si="5"/>
        <v>1752339</v>
      </c>
    </row>
    <row r="50" spans="1:32" ht="59.25" customHeight="1">
      <c r="A50" s="81" t="s">
        <v>37</v>
      </c>
      <c r="B50" s="35">
        <v>20000</v>
      </c>
      <c r="C50" s="35">
        <v>19300</v>
      </c>
      <c r="D50" s="38">
        <v>20000</v>
      </c>
      <c r="E50" s="38">
        <v>25000</v>
      </c>
      <c r="F50" s="38">
        <v>25000</v>
      </c>
      <c r="G50" s="38">
        <v>155000</v>
      </c>
      <c r="H50" s="17">
        <v>35000</v>
      </c>
      <c r="I50" s="17">
        <v>73000</v>
      </c>
      <c r="J50" s="17">
        <v>35000</v>
      </c>
      <c r="K50" s="17">
        <f>200000+215780.5</f>
        <v>415780.5</v>
      </c>
      <c r="L50" s="17">
        <v>50000</v>
      </c>
      <c r="M50" s="17">
        <f>50000+479000</f>
        <v>529000</v>
      </c>
      <c r="N50" s="17">
        <v>50000</v>
      </c>
      <c r="O50" s="17">
        <f>'[1]План на 2020'!AK69</f>
        <v>30000</v>
      </c>
      <c r="P50" s="17">
        <v>50000</v>
      </c>
      <c r="Q50" s="17">
        <f>'[2]План  Лубни на 2021'!$AQ$82</f>
        <v>100000</v>
      </c>
      <c r="R50" s="17">
        <v>201000</v>
      </c>
      <c r="S50" s="17">
        <v>132303</v>
      </c>
      <c r="T50" s="17">
        <v>205000</v>
      </c>
      <c r="U50" s="17">
        <f>'[3]Аналіз фінансування установ'!$G$521+'[3]Аналіз фінансування установ'!$G$98</f>
        <v>382800</v>
      </c>
      <c r="V50" s="17">
        <f>'[3]Аналіз фінансування установ'!$H$521+'[3]Аналіз фінансування установ'!$H$98</f>
        <v>507000</v>
      </c>
      <c r="W50" s="17">
        <f>'[3]Аналіз фінансування установ'!$I$521+'[3]Аналіз фінансування установ'!$I$98</f>
        <v>412980</v>
      </c>
      <c r="X50" s="17">
        <f>'[3]Аналіз фінансування установ'!$K$521+'[3]Аналіз фінансування установ'!$K$98</f>
        <v>390000</v>
      </c>
      <c r="Y50" s="17">
        <f>'[4]Аналіз фінансування установ'!$K$97</f>
        <v>480000</v>
      </c>
      <c r="Z50" s="98">
        <f>'[4]Аналіз фінансування установ'!$M$97</f>
        <v>470000</v>
      </c>
      <c r="AA50" s="16">
        <f t="shared" si="0"/>
        <v>80000</v>
      </c>
      <c r="AB50" s="16">
        <f t="shared" si="1"/>
        <v>120.51282051282051</v>
      </c>
      <c r="AC50" s="19">
        <f t="shared" si="2"/>
        <v>540969</v>
      </c>
      <c r="AD50" s="19">
        <f t="shared" si="3"/>
        <v>573427.14</v>
      </c>
      <c r="AE50" s="93">
        <f t="shared" si="4"/>
        <v>502900</v>
      </c>
      <c r="AF50" s="93">
        <f t="shared" si="5"/>
        <v>533074</v>
      </c>
    </row>
    <row r="51" spans="1:32" ht="37.5">
      <c r="A51" s="81" t="s">
        <v>38</v>
      </c>
      <c r="B51" s="44"/>
      <c r="C51" s="35"/>
      <c r="D51" s="38"/>
      <c r="E51" s="38"/>
      <c r="F51" s="38"/>
      <c r="G51" s="38"/>
      <c r="H51" s="17"/>
      <c r="I51" s="17"/>
      <c r="J51" s="17"/>
      <c r="K51" s="17"/>
      <c r="L51" s="17">
        <v>0</v>
      </c>
      <c r="M51" s="17">
        <v>94000</v>
      </c>
      <c r="N51" s="17">
        <v>0</v>
      </c>
      <c r="O51" s="17">
        <f>'[1]План на 2020'!AK81+'[1]План на 2020'!AK485</f>
        <v>106816</v>
      </c>
      <c r="P51" s="17">
        <v>40000</v>
      </c>
      <c r="Q51" s="17">
        <f>'[2]План  Лубни на 2021'!$AQ$94</f>
        <v>92750</v>
      </c>
      <c r="R51" s="17">
        <v>125000</v>
      </c>
      <c r="S51" s="17">
        <v>61528</v>
      </c>
      <c r="T51" s="17">
        <v>150000</v>
      </c>
      <c r="U51" s="17">
        <f>'[3]Аналіз фінансування установ'!$G$107</f>
        <v>150000</v>
      </c>
      <c r="V51" s="17">
        <f>'[3]Аналіз фінансування установ'!$H$107</f>
        <v>150000</v>
      </c>
      <c r="W51" s="17">
        <f>'[3]Аналіз фінансування установ'!$I$107</f>
        <v>150000</v>
      </c>
      <c r="X51" s="17">
        <f>'[3]Аналіз фінансування установ'!$K$107</f>
        <v>150000</v>
      </c>
      <c r="Y51" s="17">
        <f>'[4]Аналіз фінансування установ'!$K$104</f>
        <v>50000</v>
      </c>
      <c r="Z51" s="98">
        <f>'[4]Аналіз фінансування установ'!$M$104</f>
        <v>150000</v>
      </c>
      <c r="AA51" s="16">
        <f t="shared" si="0"/>
        <v>0</v>
      </c>
      <c r="AB51" s="16">
        <f t="shared" si="1"/>
        <v>100</v>
      </c>
      <c r="AC51" s="19">
        <f t="shared" si="2"/>
        <v>160050</v>
      </c>
      <c r="AD51" s="19">
        <f t="shared" si="3"/>
        <v>169653</v>
      </c>
      <c r="AE51" s="93">
        <f t="shared" si="4"/>
        <v>160500</v>
      </c>
      <c r="AF51" s="93">
        <f t="shared" si="5"/>
        <v>170130</v>
      </c>
    </row>
    <row r="52" spans="1:32" ht="18.75">
      <c r="A52" s="81" t="s">
        <v>39</v>
      </c>
      <c r="B52" s="44"/>
      <c r="C52" s="35"/>
      <c r="D52" s="38"/>
      <c r="E52" s="38"/>
      <c r="F52" s="38"/>
      <c r="G52" s="38">
        <v>696000</v>
      </c>
      <c r="H52" s="17">
        <v>150000</v>
      </c>
      <c r="I52" s="17">
        <v>118271</v>
      </c>
      <c r="J52" s="17">
        <v>250000</v>
      </c>
      <c r="K52" s="17">
        <f>50000+100000</f>
        <v>150000</v>
      </c>
      <c r="L52" s="17">
        <v>200000</v>
      </c>
      <c r="M52" s="17">
        <f>141000+47522.14</f>
        <v>188522.14</v>
      </c>
      <c r="N52" s="17">
        <f>150000+60000</f>
        <v>210000</v>
      </c>
      <c r="O52" s="17">
        <f>'[1]План на 2020'!AK222+'[1]План на 2020'!AK74</f>
        <v>210893</v>
      </c>
      <c r="P52" s="17">
        <v>210000</v>
      </c>
      <c r="Q52" s="17">
        <f>'[2]План  Лубни на 2021'!$AQ$87+'[2]План  Лубни на 2021'!$AQ$241</f>
        <v>197681</v>
      </c>
      <c r="R52" s="17">
        <v>150000</v>
      </c>
      <c r="S52" s="17">
        <v>49970</v>
      </c>
      <c r="T52" s="17">
        <f>390000+60000</f>
        <v>450000</v>
      </c>
      <c r="U52" s="17">
        <f>'[3]Аналіз фінансування установ'!$G$103+'[3]Аналіз фінансування установ'!$G$260</f>
        <v>639610</v>
      </c>
      <c r="V52" s="17">
        <f>'[3]Аналіз фінансування установ'!$H$103+'[3]Аналіз фінансування установ'!$H$260</f>
        <v>460000</v>
      </c>
      <c r="W52" s="17">
        <f>'[3]Аналіз фінансування установ'!$I$103+'[3]Аналіз фінансування установ'!$I$260</f>
        <v>755000</v>
      </c>
      <c r="X52" s="17">
        <f>'[3]Аналіз фінансування установ'!$K$103+'[3]Аналіз фінансування установ'!$K$260</f>
        <v>622000</v>
      </c>
      <c r="Y52" s="17">
        <f>'[4]Аналіз фінансування установ'!$K$100+'[4]Аналіз фінансування установ'!$K$262</f>
        <v>1390610</v>
      </c>
      <c r="Z52" s="98">
        <f>'[4]Аналіз фінансування установ'!$M$100+'[4]Аналіз фінансування установ'!$M$262</f>
        <v>1030000</v>
      </c>
      <c r="AA52" s="16">
        <f t="shared" si="0"/>
        <v>408000</v>
      </c>
      <c r="AB52" s="16">
        <f t="shared" si="1"/>
        <v>165.59485530546624</v>
      </c>
      <c r="AC52" s="19">
        <f t="shared" si="2"/>
        <v>490820</v>
      </c>
      <c r="AD52" s="19">
        <f t="shared" si="3"/>
        <v>520269.2</v>
      </c>
      <c r="AE52" s="93">
        <f t="shared" si="4"/>
        <v>1102100</v>
      </c>
      <c r="AF52" s="93">
        <f t="shared" si="5"/>
        <v>1168226</v>
      </c>
    </row>
    <row r="53" spans="1:32" ht="18.75">
      <c r="A53" s="81" t="s">
        <v>77</v>
      </c>
      <c r="B53" s="44"/>
      <c r="C53" s="35"/>
      <c r="D53" s="38"/>
      <c r="E53" s="38"/>
      <c r="F53" s="38"/>
      <c r="G53" s="38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>
        <f>'[3]Аналіз фінансування установ'!$G$110+'[3]Аналіз фінансування установ'!$G$264</f>
        <v>4245750.12</v>
      </c>
      <c r="V53" s="17">
        <f>'[3]Аналіз фінансування установ'!$H$110+'[3]Аналіз фінансування установ'!$H$264</f>
        <v>1500000</v>
      </c>
      <c r="W53" s="17">
        <f>'[3]Аналіз фінансування установ'!$I$110+'[3]Аналіз фінансування установ'!$I$264</f>
        <v>7867335.2000000002</v>
      </c>
      <c r="X53" s="17">
        <f>'[3]Аналіз фінансування установ'!$K$110+'[3]Аналіз фінансування установ'!$K$264</f>
        <v>1700000</v>
      </c>
      <c r="Y53" s="17">
        <f>'[4]Аналіз фінансування установ'!$K$266+'[4]Аналіз фінансування установ'!$K$107</f>
        <v>3682000</v>
      </c>
      <c r="Z53" s="98">
        <f>'[4]Аналіз фінансування установ'!$M$266+'[4]Аналіз фінансування установ'!$M$107</f>
        <v>1905000</v>
      </c>
      <c r="AA53" s="16">
        <f t="shared" si="0"/>
        <v>205000</v>
      </c>
      <c r="AB53" s="16">
        <f t="shared" si="1"/>
        <v>112.05882352941177</v>
      </c>
      <c r="AC53" s="19"/>
      <c r="AD53" s="19"/>
      <c r="AE53" s="93">
        <f t="shared" si="4"/>
        <v>2038350</v>
      </c>
      <c r="AF53" s="93">
        <f t="shared" si="5"/>
        <v>2160651</v>
      </c>
    </row>
    <row r="54" spans="1:32" ht="18.75">
      <c r="A54" s="81" t="s">
        <v>71</v>
      </c>
      <c r="B54" s="44"/>
      <c r="C54" s="35"/>
      <c r="D54" s="38"/>
      <c r="E54" s="38"/>
      <c r="F54" s="38"/>
      <c r="G54" s="38"/>
      <c r="H54" s="17"/>
      <c r="I54" s="17"/>
      <c r="J54" s="17"/>
      <c r="K54" s="17">
        <v>50000</v>
      </c>
      <c r="L54" s="17"/>
      <c r="M54" s="17"/>
      <c r="N54" s="17"/>
      <c r="O54" s="17"/>
      <c r="P54" s="17">
        <v>0</v>
      </c>
      <c r="Q54" s="17"/>
      <c r="R54" s="17"/>
      <c r="S54" s="17">
        <v>2092081</v>
      </c>
      <c r="T54" s="17"/>
      <c r="U54" s="17">
        <f>'[3]Аналіз фінансування установ'!$G$85</f>
        <v>1901491</v>
      </c>
      <c r="V54" s="17">
        <f>'[3]Аналіз фінансування установ'!$H$85</f>
        <v>0</v>
      </c>
      <c r="W54" s="17">
        <f>'[3]Аналіз фінансування установ'!$I$85</f>
        <v>250000</v>
      </c>
      <c r="X54" s="17">
        <f>'[3]Аналіз фінансування установ'!$K$85</f>
        <v>0</v>
      </c>
      <c r="Y54" s="17">
        <v>0</v>
      </c>
      <c r="Z54" s="98">
        <v>0</v>
      </c>
      <c r="AA54" s="16">
        <f t="shared" si="0"/>
        <v>0</v>
      </c>
      <c r="AB54" s="16"/>
      <c r="AC54" s="19"/>
      <c r="AD54" s="19"/>
      <c r="AE54" s="93">
        <f t="shared" si="4"/>
        <v>0</v>
      </c>
      <c r="AF54" s="93">
        <f t="shared" si="5"/>
        <v>0</v>
      </c>
    </row>
    <row r="55" spans="1:32" ht="56.25">
      <c r="A55" s="81" t="s">
        <v>40</v>
      </c>
      <c r="B55" s="44"/>
      <c r="C55" s="35"/>
      <c r="D55" s="38"/>
      <c r="E55" s="38"/>
      <c r="F55" s="38"/>
      <c r="G55" s="38"/>
      <c r="H55" s="17"/>
      <c r="I55" s="17">
        <v>40000</v>
      </c>
      <c r="J55" s="17">
        <v>50000</v>
      </c>
      <c r="K55" s="17">
        <v>50000</v>
      </c>
      <c r="L55" s="17">
        <v>100000</v>
      </c>
      <c r="M55" s="17">
        <v>155232</v>
      </c>
      <c r="N55" s="17"/>
      <c r="O55" s="17"/>
      <c r="P55" s="17">
        <v>0</v>
      </c>
      <c r="Q55" s="17">
        <f>'[2]План  Лубни на 2021'!$AQ$532</f>
        <v>22000</v>
      </c>
      <c r="R55" s="17">
        <v>80000</v>
      </c>
      <c r="S55" s="17">
        <v>140000</v>
      </c>
      <c r="T55" s="17">
        <v>80000</v>
      </c>
      <c r="U55" s="17">
        <f>'[3]Аналіз фінансування установ'!$G$550</f>
        <v>580000</v>
      </c>
      <c r="V55" s="17">
        <f>'[3]Аналіз фінансування установ'!$H$550</f>
        <v>80000</v>
      </c>
      <c r="W55" s="17">
        <f>'[3]Аналіз фінансування установ'!$I$550</f>
        <v>1203440</v>
      </c>
      <c r="X55" s="17">
        <f>'[3]Аналіз фінансування установ'!$K$550</f>
        <v>100000</v>
      </c>
      <c r="Y55" s="17">
        <f>'[4]Аналіз фінансування установ'!$K$591</f>
        <v>350000</v>
      </c>
      <c r="Z55" s="98">
        <f>'[4]Аналіз фінансування установ'!$M$591</f>
        <v>100000</v>
      </c>
      <c r="AA55" s="16">
        <f t="shared" si="0"/>
        <v>0</v>
      </c>
      <c r="AB55" s="16">
        <f t="shared" si="1"/>
        <v>100</v>
      </c>
      <c r="AC55" s="19">
        <f t="shared" si="2"/>
        <v>85360</v>
      </c>
      <c r="AD55" s="19">
        <f t="shared" si="3"/>
        <v>90481.600000000006</v>
      </c>
      <c r="AE55" s="93">
        <f t="shared" si="4"/>
        <v>107000</v>
      </c>
      <c r="AF55" s="93">
        <f t="shared" si="5"/>
        <v>113420</v>
      </c>
    </row>
    <row r="56" spans="1:32" ht="56.25">
      <c r="A56" s="81" t="s">
        <v>87</v>
      </c>
      <c r="B56" s="44"/>
      <c r="C56" s="35"/>
      <c r="D56" s="38"/>
      <c r="E56" s="38"/>
      <c r="F56" s="38"/>
      <c r="G56" s="38"/>
      <c r="H56" s="17"/>
      <c r="I56" s="17">
        <v>210000</v>
      </c>
      <c r="J56" s="17"/>
      <c r="K56" s="17">
        <v>162600</v>
      </c>
      <c r="L56" s="17">
        <v>0</v>
      </c>
      <c r="M56" s="17">
        <f>395414</f>
        <v>395414</v>
      </c>
      <c r="N56" s="17">
        <v>0</v>
      </c>
      <c r="O56" s="17">
        <f>'[1]План на 2020'!AK80</f>
        <v>410000</v>
      </c>
      <c r="P56" s="17">
        <v>0</v>
      </c>
      <c r="Q56" s="17">
        <f>'[2]План  Лубни на 2021'!$AQ$92</f>
        <v>370414</v>
      </c>
      <c r="R56" s="17">
        <v>0</v>
      </c>
      <c r="S56" s="17">
        <v>510000</v>
      </c>
      <c r="T56" s="17">
        <v>0</v>
      </c>
      <c r="U56" s="17">
        <f>'[3]Аналіз фінансування установ'!$G$123+'[3]Аналіз фінансування установ'!$G$121</f>
        <v>913500</v>
      </c>
      <c r="V56" s="17">
        <f>'[3]Аналіз фінансування установ'!$H$123+'[3]Аналіз фінансування установ'!$H$121</f>
        <v>0</v>
      </c>
      <c r="W56" s="17">
        <f>'[3]Аналіз фінансування установ'!$I$123+'[3]Аналіз фінансування установ'!$I$121</f>
        <v>3089894</v>
      </c>
      <c r="X56" s="17">
        <f>'[3]Аналіз фінансування установ'!$K$123+'[3]Аналіз фінансування установ'!$K$121</f>
        <v>0</v>
      </c>
      <c r="Y56" s="17">
        <f>'[4]Аналіз фінансування установ'!$K$120+'[4]Аналіз фінансування установ'!$K$118</f>
        <v>5589413.5</v>
      </c>
      <c r="Z56" s="98">
        <f>'[4]Аналіз фінансування установ'!$M$120</f>
        <v>0</v>
      </c>
      <c r="AA56" s="16">
        <f t="shared" si="0"/>
        <v>0</v>
      </c>
      <c r="AB56" s="16"/>
      <c r="AC56" s="19"/>
      <c r="AD56" s="19"/>
      <c r="AE56" s="93">
        <f t="shared" si="4"/>
        <v>0</v>
      </c>
      <c r="AF56" s="93">
        <f t="shared" si="5"/>
        <v>0</v>
      </c>
    </row>
    <row r="57" spans="1:32" ht="37.5">
      <c r="A57" s="81" t="s">
        <v>78</v>
      </c>
      <c r="B57" s="44"/>
      <c r="C57" s="35"/>
      <c r="D57" s="38"/>
      <c r="E57" s="38"/>
      <c r="F57" s="38"/>
      <c r="G57" s="38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>
        <f>'[3]Аналіз фінансування установ'!$G$525</f>
        <v>5000000</v>
      </c>
      <c r="V57" s="17">
        <f>'[3]Аналіз фінансування установ'!$H$525</f>
        <v>0</v>
      </c>
      <c r="W57" s="17">
        <f>'[3]Аналіз фінансування установ'!$I$525</f>
        <v>1000000</v>
      </c>
      <c r="X57" s="17">
        <f>'[3]Аналіз фінансування установ'!$K$525</f>
        <v>0</v>
      </c>
      <c r="Y57" s="17">
        <f>'[4]Аналіз фінансування установ'!$K$566</f>
        <v>3304742</v>
      </c>
      <c r="Z57" s="98">
        <f>'[4]Аналіз фінансування установ'!$M$566</f>
        <v>0</v>
      </c>
      <c r="AA57" s="16">
        <f t="shared" si="0"/>
        <v>0</v>
      </c>
      <c r="AB57" s="16"/>
      <c r="AC57" s="19"/>
      <c r="AD57" s="19"/>
      <c r="AE57" s="93">
        <f t="shared" si="4"/>
        <v>0</v>
      </c>
      <c r="AF57" s="93">
        <f t="shared" si="5"/>
        <v>0</v>
      </c>
    </row>
    <row r="58" spans="1:32" ht="37.5">
      <c r="A58" s="81" t="s">
        <v>88</v>
      </c>
      <c r="B58" s="44"/>
      <c r="C58" s="35"/>
      <c r="D58" s="38"/>
      <c r="E58" s="38"/>
      <c r="F58" s="38"/>
      <c r="G58" s="38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>
        <f>'[3]Аналіз фінансування установ'!$G$552</f>
        <v>475000</v>
      </c>
      <c r="V58" s="17">
        <f>'[3]Аналіз фінансування установ'!$H$552</f>
        <v>0</v>
      </c>
      <c r="W58" s="17">
        <f>'[3]Аналіз фінансування установ'!$I$552</f>
        <v>425000</v>
      </c>
      <c r="X58" s="17">
        <f>'[3]Аналіз фінансування установ'!$K$552</f>
        <v>0</v>
      </c>
      <c r="Y58" s="17">
        <f>'[4]Аналіз фінансування установ'!$K$597</f>
        <v>0</v>
      </c>
      <c r="Z58" s="98">
        <f>'[4]Аналіз фінансування установ'!$M$597</f>
        <v>0</v>
      </c>
      <c r="AA58" s="16">
        <f t="shared" si="0"/>
        <v>0</v>
      </c>
      <c r="AB58" s="16"/>
      <c r="AC58" s="19"/>
      <c r="AD58" s="19"/>
      <c r="AE58" s="93">
        <f t="shared" si="4"/>
        <v>0</v>
      </c>
      <c r="AF58" s="93">
        <f t="shared" si="5"/>
        <v>0</v>
      </c>
    </row>
    <row r="59" spans="1:32" ht="27" customHeight="1">
      <c r="A59" s="15" t="s">
        <v>41</v>
      </c>
      <c r="B59" s="44"/>
      <c r="C59" s="35"/>
      <c r="D59" s="40">
        <v>199600</v>
      </c>
      <c r="E59" s="40"/>
      <c r="F59" s="40"/>
      <c r="G59" s="40"/>
      <c r="H59" s="17"/>
      <c r="I59" s="17"/>
      <c r="J59" s="17">
        <v>180000</v>
      </c>
      <c r="K59" s="17">
        <v>180000</v>
      </c>
      <c r="L59" s="17">
        <v>180000</v>
      </c>
      <c r="M59" s="17">
        <v>86141</v>
      </c>
      <c r="N59" s="17">
        <v>230000</v>
      </c>
      <c r="O59" s="17">
        <f>'[1]План на 2020'!AK601</f>
        <v>344375</v>
      </c>
      <c r="P59" s="17">
        <v>180000</v>
      </c>
      <c r="Q59" s="17">
        <f>'[2]План  Лубни на 2021'!$AQ$636</f>
        <v>67962</v>
      </c>
      <c r="R59" s="17">
        <v>530000</v>
      </c>
      <c r="S59" s="17">
        <v>498305</v>
      </c>
      <c r="T59" s="17">
        <v>930000</v>
      </c>
      <c r="U59" s="17">
        <f>'[3]Аналіз фінансування установ'!$G$567</f>
        <v>930000</v>
      </c>
      <c r="V59" s="17">
        <f>'[3]Аналіз фінансування установ'!$H$567</f>
        <v>0</v>
      </c>
      <c r="W59" s="17">
        <f>'[3]Аналіз фінансування установ'!$I$567</f>
        <v>0</v>
      </c>
      <c r="X59" s="17">
        <f>'[3]Аналіз фінансування установ'!$K$567</f>
        <v>0</v>
      </c>
      <c r="Y59" s="17">
        <v>0</v>
      </c>
      <c r="Z59" s="98">
        <v>0</v>
      </c>
      <c r="AA59" s="16">
        <f t="shared" si="0"/>
        <v>0</v>
      </c>
      <c r="AB59" s="16"/>
      <c r="AC59" s="19">
        <f t="shared" si="2"/>
        <v>0</v>
      </c>
      <c r="AD59" s="19">
        <f t="shared" si="3"/>
        <v>0</v>
      </c>
      <c r="AE59" s="93">
        <f t="shared" si="4"/>
        <v>0</v>
      </c>
      <c r="AF59" s="93">
        <f t="shared" si="5"/>
        <v>0</v>
      </c>
    </row>
    <row r="60" spans="1:32" ht="40.5">
      <c r="A60" s="15" t="s">
        <v>42</v>
      </c>
      <c r="B60" s="21">
        <v>648000</v>
      </c>
      <c r="C60" s="21">
        <f>SUM(C61:C65)</f>
        <v>1964078</v>
      </c>
      <c r="D60" s="21">
        <f>SUM(D61:D64)</f>
        <v>640000</v>
      </c>
      <c r="E60" s="21">
        <f t="shared" ref="E60:O60" si="11">SUM(E61:E65)</f>
        <v>1913113.79</v>
      </c>
      <c r="F60" s="21">
        <f t="shared" si="11"/>
        <v>710000</v>
      </c>
      <c r="G60" s="21">
        <f t="shared" si="11"/>
        <v>1756557.0899999999</v>
      </c>
      <c r="H60" s="21">
        <f t="shared" si="11"/>
        <v>1073400</v>
      </c>
      <c r="I60" s="21">
        <f t="shared" si="11"/>
        <v>1904403</v>
      </c>
      <c r="J60" s="21">
        <f t="shared" si="11"/>
        <v>1737000</v>
      </c>
      <c r="K60" s="21">
        <f t="shared" si="11"/>
        <v>1975755</v>
      </c>
      <c r="L60" s="21">
        <f t="shared" si="11"/>
        <v>2361000</v>
      </c>
      <c r="M60" s="21">
        <f t="shared" si="11"/>
        <v>2949374.76</v>
      </c>
      <c r="N60" s="21">
        <f t="shared" si="11"/>
        <v>3046500</v>
      </c>
      <c r="O60" s="21">
        <f t="shared" si="11"/>
        <v>3039828</v>
      </c>
      <c r="P60" s="21">
        <v>3280500</v>
      </c>
      <c r="Q60" s="21">
        <f>Q61+Q62+Q63+Q64</f>
        <v>2736950</v>
      </c>
      <c r="R60" s="21">
        <f t="shared" ref="R60:S60" si="12">R61+R62+R63+R64</f>
        <v>4433000</v>
      </c>
      <c r="S60" s="21">
        <f t="shared" si="12"/>
        <v>4697281</v>
      </c>
      <c r="T60" s="21">
        <f>T61+T62+T63+T64</f>
        <v>4176987</v>
      </c>
      <c r="U60" s="21">
        <f t="shared" ref="U60" si="13">U61+U62+U63+U64</f>
        <v>5346584</v>
      </c>
      <c r="V60" s="21">
        <f t="shared" ref="V60:Y60" si="14">V61+V62+V63+V64</f>
        <v>4647009</v>
      </c>
      <c r="W60" s="21">
        <f t="shared" si="14"/>
        <v>6048857.0599999996</v>
      </c>
      <c r="X60" s="21">
        <f t="shared" si="14"/>
        <v>5648750</v>
      </c>
      <c r="Y60" s="21">
        <f t="shared" si="14"/>
        <v>4463221</v>
      </c>
      <c r="Z60" s="103">
        <f>Z61+Z62+Z63+Z64</f>
        <v>5185110</v>
      </c>
      <c r="AA60" s="16">
        <f t="shared" si="0"/>
        <v>-463640</v>
      </c>
      <c r="AB60" s="16">
        <f t="shared" si="1"/>
        <v>91.792166408497451</v>
      </c>
      <c r="AC60" s="19">
        <f t="shared" si="2"/>
        <v>4958358.6030000001</v>
      </c>
      <c r="AD60" s="19">
        <f t="shared" si="3"/>
        <v>5255860.1191799995</v>
      </c>
      <c r="AE60" s="93">
        <f t="shared" si="4"/>
        <v>5548067.7000000002</v>
      </c>
      <c r="AF60" s="93">
        <f t="shared" si="5"/>
        <v>5880951.7620000001</v>
      </c>
    </row>
    <row r="61" spans="1:32" ht="40.5">
      <c r="A61" s="25" t="s">
        <v>43</v>
      </c>
      <c r="B61" s="41">
        <v>320000</v>
      </c>
      <c r="C61" s="41">
        <v>320000</v>
      </c>
      <c r="D61" s="42">
        <v>350000</v>
      </c>
      <c r="E61" s="42">
        <v>379000</v>
      </c>
      <c r="F61" s="42">
        <v>445000</v>
      </c>
      <c r="G61" s="42">
        <v>500000</v>
      </c>
      <c r="H61" s="24">
        <f>G61*1.15</f>
        <v>575000</v>
      </c>
      <c r="I61" s="24">
        <v>575000</v>
      </c>
      <c r="J61" s="24">
        <v>856000</v>
      </c>
      <c r="K61" s="24">
        <v>886800</v>
      </c>
      <c r="L61" s="24">
        <f>1035000-50000</f>
        <v>985000</v>
      </c>
      <c r="M61" s="24">
        <v>1035000</v>
      </c>
      <c r="N61" s="17">
        <v>1138500</v>
      </c>
      <c r="O61" s="17">
        <f>'[1]План на 2020'!AK98</f>
        <v>1138500</v>
      </c>
      <c r="P61" s="17">
        <v>1220500</v>
      </c>
      <c r="Q61" s="17">
        <f>'[2]План  Лубни на 2021'!$AQ$115</f>
        <v>1231714</v>
      </c>
      <c r="R61" s="17">
        <v>1478000</v>
      </c>
      <c r="S61" s="17">
        <v>1478000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01">
        <v>0</v>
      </c>
      <c r="AA61" s="16">
        <f t="shared" si="0"/>
        <v>0</v>
      </c>
      <c r="AB61" s="16"/>
      <c r="AC61" s="19">
        <f t="shared" si="2"/>
        <v>0</v>
      </c>
      <c r="AD61" s="19">
        <f t="shared" si="3"/>
        <v>0</v>
      </c>
      <c r="AE61" s="93">
        <f t="shared" si="4"/>
        <v>0</v>
      </c>
      <c r="AF61" s="93">
        <f t="shared" si="5"/>
        <v>0</v>
      </c>
    </row>
    <row r="62" spans="1:32" ht="60.75">
      <c r="A62" s="25" t="s">
        <v>99</v>
      </c>
      <c r="B62" s="41">
        <v>250000</v>
      </c>
      <c r="C62" s="41">
        <v>271950</v>
      </c>
      <c r="D62" s="42">
        <v>205000</v>
      </c>
      <c r="E62" s="42">
        <v>152915</v>
      </c>
      <c r="F62" s="42">
        <v>180000</v>
      </c>
      <c r="G62" s="42">
        <v>248000</v>
      </c>
      <c r="H62" s="24">
        <v>225000</v>
      </c>
      <c r="I62" s="24">
        <v>469728</v>
      </c>
      <c r="J62" s="24">
        <v>525000</v>
      </c>
      <c r="K62" s="24">
        <v>707955</v>
      </c>
      <c r="L62" s="24">
        <v>945000</v>
      </c>
      <c r="M62" s="24">
        <f>948000+81000</f>
        <v>1029000</v>
      </c>
      <c r="N62" s="17">
        <v>918000</v>
      </c>
      <c r="O62" s="17">
        <f>'[1]План на 2020'!AK93</f>
        <v>968000</v>
      </c>
      <c r="P62" s="17">
        <v>1100000</v>
      </c>
      <c r="Q62" s="17">
        <f>'[2]План  Лубни на 2021'!$AQ$106</f>
        <v>761650</v>
      </c>
      <c r="R62" s="17">
        <v>1110000</v>
      </c>
      <c r="S62" s="17">
        <f>835000+23600</f>
        <v>858600</v>
      </c>
      <c r="T62" s="17">
        <f>1000000+190622</f>
        <v>1190622</v>
      </c>
      <c r="U62" s="17">
        <f>'[3]Аналіз фінансування установ'!$G$32+'[3]Аналіз фінансування установ'!$G$119+'[3]Аналіз фінансування установ'!$G$307</f>
        <v>1190219</v>
      </c>
      <c r="V62" s="17">
        <f>'[3]Аналіз фінансування установ'!$H$32+'[3]Аналіз фінансування установ'!$H$119+'[3]Аналіз фінансування установ'!$H$307</f>
        <v>755809</v>
      </c>
      <c r="W62" s="17">
        <f>'[3]Аналіз фінансування установ'!$I$32+'[3]Аналіз фінансування установ'!$I$119+'[3]Аналіз фінансування установ'!$I$307</f>
        <v>755809</v>
      </c>
      <c r="X62" s="17">
        <f>'[3]Аналіз фінансування установ'!$K$32+'[3]Аналіз фінансування установ'!$K$119+'[3]Аналіз фінансування установ'!$K$307</f>
        <v>804900</v>
      </c>
      <c r="Y62" s="17">
        <f>'[4]Аналіз фінансування установ'!$K$83+'[4]Аналіз фінансування установ'!$K$116+'[4]Аналіз фінансування установ'!$K$272++'[4]Аналіз фінансування установ'!$K$313+'[4]Аналіз фінансування установ'!$K$403+'[4]Аналіз фінансування установ'!$K$421+'[4]Аналіз фінансування установ'!$K$497+'[4]Аналіз фінансування установ'!$K$539+'[4]Аналіз фінансування установ'!$K$593+'[4]Аналіз фінансування установ'!$K$612+'[4]Аналіз фінансування установ'!$K$32-383619</f>
        <v>230360</v>
      </c>
      <c r="Z62" s="101">
        <f>'[4]Аналіз фінансування установ'!$M$83+140000+324200+'[4]Аналіз фінансування установ'!$M$116+'[4]Аналіз фінансування установ'!$M$272++'[4]Аналіз фінансування установ'!$M$313+'[4]Аналіз фінансування установ'!$M$403+'[4]Аналіз фінансування установ'!$M$421+'[4]Аналіз фінансування установ'!$M$497+'[4]Аналіз фінансування установ'!$M$539+'[4]Аналіз фінансування установ'!$M$593+'[4]Аналіз фінансування установ'!$M$612+'[4]Аналіз фінансування установ'!$M$32+80780</f>
        <v>2414900</v>
      </c>
      <c r="AA62" s="16">
        <f t="shared" si="0"/>
        <v>1610000</v>
      </c>
      <c r="AB62" s="16">
        <f t="shared" si="1"/>
        <v>300.024847807181</v>
      </c>
      <c r="AC62" s="19">
        <f t="shared" si="2"/>
        <v>806448.20299999998</v>
      </c>
      <c r="AD62" s="19">
        <f t="shared" si="3"/>
        <v>854835.09517999995</v>
      </c>
      <c r="AE62" s="93">
        <f t="shared" si="4"/>
        <v>2583943</v>
      </c>
      <c r="AF62" s="93">
        <f t="shared" si="5"/>
        <v>2738979.58</v>
      </c>
    </row>
    <row r="63" spans="1:32" ht="20.25">
      <c r="A63" s="25" t="s">
        <v>98</v>
      </c>
      <c r="B63" s="41">
        <v>78000</v>
      </c>
      <c r="C63" s="41">
        <v>85750</v>
      </c>
      <c r="D63" s="42">
        <v>85000</v>
      </c>
      <c r="E63" s="42">
        <v>70790.95</v>
      </c>
      <c r="F63" s="42">
        <v>85000</v>
      </c>
      <c r="G63" s="43">
        <v>204204.36</v>
      </c>
      <c r="H63" s="24">
        <v>273400</v>
      </c>
      <c r="I63" s="24">
        <v>525800</v>
      </c>
      <c r="J63" s="24">
        <v>356000</v>
      </c>
      <c r="K63" s="24">
        <v>381000</v>
      </c>
      <c r="L63" s="24">
        <v>381000</v>
      </c>
      <c r="M63" s="24">
        <v>835882.76</v>
      </c>
      <c r="N63" s="17">
        <v>940000</v>
      </c>
      <c r="O63" s="17">
        <f>'[1]План на 2020'!AK514+'[1]План на 2020'!AK519</f>
        <v>884240</v>
      </c>
      <c r="P63" s="17">
        <v>900000</v>
      </c>
      <c r="Q63" s="17">
        <f>'[2]План  Лубни на 2021'!$AQ$540+'[2]План  Лубни на 2021'!$AQ$547</f>
        <v>694800</v>
      </c>
      <c r="R63" s="17">
        <v>1735000</v>
      </c>
      <c r="S63" s="17">
        <v>2246943</v>
      </c>
      <c r="T63" s="17">
        <v>2866165</v>
      </c>
      <c r="U63" s="17">
        <f>'[3]Аналіз фінансування установ'!$G$541+'[3]Аналіз фінансування установ'!$G$538</f>
        <v>4036165</v>
      </c>
      <c r="V63" s="17">
        <f>'[3]Аналіз фінансування установ'!$H$541+'[3]Аналіз фінансування установ'!$H$538</f>
        <v>3771000</v>
      </c>
      <c r="W63" s="17">
        <f>'[3]Аналіз фінансування установ'!$I$541+'[3]Аналіз фінансування установ'!$I$538</f>
        <v>5040320.0599999996</v>
      </c>
      <c r="X63" s="17">
        <f>'[4]Аналіз фінансування установ'!$J$582+'[4]Аналіз фінансування установ'!$J$579+'[4]Аналіз фінансування установ'!$J$595+'[4]Аналіз фінансування установ'!$J$557+'[4]Аналіз фінансування установ'!$J$531+'[4]Аналіз фінансування установ'!$J$272+'[4]Аналіз фінансування установ'!$J$559+'[4]Аналіз фінансування установ'!$J$562+'[4]Аналіз фінансування установ'!$J$528</f>
        <v>4713720</v>
      </c>
      <c r="Y63" s="17">
        <f>'[4]Аналіз фінансування установ'!$K$582+'[4]Аналіз фінансування установ'!$K$579+'[4]Аналіз фінансування установ'!$K$595+'[4]Аналіз фінансування установ'!$K$557+'[4]Аналіз фінансування установ'!$K$531+'[4]Аналіз фінансування установ'!$K$272+'[4]Аналіз фінансування установ'!$K$559+'[4]Аналіз фінансування установ'!$K$562+'[4]Аналіз фінансування установ'!$K$528</f>
        <v>4041625</v>
      </c>
      <c r="Z63" s="101">
        <f>'[4]Аналіз фінансування установ'!$M$582+'[4]Аналіз фінансування установ'!$M$579+'[4]Аналіз фінансування установ'!$M$595+'[4]Аналіз фінансування установ'!$M$557+'[4]Аналіз фінансування установ'!$M$531+'[4]Аналіз фінансування установ'!$M$272+'[4]Аналіз фінансування установ'!$M$559+'[4]Аналіз фінансування установ'!$M$562+'[4]Аналіз фінансування установ'!$M$528</f>
        <v>2590000</v>
      </c>
      <c r="AA63" s="16">
        <f t="shared" si="0"/>
        <v>-2123720</v>
      </c>
      <c r="AB63" s="16">
        <f t="shared" si="1"/>
        <v>54.94598745788889</v>
      </c>
      <c r="AC63" s="19">
        <f t="shared" si="2"/>
        <v>4023657</v>
      </c>
      <c r="AD63" s="19">
        <f t="shared" si="3"/>
        <v>4265076.42</v>
      </c>
      <c r="AE63" s="93">
        <f t="shared" si="4"/>
        <v>2771300</v>
      </c>
      <c r="AF63" s="93">
        <f t="shared" si="5"/>
        <v>2937578</v>
      </c>
    </row>
    <row r="64" spans="1:32" ht="20.25">
      <c r="A64" s="25" t="s">
        <v>44</v>
      </c>
      <c r="B64" s="41">
        <v>0</v>
      </c>
      <c r="C64" s="41">
        <v>986378</v>
      </c>
      <c r="D64" s="42">
        <v>0</v>
      </c>
      <c r="E64" s="42">
        <v>1110407.8400000001</v>
      </c>
      <c r="F64" s="43"/>
      <c r="G64" s="43">
        <v>600610.73</v>
      </c>
      <c r="H64" s="17"/>
      <c r="I64" s="24"/>
      <c r="J64" s="17"/>
      <c r="K64" s="24"/>
      <c r="L64" s="24">
        <v>50000</v>
      </c>
      <c r="M64" s="24">
        <v>49492</v>
      </c>
      <c r="N64" s="17">
        <v>50000</v>
      </c>
      <c r="O64" s="17">
        <f>'[1]План на 2020'!AK97</f>
        <v>49088</v>
      </c>
      <c r="P64" s="17">
        <v>60000</v>
      </c>
      <c r="Q64" s="17">
        <f>'[2]План  Лубни на 2021'!$AQ$114</f>
        <v>48786</v>
      </c>
      <c r="R64" s="17">
        <v>110000</v>
      </c>
      <c r="S64" s="17">
        <v>113738</v>
      </c>
      <c r="T64" s="17">
        <v>120200</v>
      </c>
      <c r="U64" s="17">
        <f>'[3]Аналіз фінансування установ'!$G$93</f>
        <v>120200</v>
      </c>
      <c r="V64" s="17">
        <f>'[3]Аналіз фінансування установ'!$H$93</f>
        <v>120200</v>
      </c>
      <c r="W64" s="17">
        <f>'[3]Аналіз фінансування установ'!$I$93</f>
        <v>252728</v>
      </c>
      <c r="X64" s="17">
        <f>'[3]Аналіз фінансування установ'!$K$93</f>
        <v>130130</v>
      </c>
      <c r="Y64" s="17">
        <f>'[4]Аналіз фінансування установ'!$K$92</f>
        <v>191236</v>
      </c>
      <c r="Z64" s="98">
        <f>'[4]Аналіз фінансування установ'!$M$92</f>
        <v>180210</v>
      </c>
      <c r="AA64" s="16">
        <f t="shared" si="0"/>
        <v>50080</v>
      </c>
      <c r="AB64" s="16">
        <f t="shared" si="1"/>
        <v>138.48459233074618</v>
      </c>
      <c r="AC64" s="19">
        <f t="shared" si="2"/>
        <v>128253.4</v>
      </c>
      <c r="AD64" s="19">
        <f t="shared" si="3"/>
        <v>135948.60399999999</v>
      </c>
      <c r="AE64" s="93">
        <f t="shared" si="4"/>
        <v>192824.7</v>
      </c>
      <c r="AF64" s="93">
        <f t="shared" si="5"/>
        <v>204394.18200000003</v>
      </c>
    </row>
    <row r="65" spans="1:32" ht="40.5">
      <c r="A65" s="15" t="s">
        <v>85</v>
      </c>
      <c r="B65" s="41">
        <v>0</v>
      </c>
      <c r="C65" s="41">
        <v>300000</v>
      </c>
      <c r="D65" s="42">
        <v>0</v>
      </c>
      <c r="E65" s="42">
        <v>200000</v>
      </c>
      <c r="F65" s="42"/>
      <c r="G65" s="42">
        <v>203742</v>
      </c>
      <c r="H65" s="17"/>
      <c r="I65" s="24">
        <f>269245+64630</f>
        <v>333875</v>
      </c>
      <c r="J65" s="17"/>
      <c r="K65" s="24"/>
      <c r="L65" s="24"/>
      <c r="M65" s="24"/>
      <c r="N65" s="17"/>
      <c r="O65" s="17"/>
      <c r="P65" s="17"/>
      <c r="Q65" s="17"/>
      <c r="R65" s="17"/>
      <c r="S65" s="17"/>
      <c r="T65" s="17"/>
      <c r="U65" s="17"/>
      <c r="V65" s="17"/>
      <c r="W65" s="17">
        <f>'[3]Аналіз фінансування установ'!$I$96</f>
        <v>40000</v>
      </c>
      <c r="X65" s="17">
        <f>'[3]Аналіз фінансування установ'!$K$96</f>
        <v>20000</v>
      </c>
      <c r="Y65" s="17">
        <f>'[4]Аналіз фінансування установ'!$K$95</f>
        <v>25000</v>
      </c>
      <c r="Z65" s="98">
        <f>'[4]Аналіз фінансування установ'!$M$95</f>
        <v>30000</v>
      </c>
      <c r="AA65" s="16">
        <f t="shared" si="0"/>
        <v>10000</v>
      </c>
      <c r="AB65" s="16">
        <f t="shared" si="1"/>
        <v>150</v>
      </c>
      <c r="AC65" s="19"/>
      <c r="AD65" s="19"/>
      <c r="AE65" s="93">
        <f t="shared" si="4"/>
        <v>32100</v>
      </c>
      <c r="AF65" s="93">
        <f t="shared" si="5"/>
        <v>34026</v>
      </c>
    </row>
    <row r="66" spans="1:32" ht="20.25">
      <c r="A66" s="15" t="s">
        <v>45</v>
      </c>
      <c r="B66" s="35">
        <v>300000</v>
      </c>
      <c r="C66" s="35">
        <v>0</v>
      </c>
      <c r="D66" s="38">
        <v>300000</v>
      </c>
      <c r="E66" s="38"/>
      <c r="F66" s="38">
        <v>300000</v>
      </c>
      <c r="G66" s="38"/>
      <c r="H66" s="38">
        <v>300000</v>
      </c>
      <c r="I66" s="38">
        <v>100000</v>
      </c>
      <c r="J66" s="38">
        <v>400000</v>
      </c>
      <c r="K66" s="38">
        <v>3352.37</v>
      </c>
      <c r="L66" s="38">
        <v>500000</v>
      </c>
      <c r="M66" s="38">
        <v>100000</v>
      </c>
      <c r="N66" s="17">
        <v>500000</v>
      </c>
      <c r="O66" s="17">
        <f>'[1]План на 2020'!AK604</f>
        <v>0</v>
      </c>
      <c r="P66" s="17">
        <v>1000000</v>
      </c>
      <c r="Q66" s="17">
        <f>'[2]План  Лубни на 2021'!$AQ$639</f>
        <v>0</v>
      </c>
      <c r="R66" s="17">
        <v>3000000</v>
      </c>
      <c r="S66" s="17">
        <v>3600</v>
      </c>
      <c r="T66" s="17">
        <v>3800000</v>
      </c>
      <c r="U66" s="17">
        <f>'[3]Аналіз фінансування установ'!$G$569</f>
        <v>2418868</v>
      </c>
      <c r="V66" s="17">
        <f>'[3]Аналіз фінансування установ'!$H$569</f>
        <v>3000000</v>
      </c>
      <c r="W66" s="17">
        <f>'[3]Аналіз фінансування установ'!$I$569</f>
        <v>1770593.56</v>
      </c>
      <c r="X66" s="17">
        <f>'[3]Аналіз фінансування установ'!$K$569</f>
        <v>3000000</v>
      </c>
      <c r="Y66" s="17">
        <f>'[4]Аналіз фінансування установ'!$K$618</f>
        <v>439300</v>
      </c>
      <c r="Z66" s="98">
        <f>'[4]Аналіз фінансування установ'!$M$618+371070</f>
        <v>3371070</v>
      </c>
      <c r="AA66" s="16">
        <f t="shared" si="0"/>
        <v>371070</v>
      </c>
      <c r="AB66" s="16">
        <f t="shared" si="1"/>
        <v>112.36900000000001</v>
      </c>
      <c r="AC66" s="19">
        <f t="shared" si="2"/>
        <v>3201000</v>
      </c>
      <c r="AD66" s="19">
        <f t="shared" si="3"/>
        <v>3393060</v>
      </c>
      <c r="AE66" s="93">
        <f t="shared" si="4"/>
        <v>3607044.9</v>
      </c>
      <c r="AF66" s="93">
        <f t="shared" si="5"/>
        <v>3823467.5939999996</v>
      </c>
    </row>
    <row r="67" spans="1:32" ht="18.75" customHeight="1" thickBot="1">
      <c r="A67" s="45" t="s">
        <v>81</v>
      </c>
      <c r="B67" s="46"/>
      <c r="C67" s="46"/>
      <c r="D67" s="47"/>
      <c r="E67" s="47"/>
      <c r="F67" s="47"/>
      <c r="G67" s="47"/>
      <c r="H67" s="47"/>
      <c r="I67" s="47"/>
      <c r="J67" s="47"/>
      <c r="K67" s="48"/>
      <c r="L67" s="47"/>
      <c r="M67" s="47"/>
      <c r="N67" s="47"/>
      <c r="O67" s="47"/>
      <c r="P67" s="47"/>
      <c r="Q67" s="47"/>
      <c r="R67" s="47"/>
      <c r="S67" s="47"/>
      <c r="T67" s="47"/>
      <c r="U67" s="84">
        <f>'[3]Аналіз фінансування установ'!$G$270</f>
        <v>4510456</v>
      </c>
      <c r="V67" s="84">
        <f>'[3]Аналіз фінансування установ'!$H$270</f>
        <v>0</v>
      </c>
      <c r="W67" s="84">
        <f>'[3]Аналіз фінансування установ'!$I$270</f>
        <v>0</v>
      </c>
      <c r="X67" s="84">
        <f>'[3]Аналіз фінансування установ'!$K$270</f>
        <v>0</v>
      </c>
      <c r="Y67" s="84">
        <v>0</v>
      </c>
      <c r="Z67" s="99">
        <v>0</v>
      </c>
      <c r="AA67" s="16">
        <f t="shared" si="0"/>
        <v>0</v>
      </c>
      <c r="AB67" s="16"/>
      <c r="AC67" s="19"/>
      <c r="AD67" s="19"/>
      <c r="AE67" s="93">
        <f t="shared" si="4"/>
        <v>0</v>
      </c>
      <c r="AF67" s="93">
        <f t="shared" si="5"/>
        <v>0</v>
      </c>
    </row>
    <row r="68" spans="1:32" ht="39.75" customHeight="1" thickBot="1">
      <c r="A68" s="49" t="s">
        <v>52</v>
      </c>
      <c r="B68" s="50">
        <f>B5+B6+B7+B9+B37+B8+B41+B42+B46+B49+B60+B66+B34+B35+B50</f>
        <v>104100992</v>
      </c>
      <c r="C68" s="50">
        <f>C5+C6+C7+C9+C37+C8+C41+C42+C46+C49+C60+C66+C34+C35+C50+C40</f>
        <v>108811721</v>
      </c>
      <c r="D68" s="51">
        <f>D5+D6+D7+D9+D37+D8+D41+D42+D46+D49+D60+D66+D34+D35+D50+D59</f>
        <v>110183189</v>
      </c>
      <c r="E68" s="51">
        <f>E5+E6+E7+E9+E37+E8+E41+E42+E46+E49+E60+E66+E34+E35+E50+E59</f>
        <v>111004704.73999999</v>
      </c>
      <c r="F68" s="51">
        <f>F5+F6+F7+F9+F37+F8+F41+F42+F46+F49+F60+F66+F34+F35+F50+F59</f>
        <v>116197651</v>
      </c>
      <c r="G68" s="52">
        <f>G5+G6+G7+G9+G37+G8+G41+G42+G46+G49+G60+G66+G34+G35+G50+G59+G40+G38+G52</f>
        <v>143523686.18000001</v>
      </c>
      <c r="H68" s="51">
        <f>H5+H6+H7+H9+H37+H8+H41+H42+H46+H49+H60+H66+H34+H35+H50+H59+H40+H38+H52</f>
        <v>150855385</v>
      </c>
      <c r="I68" s="51">
        <f>I5+I6+I7+I9+I37+I8+I41+I42+I46+I49+I60+I66+I34+I35+I50+I59+I40+I38+I52+I55+I56</f>
        <v>170245951</v>
      </c>
      <c r="J68" s="51">
        <f>J5+J6+J7+J9+J37+J8+J41+J42+J46+J49+J60+J66+J34+J35+J50+J59+J40+J38+J52+J55</f>
        <v>218920071</v>
      </c>
      <c r="K68" s="52">
        <f>K5+K6+K7+K9+K37+K8+K41+K42+K46+K49+K60+K66+K34+K35+K50+K59+K40+K38+K52+K55+K56+K48</f>
        <v>255729786.11000001</v>
      </c>
      <c r="L68" s="51">
        <f>L5+L6+L7+L9+L37+L8+L41+L42+L46+L49+L60+L66+L34+L35+L50+L59+L40+L38+L52+L55</f>
        <v>258259812</v>
      </c>
      <c r="M68" s="51">
        <f>M5+M6+M7+M8+M9+M33+M34+M35+M37+M38+M39+M40+M41+M42+M46+M47+M48+M49+M50+M51+M52+M54+M55+M56+M59+M60+M66</f>
        <v>287433183.38</v>
      </c>
      <c r="N68" s="51">
        <f>N5+N6+N7+N9+N37+N8+N41+N42+N46+N49+N60+N66+N34+N35+N50+N59+N40+N38+N52+N55+N47</f>
        <v>259835560</v>
      </c>
      <c r="O68" s="51">
        <f>O5+O6+O7+O8+O9+O33+O34+O35+O37+O38+O39+O40+O41+O42+O46+O47+O48+O49+O50+O51+O52+O54+O55+O56+O59+O60+O66</f>
        <v>281592413.77999997</v>
      </c>
      <c r="P68" s="51">
        <f>P5+P6+P7+P8+P9+P33+P34+P35+P37+P38+P39+P40+P41+P42+P46+P47+P48+P49+P50+P51+P52+P54+P55+P56+P59+P60+P66</f>
        <v>279650557</v>
      </c>
      <c r="Q68" s="51">
        <f>Q5+Q6+Q7+Q8+Q9+Q33+Q34+Q35+Q37+Q38+Q39+Q40+Q41+Q42+Q46+Q47+Q48+Q49+Q50+Q51+Q52+Q54+Q55+Q56+Q59+Q60+Q66</f>
        <v>291294942.87999994</v>
      </c>
      <c r="R68" s="53">
        <f>R5+R6+R7+R8+R9+R33+R34+R35+R37+R38+R39+R40+R41+R42+R46+R47+R48+R49+R50+R51+R52+R54+R55+R56+R59+R60+R66</f>
        <v>485204195</v>
      </c>
      <c r="S68" s="53">
        <f>S5+S6+S7+S8+S9+S33+S34+S35+S37+S38+S39+S40+S41+S42+S46+S47+S48+S49+S50+S51+S52+S54+S55+S56+S59+S60+S66+S36</f>
        <v>539022576</v>
      </c>
      <c r="T68" s="53">
        <f>T5+T6+T7+T8+T9+T33+T34+T35+T37+T38+T39+T40+T41+T42+T46+T47+T48+T49+T50+T51+T52+T54+T55+T56+T59+T60+T66</f>
        <v>588420226</v>
      </c>
      <c r="U68" s="53">
        <f>U5+U6+U7+U8+U9+U33+U34+U35+U37+U38+U39+U40+U41+U42+U46+U47+U48+U49+U50+U51+U52+U54+U55+U56+U59+U60+U66+U53+U36+U57+U58+U67</f>
        <v>626896036.25</v>
      </c>
      <c r="V68" s="53">
        <f>V5+V6+V7+V8+V9+V33+V34+V35+V37+V38+V39+V40+V41+V42+V46+V47+V48+V49+V50+V51+V52+V54+V55+V56+V59+V60+V66+V53+V36+V57+V58</f>
        <v>604685839</v>
      </c>
      <c r="W68" s="53">
        <f>W5+W6+W7+W8+W9+W33+W34+W35+W37+W38+W39+W40+W41+W42+W47+W48+W49+W50+W51+W52+W54+W55+W56+W59+W60+W66+W53+W36+W57+W58+W65</f>
        <v>682217972.91245651</v>
      </c>
      <c r="X68" s="53">
        <f>X67+X66+X65+X60+X59+X58+X57+X56+X55+X54+X53+X52+X51+X50+X49+X48+X47+X46+X42+X41+X39+X38+X37+X36+X35+X33+X9+X8+X7+X6+X5</f>
        <v>669764720</v>
      </c>
      <c r="Y68" s="53">
        <f>Y67+Y66+Y65+Y60+Y59+Y58+Y57+Y56+Y55+Y54+Y53+Y52+Y51+Y50+Y49+Y48+Y47+Y46+Y42+Y41+Y39+Y38+Y37+Y36+Y35+Y33+Y9+Y8+Y7+Y6+Y5</f>
        <v>781799412</v>
      </c>
      <c r="Z68" s="53">
        <f>Z67+Z66+Z65+Z60+Z59+Z58+Z57+Z56+Z55+Z54+Z53+Z52+Z51+Z50+Z49+Z48+Z47+Z46+Z42+Z41+Z39+Z38+Z37+Z36+Z35+Z33+Z9+Z8+Z7+Z6+Z5</f>
        <v>703059907</v>
      </c>
      <c r="AA68" s="16">
        <f t="shared" si="0"/>
        <v>33295187</v>
      </c>
      <c r="AB68" s="16">
        <f t="shared" si="1"/>
        <v>104.97117659467044</v>
      </c>
      <c r="AC68" s="89">
        <f t="shared" si="2"/>
        <v>645199790.21300006</v>
      </c>
      <c r="AD68" s="19">
        <f t="shared" si="3"/>
        <v>683911777.62577999</v>
      </c>
      <c r="AE68" s="93">
        <f t="shared" si="4"/>
        <v>752274100.49000001</v>
      </c>
      <c r="AF68" s="93">
        <f t="shared" si="5"/>
        <v>797410546.5194</v>
      </c>
    </row>
    <row r="69" spans="1:32" ht="20.25">
      <c r="A69" s="54"/>
      <c r="B69" s="55"/>
      <c r="C69" s="55"/>
      <c r="D69" s="56"/>
      <c r="E69" s="56"/>
      <c r="F69" s="57"/>
      <c r="G69" s="57"/>
      <c r="H69" s="57"/>
      <c r="I69" s="57"/>
      <c r="J69" s="57"/>
      <c r="K69" s="57"/>
      <c r="L69" s="57"/>
      <c r="M69" s="57"/>
      <c r="N69" s="57">
        <v>259835559.56</v>
      </c>
      <c r="O69" s="57">
        <f>'[1]План на 2020'!AJ648</f>
        <v>281592413.78000003</v>
      </c>
      <c r="P69" s="57">
        <v>279650556.56</v>
      </c>
      <c r="Q69" s="57">
        <f>'[2]План  Лубни на 2021'!$AQ$643</f>
        <v>291294942.87999994</v>
      </c>
      <c r="R69" s="57">
        <v>485204195</v>
      </c>
      <c r="S69" s="57">
        <v>539022576</v>
      </c>
      <c r="T69" s="57">
        <v>588420226</v>
      </c>
      <c r="U69" s="83">
        <v>626896036.25</v>
      </c>
      <c r="V69" s="83">
        <v>604685839</v>
      </c>
      <c r="W69" s="88">
        <v>682217972.91245639</v>
      </c>
      <c r="X69" s="95">
        <v>669764720</v>
      </c>
      <c r="Y69" s="104">
        <v>781799412</v>
      </c>
      <c r="Z69" s="86">
        <f>'[4]Аналіз фінансування установ'!$M$619+115772670+37</f>
        <v>703059907</v>
      </c>
      <c r="AA69" s="90"/>
      <c r="AB69" s="90"/>
      <c r="AC69" s="58"/>
      <c r="AD69" s="58"/>
      <c r="AE69">
        <v>107</v>
      </c>
      <c r="AF69">
        <v>106</v>
      </c>
    </row>
    <row r="70" spans="1:32" ht="20.25">
      <c r="A70" s="2"/>
      <c r="B70" s="59"/>
      <c r="C70" s="59"/>
      <c r="D70" s="59"/>
      <c r="E70" s="60"/>
      <c r="F70" s="60"/>
      <c r="G70" s="60"/>
      <c r="H70" s="61"/>
      <c r="I70" s="61"/>
      <c r="J70" s="61"/>
      <c r="K70" s="61"/>
      <c r="L70" s="61"/>
      <c r="M70" s="61"/>
      <c r="N70" s="62">
        <f>N69-N68</f>
        <v>-0.43999999761581421</v>
      </c>
      <c r="O70" s="62">
        <f>O69-O68</f>
        <v>0</v>
      </c>
      <c r="P70" s="62">
        <f>P69-P68</f>
        <v>-0.43999999761581421</v>
      </c>
      <c r="Q70" s="62">
        <f>Q69-Q68</f>
        <v>0</v>
      </c>
      <c r="R70" s="62">
        <f t="shared" ref="R70:U70" si="15">R69-R68</f>
        <v>0</v>
      </c>
      <c r="S70" s="62">
        <f t="shared" si="15"/>
        <v>0</v>
      </c>
      <c r="T70" s="62">
        <f t="shared" si="15"/>
        <v>0</v>
      </c>
      <c r="U70" s="62">
        <f t="shared" si="15"/>
        <v>0</v>
      </c>
      <c r="V70" s="62">
        <f>V69-V68</f>
        <v>0</v>
      </c>
      <c r="W70" s="62">
        <f t="shared" ref="W70:X70" si="16">W69-W68</f>
        <v>0</v>
      </c>
      <c r="X70" s="62">
        <f t="shared" si="16"/>
        <v>0</v>
      </c>
      <c r="Y70" s="62">
        <f t="shared" ref="Y70:Z70" si="17">Y69-Y68</f>
        <v>0</v>
      </c>
      <c r="Z70" s="62">
        <f t="shared" si="17"/>
        <v>0</v>
      </c>
      <c r="AA70" s="61"/>
      <c r="AB70" s="63"/>
      <c r="AC70" s="64"/>
      <c r="AD70" s="64"/>
    </row>
    <row r="71" spans="1:32" ht="1.5" customHeight="1">
      <c r="A71" s="54"/>
      <c r="B71" s="4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Y71" s="62">
        <f t="shared" ref="Y71:Z71" si="18">Y70-Y69</f>
        <v>-781799412</v>
      </c>
      <c r="Z71" s="62">
        <f t="shared" si="18"/>
        <v>-703059907</v>
      </c>
      <c r="AC71" s="66"/>
      <c r="AD71" s="66"/>
    </row>
    <row r="72" spans="1:32" ht="27.75"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W72" s="70"/>
      <c r="X72" s="70"/>
      <c r="Y72" s="70"/>
      <c r="Z72" s="70"/>
      <c r="AA72" s="69"/>
      <c r="AC72" s="66"/>
      <c r="AD72" s="66"/>
    </row>
    <row r="73" spans="1:32" ht="27.75">
      <c r="A73" s="67" t="s">
        <v>46</v>
      </c>
      <c r="B73" s="4"/>
      <c r="C73" s="4"/>
      <c r="D73" s="4"/>
      <c r="E73" s="4"/>
      <c r="F73" s="4"/>
      <c r="G73" s="4"/>
      <c r="H73" s="4"/>
      <c r="I73" s="4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0" t="s">
        <v>73</v>
      </c>
      <c r="AC73" s="1"/>
      <c r="AD73" s="1"/>
    </row>
    <row r="74" spans="1:32" ht="23.25" customHeight="1">
      <c r="P74" s="72"/>
      <c r="Q74" s="72"/>
      <c r="R74" s="72"/>
      <c r="S74" s="78"/>
      <c r="T74" s="78"/>
      <c r="U74" s="78"/>
      <c r="V74" s="85"/>
      <c r="W74" s="85"/>
      <c r="X74" s="85"/>
      <c r="Y74" s="85"/>
      <c r="Z74" s="85"/>
    </row>
    <row r="75" spans="1:32" ht="23.25">
      <c r="P75" s="72"/>
      <c r="Q75" s="72"/>
      <c r="R75" s="72"/>
      <c r="S75" s="78"/>
      <c r="T75" s="78"/>
      <c r="U75" s="78"/>
      <c r="V75" s="72"/>
      <c r="W75" s="72"/>
      <c r="X75" s="72"/>
      <c r="Y75" s="72"/>
      <c r="Z75" s="72"/>
    </row>
    <row r="76" spans="1:32" ht="23.25">
      <c r="P76" s="74"/>
      <c r="Q76" s="74"/>
      <c r="R76" s="74"/>
      <c r="S76" s="74"/>
      <c r="T76" s="74"/>
      <c r="U76" s="74"/>
      <c r="V76" s="73"/>
      <c r="W76" s="73"/>
      <c r="X76" s="73"/>
      <c r="Y76" s="73"/>
      <c r="Z76" s="73"/>
    </row>
    <row r="77" spans="1:32" ht="23.25"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spans="1:32" ht="23.25">
      <c r="P78" s="74"/>
      <c r="Q78" s="74"/>
      <c r="R78" s="74"/>
      <c r="S78" s="74"/>
      <c r="T78" s="74"/>
      <c r="U78" s="74"/>
      <c r="V78" s="76"/>
      <c r="W78" s="76"/>
      <c r="X78" s="76"/>
      <c r="Y78" s="76"/>
      <c r="Z78" s="76"/>
    </row>
    <row r="79" spans="1:32" ht="23.25">
      <c r="P79" s="74"/>
      <c r="Q79" s="74"/>
      <c r="R79" s="74"/>
      <c r="S79" s="74"/>
      <c r="T79" s="74"/>
      <c r="U79" s="74"/>
      <c r="V79" s="73"/>
      <c r="W79" s="73"/>
      <c r="X79" s="73"/>
      <c r="Y79" s="73"/>
      <c r="Z79" s="73"/>
    </row>
    <row r="82" spans="1:26" ht="23.25">
      <c r="A82" s="107"/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V82" s="75"/>
      <c r="W82" s="75"/>
      <c r="X82" s="75"/>
      <c r="Y82" s="75"/>
      <c r="Z82" s="75"/>
    </row>
    <row r="83" spans="1:26" ht="23.25">
      <c r="A83" s="107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V83" s="75"/>
      <c r="W83" s="75"/>
      <c r="X83" s="75"/>
      <c r="Y83" s="75"/>
      <c r="Z83" s="75"/>
    </row>
    <row r="84" spans="1:26" ht="23.25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V84" s="75"/>
      <c r="W84" s="75"/>
      <c r="X84" s="75"/>
      <c r="Y84" s="75"/>
      <c r="Z84" s="75"/>
    </row>
    <row r="85" spans="1:26" ht="23.25">
      <c r="A85" s="107"/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V85" s="75"/>
      <c r="W85" s="75"/>
      <c r="X85" s="75"/>
      <c r="Y85" s="75"/>
      <c r="Z85" s="75"/>
    </row>
    <row r="86" spans="1:26" ht="23.25">
      <c r="A86" s="107"/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V86" s="75"/>
      <c r="W86" s="75"/>
      <c r="X86" s="75"/>
      <c r="Y86" s="75"/>
      <c r="Z86" s="75"/>
    </row>
    <row r="87" spans="1:26" ht="23.25">
      <c r="A87" s="107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V87" s="75"/>
      <c r="W87" s="75"/>
      <c r="X87" s="75"/>
      <c r="Y87" s="75"/>
      <c r="Z87" s="75"/>
    </row>
    <row r="88" spans="1:26" ht="23.25">
      <c r="A88" s="107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V88" s="75"/>
      <c r="W88" s="75"/>
      <c r="X88" s="75"/>
      <c r="Y88" s="75"/>
      <c r="Z88" s="75"/>
    </row>
    <row r="89" spans="1:26" ht="23.25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V89" s="75"/>
      <c r="W89" s="75"/>
      <c r="X89" s="75"/>
      <c r="Y89" s="75"/>
      <c r="Z89" s="75"/>
    </row>
    <row r="90" spans="1:26" ht="23.25">
      <c r="A90" s="107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V90" s="75"/>
      <c r="W90" s="75"/>
      <c r="X90" s="75"/>
      <c r="Y90" s="75"/>
      <c r="Z90" s="75"/>
    </row>
    <row r="91" spans="1:26" ht="23.25">
      <c r="A91" s="107"/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V91" s="75"/>
      <c r="W91" s="75"/>
      <c r="X91" s="75"/>
      <c r="Y91" s="75"/>
      <c r="Z91" s="75"/>
    </row>
    <row r="92" spans="1:26" ht="23.25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V92" s="75"/>
      <c r="W92" s="75"/>
      <c r="X92" s="75"/>
      <c r="Y92" s="75"/>
      <c r="Z92" s="75"/>
    </row>
    <row r="93" spans="1:26" ht="23.25">
      <c r="A93" s="107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V93" s="75"/>
      <c r="W93" s="75"/>
      <c r="X93" s="75"/>
      <c r="Y93" s="75"/>
      <c r="Z93" s="75"/>
    </row>
    <row r="94" spans="1:26" ht="23.25">
      <c r="A94" s="107"/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V94" s="75"/>
      <c r="W94" s="75"/>
      <c r="X94" s="75"/>
      <c r="Y94" s="75"/>
      <c r="Z94" s="75"/>
    </row>
    <row r="95" spans="1:26" ht="23.25">
      <c r="A95" s="107"/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V95" s="75"/>
      <c r="W95" s="75"/>
      <c r="X95" s="75"/>
      <c r="Y95" s="75"/>
      <c r="Z95" s="75"/>
    </row>
    <row r="96" spans="1:26" ht="23.25">
      <c r="A96" s="107"/>
      <c r="B96" s="107"/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V96" s="75"/>
      <c r="W96" s="75"/>
      <c r="X96" s="75"/>
      <c r="Y96" s="75"/>
      <c r="Z96" s="75"/>
    </row>
    <row r="97" spans="1:27" ht="23.25">
      <c r="A97" s="107"/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V97" s="75"/>
      <c r="W97" s="75"/>
      <c r="X97" s="75"/>
      <c r="Y97" s="75"/>
      <c r="Z97" s="75"/>
    </row>
    <row r="98" spans="1:27" ht="23.25">
      <c r="A98" s="107"/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V98" s="75"/>
      <c r="W98" s="75"/>
      <c r="X98" s="75"/>
      <c r="Y98" s="75"/>
      <c r="Z98" s="75"/>
    </row>
    <row r="99" spans="1:27" ht="23.25">
      <c r="A99" s="107"/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V99" s="75"/>
      <c r="W99" s="75"/>
      <c r="X99" s="75"/>
      <c r="Y99" s="75"/>
      <c r="Z99" s="75"/>
    </row>
    <row r="100" spans="1:27" ht="23.25">
      <c r="A100" s="107"/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V100" s="75"/>
      <c r="W100" s="75"/>
      <c r="X100" s="75"/>
      <c r="Y100" s="75"/>
      <c r="Z100" s="75"/>
    </row>
    <row r="101" spans="1:27" ht="23.25">
      <c r="A101" s="107"/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V101" s="75"/>
      <c r="W101" s="75"/>
      <c r="X101" s="75"/>
      <c r="Y101" s="75"/>
      <c r="Z101" s="75"/>
    </row>
    <row r="102" spans="1:27" ht="23.25">
      <c r="A102" s="107"/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V102" s="75"/>
      <c r="W102" s="75"/>
      <c r="X102" s="75"/>
      <c r="Y102" s="75"/>
      <c r="Z102" s="75"/>
    </row>
    <row r="103" spans="1:27" ht="23.25">
      <c r="A103" s="107"/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V103" s="75"/>
      <c r="W103" s="75"/>
      <c r="X103" s="75"/>
      <c r="Y103" s="75"/>
      <c r="Z103" s="75"/>
      <c r="AA103" s="73"/>
    </row>
  </sheetData>
  <mergeCells count="23">
    <mergeCell ref="A88:P88"/>
    <mergeCell ref="A91:P91"/>
    <mergeCell ref="A89:P89"/>
    <mergeCell ref="A90:P90"/>
    <mergeCell ref="A82:P82"/>
    <mergeCell ref="A83:P83"/>
    <mergeCell ref="A84:P84"/>
    <mergeCell ref="A1:AB1"/>
    <mergeCell ref="A101:P101"/>
    <mergeCell ref="A102:P102"/>
    <mergeCell ref="A103:P103"/>
    <mergeCell ref="A85:P85"/>
    <mergeCell ref="A96:P96"/>
    <mergeCell ref="A97:P97"/>
    <mergeCell ref="A98:P98"/>
    <mergeCell ref="A99:P99"/>
    <mergeCell ref="A100:P100"/>
    <mergeCell ref="A92:P92"/>
    <mergeCell ref="A93:P93"/>
    <mergeCell ref="A94:P94"/>
    <mergeCell ref="A95:P95"/>
    <mergeCell ref="A86:P86"/>
    <mergeCell ref="A87:P87"/>
  </mergeCells>
  <pageMargins left="0.70866141732283472" right="0.70866141732283472" top="0.74803149606299213" bottom="0.74803149606299213" header="0.31496062992125984" footer="0.31496062992125984"/>
  <pageSetup paperSize="9" scale="52" fitToHeight="3" orientation="landscape" verticalDpi="0" r:id="rId1"/>
  <rowBreaks count="1" manualBreakCount="1">
    <brk id="34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Nachalnik</dc:creator>
  <cp:lastModifiedBy>Nachalnik</cp:lastModifiedBy>
  <cp:lastPrinted>2024-11-25T14:16:06Z</cp:lastPrinted>
  <dcterms:created xsi:type="dcterms:W3CDTF">2019-11-25T06:20:16Z</dcterms:created>
  <dcterms:modified xsi:type="dcterms:W3CDTF">2024-12-16T13:21:52Z</dcterms:modified>
</cp:coreProperties>
</file>