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45" windowWidth="12000" windowHeight="6420" tabRatio="837" activeTab="1"/>
  </bookViews>
  <sheets>
    <sheet name="Осн. фін. пок." sheetId="1" r:id="rId1"/>
    <sheet name="I. Фін результат" sheetId="2" r:id="rId2"/>
    <sheet name="ІІ. Розр. з бюджетом" sheetId="3" r:id="rId3"/>
    <sheet name="ІІІ. Рух грош. коштів" sheetId="4" r:id="rId4"/>
    <sheet name="IV. Кап. інвестиції" sheetId="5" r:id="rId5"/>
    <sheet name=" V. Коефіцієнти" sheetId="6" r:id="rId6"/>
    <sheet name="6.1. Інша інфо_1" sheetId="7" r:id="rId7"/>
    <sheet name="штатка" sheetId="9" r:id="rId8"/>
    <sheet name="6.2. Інша інфо_2" sheetId="8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_1E3D5FB9_014E_4051_8AD5_DB0A17D05797_.wvu.PrintArea" localSheetId="5" hidden="1">' V. Коефіцієнти'!$A$1:$H$26</definedName>
    <definedName name="Z_1E3D5FB9_014E_4051_8AD5_DB0A17D05797_.wvu.PrintArea" localSheetId="6" hidden="1">'6.1. Інша інфо_1'!$A$1:$O$81</definedName>
    <definedName name="Z_1E3D5FB9_014E_4051_8AD5_DB0A17D05797_.wvu.PrintArea" localSheetId="8" hidden="1">'6.2. Інша інфо_2'!$A$1:$AE$53</definedName>
    <definedName name="Z_1E3D5FB9_014E_4051_8AD5_DB0A17D05797_.wvu.PrintArea" localSheetId="1" hidden="1">'I. Фін результат'!$A$1:$J$110</definedName>
    <definedName name="Z_1E3D5FB9_014E_4051_8AD5_DB0A17D05797_.wvu.PrintArea" localSheetId="4" hidden="1">'IV. Кап. інвестиції'!$A$1:$I$16</definedName>
    <definedName name="Z_1E3D5FB9_014E_4051_8AD5_DB0A17D05797_.wvu.PrintArea" localSheetId="2" hidden="1">'ІІ. Розр. з бюджетом'!$A$1:$I$42</definedName>
    <definedName name="Z_1E3D5FB9_014E_4051_8AD5_DB0A17D05797_.wvu.PrintArea" localSheetId="3" hidden="1">'ІІІ. Рух грош. коштів'!$A$1:$I$85</definedName>
    <definedName name="Z_1E3D5FB9_014E_4051_8AD5_DB0A17D05797_.wvu.PrintArea" localSheetId="0" hidden="1">'Осн. фін. пок.'!$A$1:$J$87</definedName>
    <definedName name="Z_1E3D5FB9_014E_4051_8AD5_DB0A17D05797_.wvu.PrintTitles" localSheetId="5" hidden="1">' V. Коефіцієнти'!$5:$5</definedName>
    <definedName name="Z_1E3D5FB9_014E_4051_8AD5_DB0A17D05797_.wvu.PrintTitles" localSheetId="1" hidden="1">'I. Фін результат'!$5:$5</definedName>
    <definedName name="Z_1E3D5FB9_014E_4051_8AD5_DB0A17D05797_.wvu.PrintTitles" localSheetId="2" hidden="1">'ІІ. Розр. з бюджетом'!$5:$5</definedName>
    <definedName name="Z_1E3D5FB9_014E_4051_8AD5_DB0A17D05797_.wvu.PrintTitles" localSheetId="3" hidden="1">'ІІІ. Рух грош. коштів'!$5:$5</definedName>
    <definedName name="Z_1E3D5FB9_014E_4051_8AD5_DB0A17D05797_.wvu.PrintTitles" localSheetId="0" hidden="1">'Осн. фін. пок.'!$36:$36</definedName>
    <definedName name="Z_43DCEB14_ADF8_4168_9283_6542A71D3CF7_.wvu.PrintArea" localSheetId="5" hidden="1">' V. Коефіцієнти'!$A$1:$H$26</definedName>
    <definedName name="Z_43DCEB14_ADF8_4168_9283_6542A71D3CF7_.wvu.PrintArea" localSheetId="6" hidden="1">'6.1. Інша інфо_1'!$A$1:$O$81</definedName>
    <definedName name="Z_43DCEB14_ADF8_4168_9283_6542A71D3CF7_.wvu.PrintArea" localSheetId="8" hidden="1">'6.2. Інша інфо_2'!$A$1:$AE$53</definedName>
    <definedName name="Z_43DCEB14_ADF8_4168_9283_6542A71D3CF7_.wvu.PrintArea" localSheetId="1" hidden="1">'I. Фін результат'!$A$1:$J$110</definedName>
    <definedName name="Z_43DCEB14_ADF8_4168_9283_6542A71D3CF7_.wvu.PrintArea" localSheetId="4" hidden="1">'IV. Кап. інвестиції'!$A$1:$I$16</definedName>
    <definedName name="Z_43DCEB14_ADF8_4168_9283_6542A71D3CF7_.wvu.PrintArea" localSheetId="2" hidden="1">'ІІ. Розр. з бюджетом'!$A$1:$I$42</definedName>
    <definedName name="Z_43DCEB14_ADF8_4168_9283_6542A71D3CF7_.wvu.PrintArea" localSheetId="3" hidden="1">'ІІІ. Рух грош. коштів'!$A$1:$I$85</definedName>
    <definedName name="Z_43DCEB14_ADF8_4168_9283_6542A71D3CF7_.wvu.PrintArea" localSheetId="0" hidden="1">'Осн. фін. пок.'!$A$1:$J$87</definedName>
    <definedName name="Z_43DCEB14_ADF8_4168_9283_6542A71D3CF7_.wvu.PrintTitles" localSheetId="5" hidden="1">' V. Коефіцієнти'!$5:$5</definedName>
    <definedName name="Z_43DCEB14_ADF8_4168_9283_6542A71D3CF7_.wvu.PrintTitles" localSheetId="1" hidden="1">'I. Фін результат'!$5:$5</definedName>
    <definedName name="Z_43DCEB14_ADF8_4168_9283_6542A71D3CF7_.wvu.PrintTitles" localSheetId="2" hidden="1">'ІІ. Розр. з бюджетом'!$5:$5</definedName>
    <definedName name="Z_43DCEB14_ADF8_4168_9283_6542A71D3CF7_.wvu.PrintTitles" localSheetId="3" hidden="1">'ІІІ. Рух грош. коштів'!$5:$5</definedName>
    <definedName name="Z_43DCEB14_ADF8_4168_9283_6542A71D3CF7_.wvu.PrintTitles" localSheetId="0" hidden="1">'Осн. фін. пок.'!$36:$36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V. Коефіцієнти'!$5:$5</definedName>
    <definedName name="_xlnm.Print_Titles" localSheetId="1">'I. Фін результат'!$5:$5</definedName>
    <definedName name="_xlnm.Print_Titles" localSheetId="2">'ІІ. Розр. з бюджетом'!$5:$5</definedName>
    <definedName name="_xlnm.Print_Titles" localSheetId="3">'ІІІ. Рух грош. коштів'!$5:$5</definedName>
    <definedName name="_xlnm.Print_Titles" localSheetId="0">'Осн. фін. пок.'!$36:$36</definedName>
    <definedName name="Заголовки_для_печати_МИ">'[28]1993'!$A$1:$IV$3,'[28]1993'!$A$1:$A$65536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V. Коефіцієнти'!$A$1:$H$26</definedName>
    <definedName name="_xlnm.Print_Area" localSheetId="6">'6.1. Інша інфо_1'!$A$1:$O$81</definedName>
    <definedName name="_xlnm.Print_Area" localSheetId="8">'6.2. Інша інфо_2'!$A$1:$AE$53</definedName>
    <definedName name="_xlnm.Print_Area" localSheetId="1">'I. Фін результат'!$A$1:$J$110</definedName>
    <definedName name="_xlnm.Print_Area" localSheetId="4">'IV. Кап. інвестиції'!$A$1:$I$16</definedName>
    <definedName name="_xlnm.Print_Area" localSheetId="2">'ІІ. Розр. з бюджетом'!$A$1:$I$42</definedName>
    <definedName name="_xlnm.Print_Area" localSheetId="3">'ІІІ. Рух грош. коштів'!$A$1:$I$85</definedName>
    <definedName name="_xlnm.Print_Area" localSheetId="0">'Осн. фін. пок.'!$A$1:$J$87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24519"/>
  <customWorkbookViews>
    <customWorkbookView name="1235 - Личное представление" guid="{1E3D5FB9-014E-4051-8AD5-DB0A17D05797}" mergeInterval="0" personalView="1" maximized="1" xWindow="1" yWindow="1" windowWidth="1276" windowHeight="794" tabRatio="837" activeSheetId="2"/>
    <customWorkbookView name="UserNEW - Личное представление" guid="{43DCEB14-ADF8-4168-9283-6542A71D3CF7}" mergeInterval="0" personalView="1" maximized="1" xWindow="1" yWindow="1" windowWidth="1600" windowHeight="670" tabRatio="837" activeSheetId="3"/>
  </customWorkbookViews>
</workbook>
</file>

<file path=xl/calcChain.xml><?xml version="1.0" encoding="utf-8"?>
<calcChain xmlns="http://schemas.openxmlformats.org/spreadsheetml/2006/main">
  <c r="E46" i="2"/>
  <c r="F46"/>
  <c r="G46"/>
  <c r="H46"/>
  <c r="I46"/>
  <c r="D46"/>
  <c r="C33" i="9" l="1"/>
  <c r="V65"/>
  <c r="L10" l="1"/>
  <c r="V64"/>
  <c r="E16" i="4" l="1"/>
  <c r="E100" i="2"/>
  <c r="E101"/>
  <c r="I99"/>
  <c r="F99" l="1"/>
  <c r="C101"/>
  <c r="C100"/>
  <c r="M33" i="9"/>
  <c r="L28"/>
  <c r="L29"/>
  <c r="L30"/>
  <c r="L31"/>
  <c r="L32"/>
  <c r="L26"/>
  <c r="L27"/>
  <c r="L21"/>
  <c r="L22"/>
  <c r="L20"/>
  <c r="L19"/>
  <c r="L15"/>
  <c r="L16"/>
  <c r="L17"/>
  <c r="L18"/>
  <c r="L11"/>
  <c r="L12"/>
  <c r="L13"/>
  <c r="L14"/>
  <c r="Q33" l="1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10"/>
  <c r="I33"/>
  <c r="G33"/>
  <c r="H33"/>
  <c r="E11"/>
  <c r="J11" s="1"/>
  <c r="K11" s="1"/>
  <c r="E12"/>
  <c r="J12" s="1"/>
  <c r="K12" s="1"/>
  <c r="E13"/>
  <c r="J13" s="1"/>
  <c r="K13" s="1"/>
  <c r="E14"/>
  <c r="J14" s="1"/>
  <c r="K14" s="1"/>
  <c r="E15"/>
  <c r="J15" s="1"/>
  <c r="K15" s="1"/>
  <c r="E16"/>
  <c r="J16" s="1"/>
  <c r="K16" s="1"/>
  <c r="E17"/>
  <c r="J17" s="1"/>
  <c r="K17" s="1"/>
  <c r="E18"/>
  <c r="J18" s="1"/>
  <c r="K18" s="1"/>
  <c r="E19"/>
  <c r="E20"/>
  <c r="J20" s="1"/>
  <c r="K20" s="1"/>
  <c r="E21"/>
  <c r="E22"/>
  <c r="J22" s="1"/>
  <c r="K22" s="1"/>
  <c r="E23"/>
  <c r="E24"/>
  <c r="J24" s="1"/>
  <c r="K24" s="1"/>
  <c r="E25"/>
  <c r="J25" s="1"/>
  <c r="K25" s="1"/>
  <c r="E26"/>
  <c r="J26" s="1"/>
  <c r="K26" s="1"/>
  <c r="E27"/>
  <c r="J27" s="1"/>
  <c r="K27" s="1"/>
  <c r="E28"/>
  <c r="J28" s="1"/>
  <c r="K28" s="1"/>
  <c r="E29"/>
  <c r="E30"/>
  <c r="J30" s="1"/>
  <c r="K30" s="1"/>
  <c r="N30" s="1"/>
  <c r="E31"/>
  <c r="E32"/>
  <c r="J32" s="1"/>
  <c r="K32" s="1"/>
  <c r="E10"/>
  <c r="J10" s="1"/>
  <c r="K10" s="1"/>
  <c r="N10" s="1"/>
  <c r="T10" s="1"/>
  <c r="D21" i="4"/>
  <c r="E21"/>
  <c r="E59"/>
  <c r="E45"/>
  <c r="E61" i="2"/>
  <c r="E20"/>
  <c r="V66" i="9" l="1"/>
  <c r="J19"/>
  <c r="N32"/>
  <c r="T32" s="1"/>
  <c r="N26"/>
  <c r="T26" s="1"/>
  <c r="N16"/>
  <c r="T16" s="1"/>
  <c r="N28"/>
  <c r="T28" s="1"/>
  <c r="N22"/>
  <c r="T22" s="1"/>
  <c r="N20"/>
  <c r="T20" s="1"/>
  <c r="N12"/>
  <c r="T12" s="1"/>
  <c r="J31"/>
  <c r="K31" s="1"/>
  <c r="N27"/>
  <c r="T27" s="1"/>
  <c r="J21"/>
  <c r="K21" s="1"/>
  <c r="N17"/>
  <c r="T17" s="1"/>
  <c r="N15"/>
  <c r="T15" s="1"/>
  <c r="N13"/>
  <c r="T13" s="1"/>
  <c r="N11"/>
  <c r="T11" s="1"/>
  <c r="N18"/>
  <c r="T18" s="1"/>
  <c r="N14"/>
  <c r="T14" s="1"/>
  <c r="K19"/>
  <c r="N19" s="1"/>
  <c r="S33"/>
  <c r="J23"/>
  <c r="K23" s="1"/>
  <c r="E33"/>
  <c r="J29"/>
  <c r="M8" i="8"/>
  <c r="M9"/>
  <c r="M10"/>
  <c r="M7"/>
  <c r="D61" i="2"/>
  <c r="D20"/>
  <c r="C70"/>
  <c r="D7"/>
  <c r="E7"/>
  <c r="F7"/>
  <c r="G7"/>
  <c r="H7"/>
  <c r="I7"/>
  <c r="C7"/>
  <c r="E70"/>
  <c r="N21" i="9" l="1"/>
  <c r="T21" s="1"/>
  <c r="N31"/>
  <c r="T31" s="1"/>
  <c r="T19"/>
  <c r="K29"/>
  <c r="N29" s="1"/>
  <c r="J33"/>
  <c r="E102" i="2"/>
  <c r="D98"/>
  <c r="E98"/>
  <c r="K33" i="9" l="1"/>
  <c r="E97" i="2"/>
  <c r="J29" i="7" l="1"/>
  <c r="X66" i="9"/>
  <c r="J28" i="7"/>
  <c r="X65" i="9"/>
  <c r="J27" i="7"/>
  <c r="X64" i="9"/>
  <c r="X11"/>
  <c r="Z11"/>
  <c r="AB11"/>
  <c r="X12"/>
  <c r="Z12"/>
  <c r="AB12"/>
  <c r="X13"/>
  <c r="Z13"/>
  <c r="AB13"/>
  <c r="X14"/>
  <c r="Z14"/>
  <c r="AB14"/>
  <c r="X15"/>
  <c r="Z15"/>
  <c r="AB15"/>
  <c r="X16"/>
  <c r="Z16"/>
  <c r="AB16"/>
  <c r="X17"/>
  <c r="Z17"/>
  <c r="AB17"/>
  <c r="X18"/>
  <c r="Z18"/>
  <c r="AB18"/>
  <c r="X19"/>
  <c r="Z19"/>
  <c r="AB19"/>
  <c r="X20"/>
  <c r="Z20"/>
  <c r="AB20"/>
  <c r="X21"/>
  <c r="Z21"/>
  <c r="AB21"/>
  <c r="X22"/>
  <c r="Z22"/>
  <c r="AB22"/>
  <c r="X23"/>
  <c r="Z23"/>
  <c r="AB23"/>
  <c r="X24"/>
  <c r="Z24"/>
  <c r="AB24"/>
  <c r="X25"/>
  <c r="Z25"/>
  <c r="AB25"/>
  <c r="X26"/>
  <c r="Z26"/>
  <c r="AB26"/>
  <c r="X27"/>
  <c r="Z27"/>
  <c r="AB27"/>
  <c r="X28"/>
  <c r="Z28"/>
  <c r="AB28"/>
  <c r="X29"/>
  <c r="Z29"/>
  <c r="AB29"/>
  <c r="X30"/>
  <c r="Z30"/>
  <c r="AB30"/>
  <c r="X31"/>
  <c r="Z31"/>
  <c r="AB31"/>
  <c r="X32"/>
  <c r="Z32"/>
  <c r="AB32"/>
  <c r="AB10"/>
  <c r="Z10"/>
  <c r="X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10"/>
  <c r="P16"/>
  <c r="P17"/>
  <c r="P18"/>
  <c r="P19"/>
  <c r="P20"/>
  <c r="W20" s="1"/>
  <c r="P21"/>
  <c r="P22"/>
  <c r="P23"/>
  <c r="P24"/>
  <c r="P25"/>
  <c r="P26"/>
  <c r="P27"/>
  <c r="P28"/>
  <c r="P29"/>
  <c r="P30"/>
  <c r="P31"/>
  <c r="P32"/>
  <c r="P15"/>
  <c r="AC11"/>
  <c r="AD11" s="1"/>
  <c r="AC13"/>
  <c r="AD13" s="1"/>
  <c r="AC15"/>
  <c r="AD15" s="1"/>
  <c r="AC17"/>
  <c r="AD17" s="1"/>
  <c r="AC19"/>
  <c r="AD19" s="1"/>
  <c r="AC21"/>
  <c r="AD21" s="1"/>
  <c r="AC31"/>
  <c r="AD31" s="1"/>
  <c r="I59" i="4"/>
  <c r="G59"/>
  <c r="H59"/>
  <c r="F59"/>
  <c r="AC26" i="9" l="1"/>
  <c r="AD26" s="1"/>
  <c r="AA16"/>
  <c r="AA14"/>
  <c r="X46" s="1"/>
  <c r="AC32"/>
  <c r="AD32" s="1"/>
  <c r="AC28"/>
  <c r="AD28" s="1"/>
  <c r="AC27"/>
  <c r="AD27" s="1"/>
  <c r="AC22"/>
  <c r="AD22" s="1"/>
  <c r="AC20"/>
  <c r="AD20" s="1"/>
  <c r="AC18"/>
  <c r="AD18" s="1"/>
  <c r="AA12"/>
  <c r="AC10"/>
  <c r="AD10" s="1"/>
  <c r="W31"/>
  <c r="W27"/>
  <c r="W21"/>
  <c r="W19"/>
  <c r="W17"/>
  <c r="W15"/>
  <c r="W13"/>
  <c r="W11"/>
  <c r="Y31"/>
  <c r="Y27"/>
  <c r="Y21"/>
  <c r="Y19"/>
  <c r="Y17"/>
  <c r="Y15"/>
  <c r="Y13"/>
  <c r="Y11"/>
  <c r="AA31"/>
  <c r="AA27"/>
  <c r="AA21"/>
  <c r="AA19"/>
  <c r="AA17"/>
  <c r="AA15"/>
  <c r="AA13"/>
  <c r="AA11"/>
  <c r="AC16"/>
  <c r="AD16" s="1"/>
  <c r="AC14"/>
  <c r="AD14" s="1"/>
  <c r="AC12"/>
  <c r="AD12" s="1"/>
  <c r="V70" s="1"/>
  <c r="W10"/>
  <c r="V42" s="1"/>
  <c r="V33"/>
  <c r="W32"/>
  <c r="W28"/>
  <c r="W26"/>
  <c r="W22"/>
  <c r="W18"/>
  <c r="W16"/>
  <c r="W14"/>
  <c r="V46" s="1"/>
  <c r="W12"/>
  <c r="Y10"/>
  <c r="W42" s="1"/>
  <c r="Y32"/>
  <c r="Y28"/>
  <c r="Y26"/>
  <c r="Y22"/>
  <c r="Y20"/>
  <c r="Y18"/>
  <c r="Y16"/>
  <c r="Y14"/>
  <c r="W46" s="1"/>
  <c r="Y12"/>
  <c r="AA10"/>
  <c r="X42" s="1"/>
  <c r="AA32"/>
  <c r="AA28"/>
  <c r="AA26"/>
  <c r="AA22"/>
  <c r="AA20"/>
  <c r="AA18"/>
  <c r="AB33"/>
  <c r="Z33"/>
  <c r="X33"/>
  <c r="I45" i="4"/>
  <c r="H45"/>
  <c r="G45"/>
  <c r="F45"/>
  <c r="C12"/>
  <c r="C16"/>
  <c r="D39"/>
  <c r="I39"/>
  <c r="H39"/>
  <c r="G39"/>
  <c r="F39"/>
  <c r="E39"/>
  <c r="I20" i="2"/>
  <c r="H20"/>
  <c r="I102"/>
  <c r="V69" i="9" l="1"/>
  <c r="V54"/>
  <c r="X54" s="1"/>
  <c r="Y42"/>
  <c r="Y46"/>
  <c r="K32" i="2"/>
  <c r="F32" s="1"/>
  <c r="L32"/>
  <c r="G32" s="1"/>
  <c r="J31" i="7"/>
  <c r="X69" i="9"/>
  <c r="V43"/>
  <c r="K33" i="2" s="1"/>
  <c r="F33" s="1"/>
  <c r="V59" i="9"/>
  <c r="J19" i="7"/>
  <c r="L29" i="8"/>
  <c r="X29" s="1"/>
  <c r="M29"/>
  <c r="Y29" s="1"/>
  <c r="N29"/>
  <c r="Z29" s="1"/>
  <c r="K29"/>
  <c r="W29" s="1"/>
  <c r="Y43" i="9" l="1"/>
  <c r="V55"/>
  <c r="V60"/>
  <c r="W43"/>
  <c r="L33" i="2" s="1"/>
  <c r="G33" s="1"/>
  <c r="J32" i="7"/>
  <c r="X70" i="9"/>
  <c r="J23" i="7"/>
  <c r="X59" i="9"/>
  <c r="M32" i="2"/>
  <c r="H32" s="1"/>
  <c r="X43" i="9"/>
  <c r="M33" i="2" s="1"/>
  <c r="H33" s="1"/>
  <c r="N32"/>
  <c r="I32" s="1"/>
  <c r="N31" i="8"/>
  <c r="L31"/>
  <c r="K31"/>
  <c r="M31"/>
  <c r="D12" i="4"/>
  <c r="E12"/>
  <c r="G13"/>
  <c r="G12" s="1"/>
  <c r="H13"/>
  <c r="H12" s="1"/>
  <c r="I13"/>
  <c r="I12" s="1"/>
  <c r="F13"/>
  <c r="F12" s="1"/>
  <c r="N33" i="2" l="1"/>
  <c r="I33" s="1"/>
  <c r="J20" i="7"/>
  <c r="N20" s="1"/>
  <c r="X55" i="9"/>
  <c r="N13" i="7"/>
  <c r="N16"/>
  <c r="N19"/>
  <c r="N12"/>
  <c r="L13"/>
  <c r="L16"/>
  <c r="L19"/>
  <c r="L12"/>
  <c r="D59" i="4"/>
  <c r="D45"/>
  <c r="L20" i="7" l="1"/>
  <c r="J24"/>
  <c r="X60" i="9"/>
  <c r="D80" i="1"/>
  <c r="D77"/>
  <c r="I61" i="2" l="1"/>
  <c r="H61"/>
  <c r="G61"/>
  <c r="F61"/>
  <c r="G22" i="5"/>
  <c r="H22"/>
  <c r="I22"/>
  <c r="F22"/>
  <c r="G20"/>
  <c r="H20"/>
  <c r="I20"/>
  <c r="F20"/>
  <c r="G19"/>
  <c r="H19"/>
  <c r="I19"/>
  <c r="F19"/>
  <c r="X30" i="8" l="1"/>
  <c r="X31" s="1"/>
  <c r="Y30"/>
  <c r="Y31" s="1"/>
  <c r="Z30"/>
  <c r="Z31" s="1"/>
  <c r="L29" i="7" l="1"/>
  <c r="L56"/>
  <c r="F56"/>
  <c r="L28" l="1"/>
  <c r="H99" i="2"/>
  <c r="H102"/>
  <c r="G102"/>
  <c r="F102"/>
  <c r="F116" l="1"/>
  <c r="G116"/>
  <c r="H116"/>
  <c r="I116"/>
  <c r="G115"/>
  <c r="H115"/>
  <c r="I115"/>
  <c r="F115"/>
  <c r="C39" i="4"/>
  <c r="G20" i="2" l="1"/>
  <c r="C21" i="4" l="1"/>
  <c r="C35" i="3"/>
  <c r="C98" i="2"/>
  <c r="C37" i="3"/>
  <c r="C97" i="2" l="1"/>
  <c r="D14" i="6"/>
  <c r="D15"/>
  <c r="D19"/>
  <c r="L27" i="7" l="1"/>
  <c r="F27"/>
  <c r="L24"/>
  <c r="N24"/>
  <c r="L32" l="1"/>
  <c r="F31"/>
  <c r="N31" s="1"/>
  <c r="N27"/>
  <c r="F32"/>
  <c r="N32" s="1"/>
  <c r="N28"/>
  <c r="F33"/>
  <c r="N29"/>
  <c r="N23"/>
  <c r="L23"/>
  <c r="L31"/>
  <c r="F80" i="1" l="1"/>
  <c r="E80"/>
  <c r="F77"/>
  <c r="C58"/>
  <c r="Q11" i="8"/>
  <c r="T11"/>
  <c r="W11"/>
  <c r="Z11"/>
  <c r="AC11"/>
  <c r="V19"/>
  <c r="V20"/>
  <c r="X21"/>
  <c r="Z21"/>
  <c r="AB21"/>
  <c r="AD21"/>
  <c r="W30"/>
  <c r="W31" s="1"/>
  <c r="G31"/>
  <c r="H31"/>
  <c r="I31"/>
  <c r="J31"/>
  <c r="O31"/>
  <c r="P31"/>
  <c r="Q31"/>
  <c r="R31"/>
  <c r="S31"/>
  <c r="T31"/>
  <c r="U31"/>
  <c r="V31"/>
  <c r="M40"/>
  <c r="M41"/>
  <c r="M42"/>
  <c r="M43"/>
  <c r="M44"/>
  <c r="M45"/>
  <c r="M46"/>
  <c r="E47"/>
  <c r="G47"/>
  <c r="I47"/>
  <c r="K47"/>
  <c r="O47"/>
  <c r="Q47"/>
  <c r="S47"/>
  <c r="O56" i="7"/>
  <c r="M57"/>
  <c r="K66"/>
  <c r="C6" i="5"/>
  <c r="C68" i="1" s="1"/>
  <c r="D6" i="5"/>
  <c r="E6"/>
  <c r="F68" i="1" s="1"/>
  <c r="F6" i="5"/>
  <c r="G6"/>
  <c r="H6"/>
  <c r="I6"/>
  <c r="E68" i="1" s="1"/>
  <c r="G68" s="1"/>
  <c r="H68" s="1"/>
  <c r="I68" s="1"/>
  <c r="J68" s="1"/>
  <c r="F26" i="4"/>
  <c r="G26"/>
  <c r="H26"/>
  <c r="C47"/>
  <c r="C63" i="1" s="1"/>
  <c r="D47" i="4"/>
  <c r="E47"/>
  <c r="F63" i="1" s="1"/>
  <c r="F47" i="4"/>
  <c r="G47"/>
  <c r="H47"/>
  <c r="I47"/>
  <c r="E63" i="1" s="1"/>
  <c r="G63" s="1"/>
  <c r="H63" s="1"/>
  <c r="I63" s="1"/>
  <c r="J63" s="1"/>
  <c r="F22" i="3"/>
  <c r="G22"/>
  <c r="H22"/>
  <c r="C25"/>
  <c r="C57" i="1" s="1"/>
  <c r="D25" i="3"/>
  <c r="D57" i="1" s="1"/>
  <c r="E25" i="3"/>
  <c r="F57" i="1" s="1"/>
  <c r="D87" i="2"/>
  <c r="G87"/>
  <c r="C9"/>
  <c r="D9"/>
  <c r="E9"/>
  <c r="F20"/>
  <c r="C24"/>
  <c r="C41" i="1" s="1"/>
  <c r="D24" i="2"/>
  <c r="E24"/>
  <c r="F41" i="1" s="1"/>
  <c r="C49" i="2"/>
  <c r="C42" i="1" s="1"/>
  <c r="D49" i="2"/>
  <c r="D42" i="1" s="1"/>
  <c r="E49" i="2"/>
  <c r="F49"/>
  <c r="G49"/>
  <c r="H49"/>
  <c r="I49"/>
  <c r="E42" i="1" s="1"/>
  <c r="G42" s="1"/>
  <c r="H42" s="1"/>
  <c r="I42" s="1"/>
  <c r="J42" s="1"/>
  <c r="C56" i="2"/>
  <c r="D56"/>
  <c r="E56"/>
  <c r="F56"/>
  <c r="G56"/>
  <c r="I56"/>
  <c r="C85"/>
  <c r="C47" i="1" s="1"/>
  <c r="D85" i="2"/>
  <c r="D47" i="1" s="1"/>
  <c r="E85" i="2"/>
  <c r="F47" i="1" s="1"/>
  <c r="F85" i="2"/>
  <c r="G85"/>
  <c r="H85"/>
  <c r="I85"/>
  <c r="E47" i="1" s="1"/>
  <c r="G47" s="1"/>
  <c r="H47" s="1"/>
  <c r="I47" s="1"/>
  <c r="J47" s="1"/>
  <c r="C86" i="2"/>
  <c r="C48" i="1" s="1"/>
  <c r="D86" i="2"/>
  <c r="D48" i="1" s="1"/>
  <c r="E86" i="2"/>
  <c r="F86"/>
  <c r="G86"/>
  <c r="H86"/>
  <c r="I86"/>
  <c r="E48" i="1" s="1"/>
  <c r="G48" s="1"/>
  <c r="H48" s="1"/>
  <c r="I48" s="1"/>
  <c r="J48" s="1"/>
  <c r="C87" i="2"/>
  <c r="E87"/>
  <c r="C92"/>
  <c r="D92"/>
  <c r="E92"/>
  <c r="F92"/>
  <c r="G92"/>
  <c r="H92"/>
  <c r="I92"/>
  <c r="C93"/>
  <c r="D93"/>
  <c r="E93"/>
  <c r="F93"/>
  <c r="G93"/>
  <c r="H93"/>
  <c r="I93"/>
  <c r="F98"/>
  <c r="G98"/>
  <c r="H98"/>
  <c r="I98"/>
  <c r="F97"/>
  <c r="G99"/>
  <c r="C91"/>
  <c r="D9" i="4"/>
  <c r="F9"/>
  <c r="H9"/>
  <c r="B38" i="1"/>
  <c r="C38"/>
  <c r="D38"/>
  <c r="F38"/>
  <c r="B39"/>
  <c r="B40"/>
  <c r="B41"/>
  <c r="B42"/>
  <c r="F42"/>
  <c r="B43"/>
  <c r="B44"/>
  <c r="B45"/>
  <c r="B46"/>
  <c r="B47"/>
  <c r="B48"/>
  <c r="F48"/>
  <c r="B49"/>
  <c r="B50"/>
  <c r="B51"/>
  <c r="B52"/>
  <c r="B54"/>
  <c r="B55"/>
  <c r="C56"/>
  <c r="D56"/>
  <c r="F56"/>
  <c r="E56"/>
  <c r="G56" s="1"/>
  <c r="H56" s="1"/>
  <c r="I56" s="1"/>
  <c r="J56" s="1"/>
  <c r="B57"/>
  <c r="B58"/>
  <c r="D58"/>
  <c r="B59"/>
  <c r="B61"/>
  <c r="C61"/>
  <c r="D61"/>
  <c r="B62"/>
  <c r="B63"/>
  <c r="D63"/>
  <c r="B64"/>
  <c r="B65"/>
  <c r="C65"/>
  <c r="D65"/>
  <c r="F65"/>
  <c r="E65"/>
  <c r="G65" s="1"/>
  <c r="H65" s="1"/>
  <c r="I65" s="1"/>
  <c r="J65" s="1"/>
  <c r="B66"/>
  <c r="B68"/>
  <c r="D68"/>
  <c r="B70"/>
  <c r="B71"/>
  <c r="B72"/>
  <c r="C72"/>
  <c r="C77"/>
  <c r="C80"/>
  <c r="F87" i="2" l="1"/>
  <c r="H97"/>
  <c r="I91"/>
  <c r="I9" i="4"/>
  <c r="G91" i="2"/>
  <c r="G9" i="4"/>
  <c r="E37" i="3"/>
  <c r="F58" i="1" s="1"/>
  <c r="E74"/>
  <c r="G97" i="2"/>
  <c r="I97"/>
  <c r="F17" i="6"/>
  <c r="D18"/>
  <c r="D17"/>
  <c r="G17"/>
  <c r="D84" i="2"/>
  <c r="D43" i="1" s="1"/>
  <c r="M47" i="8"/>
  <c r="M11"/>
  <c r="D19" i="3"/>
  <c r="D54" i="1" s="1"/>
  <c r="V21" i="8"/>
  <c r="H56" i="2"/>
  <c r="F84"/>
  <c r="D19"/>
  <c r="D40" i="1" s="1"/>
  <c r="D39"/>
  <c r="H91" i="2"/>
  <c r="D91"/>
  <c r="G19" i="6"/>
  <c r="D104" i="2"/>
  <c r="F91"/>
  <c r="E19"/>
  <c r="E65" s="1"/>
  <c r="C19"/>
  <c r="C65" s="1"/>
  <c r="I84"/>
  <c r="E43" i="1" s="1"/>
  <c r="G43" s="1"/>
  <c r="H43" s="1"/>
  <c r="I43" s="1"/>
  <c r="J43" s="1"/>
  <c r="D41"/>
  <c r="H87" i="2"/>
  <c r="F39" i="1"/>
  <c r="C39"/>
  <c r="E38"/>
  <c r="G38" s="1"/>
  <c r="H38" s="1"/>
  <c r="I38" s="1"/>
  <c r="J38" s="1"/>
  <c r="I87" i="2"/>
  <c r="G84"/>
  <c r="E84"/>
  <c r="F43" i="1" s="1"/>
  <c r="C84" i="2"/>
  <c r="C43" i="1" s="1"/>
  <c r="C104" i="2"/>
  <c r="E9" i="4"/>
  <c r="C9"/>
  <c r="F19" i="6"/>
  <c r="F15"/>
  <c r="F14"/>
  <c r="E91" i="2"/>
  <c r="F18" i="6"/>
  <c r="F40" i="1" l="1"/>
  <c r="F7" i="6" s="1"/>
  <c r="F72" i="1"/>
  <c r="C40"/>
  <c r="D7" i="6" s="1"/>
  <c r="D65" i="2"/>
  <c r="D76" s="1"/>
  <c r="D77" s="1"/>
  <c r="H84"/>
  <c r="G18" i="6"/>
  <c r="C76" i="2"/>
  <c r="C90"/>
  <c r="C95" s="1"/>
  <c r="C45" i="1" s="1"/>
  <c r="C44"/>
  <c r="E76" i="2"/>
  <c r="E77" s="1"/>
  <c r="E90"/>
  <c r="E95" s="1"/>
  <c r="F45" i="1" s="1"/>
  <c r="F8" i="6" s="1"/>
  <c r="F44" i="1"/>
  <c r="D26" i="4" l="1"/>
  <c r="D22" i="3"/>
  <c r="C77" i="2"/>
  <c r="C22" i="3" s="1"/>
  <c r="C7" i="4"/>
  <c r="D90" i="2"/>
  <c r="D95" s="1"/>
  <c r="D45" i="1" s="1"/>
  <c r="D46" s="1"/>
  <c r="D44"/>
  <c r="D8" i="6"/>
  <c r="C46" i="1" s="1"/>
  <c r="D13" i="6"/>
  <c r="F13"/>
  <c r="C49" i="1"/>
  <c r="D79" i="2"/>
  <c r="D17" i="3" s="1"/>
  <c r="D49" i="1"/>
  <c r="D7" i="4"/>
  <c r="E7"/>
  <c r="E15" s="1"/>
  <c r="E25" s="1"/>
  <c r="E79" i="2"/>
  <c r="E9" i="3" s="1"/>
  <c r="E10" s="1"/>
  <c r="F49" i="1"/>
  <c r="C88" i="2" l="1"/>
  <c r="C26" i="4"/>
  <c r="D15"/>
  <c r="D25" s="1"/>
  <c r="D27" s="1"/>
  <c r="C79" i="2"/>
  <c r="C50" i="1"/>
  <c r="D64" i="4"/>
  <c r="E64"/>
  <c r="E8" i="3"/>
  <c r="E17" s="1"/>
  <c r="E20"/>
  <c r="C55" i="1"/>
  <c r="C15" i="4"/>
  <c r="C25" s="1"/>
  <c r="F46" i="1"/>
  <c r="D81" i="2"/>
  <c r="D51" i="1"/>
  <c r="D80" i="2"/>
  <c r="E80"/>
  <c r="E81"/>
  <c r="F51" i="1"/>
  <c r="E26" i="4"/>
  <c r="E27" s="1"/>
  <c r="E22" i="3"/>
  <c r="F50" i="1"/>
  <c r="E88" i="2"/>
  <c r="E103" s="1"/>
  <c r="E104" s="1"/>
  <c r="D50" i="1"/>
  <c r="D88" i="2"/>
  <c r="C80" l="1"/>
  <c r="C9" i="3"/>
  <c r="C10" s="1"/>
  <c r="C27" i="4"/>
  <c r="C64"/>
  <c r="C81" i="2"/>
  <c r="C51" i="1"/>
  <c r="D10" i="6" s="1"/>
  <c r="C71" i="1" s="1"/>
  <c r="D52"/>
  <c r="I7" i="3"/>
  <c r="F7"/>
  <c r="G7"/>
  <c r="H7"/>
  <c r="E65" i="4"/>
  <c r="E75" s="1"/>
  <c r="F64" i="1" s="1"/>
  <c r="E21" i="3"/>
  <c r="E19" s="1"/>
  <c r="F54" i="1" s="1"/>
  <c r="F10" i="6"/>
  <c r="F9"/>
  <c r="F11"/>
  <c r="C62" i="1"/>
  <c r="D62"/>
  <c r="F62"/>
  <c r="F55"/>
  <c r="D55"/>
  <c r="D38" i="3"/>
  <c r="D59" i="1" s="1"/>
  <c r="C65" i="4" l="1"/>
  <c r="C75" s="1"/>
  <c r="C64" i="1" s="1"/>
  <c r="C20" i="3"/>
  <c r="D9" i="6"/>
  <c r="C70" i="1" s="1"/>
  <c r="D65" i="4"/>
  <c r="D75" s="1"/>
  <c r="D11" i="6"/>
  <c r="C52" i="1" s="1"/>
  <c r="E38" i="3"/>
  <c r="F59" i="1" s="1"/>
  <c r="E79" i="4"/>
  <c r="F52" i="1"/>
  <c r="F70"/>
  <c r="F71"/>
  <c r="F61"/>
  <c r="C21" i="3" l="1"/>
  <c r="C19" s="1"/>
  <c r="C54" i="1" s="1"/>
  <c r="C8" i="3"/>
  <c r="C17" s="1"/>
  <c r="C79" i="4"/>
  <c r="C66" i="1" s="1"/>
  <c r="D64"/>
  <c r="D79" i="4"/>
  <c r="E80"/>
  <c r="F76" i="1"/>
  <c r="G77" i="4"/>
  <c r="F77"/>
  <c r="H77"/>
  <c r="I77"/>
  <c r="F66" i="1"/>
  <c r="D66" l="1"/>
  <c r="D76"/>
  <c r="C38" i="3"/>
  <c r="C59" i="1" s="1"/>
  <c r="D80" i="4"/>
  <c r="C76" i="1"/>
  <c r="C80" i="4"/>
  <c r="G24" i="2"/>
  <c r="F24"/>
  <c r="I24"/>
  <c r="E41" i="1" l="1"/>
  <c r="G41" s="1"/>
  <c r="H41" s="1"/>
  <c r="I41" s="1"/>
  <c r="J41" s="1"/>
  <c r="H24" i="2"/>
  <c r="E61" i="1" l="1"/>
  <c r="W23" i="9" l="1"/>
  <c r="AA23"/>
  <c r="Y23"/>
  <c r="L23"/>
  <c r="N23" s="1"/>
  <c r="AC23"/>
  <c r="AD23" l="1"/>
  <c r="T23"/>
  <c r="Y25"/>
  <c r="AC25"/>
  <c r="AD25" s="1"/>
  <c r="W25"/>
  <c r="L25"/>
  <c r="AA25"/>
  <c r="W24"/>
  <c r="V45" s="1"/>
  <c r="F120" i="2" s="1"/>
  <c r="AA24" i="9"/>
  <c r="X45" s="1"/>
  <c r="H120" i="2" s="1"/>
  <c r="AC24" i="9"/>
  <c r="L24"/>
  <c r="N24" s="1"/>
  <c r="Y24"/>
  <c r="W45" s="1"/>
  <c r="G120" i="2" s="1"/>
  <c r="AD24" i="9" l="1"/>
  <c r="Y45"/>
  <c r="I120" i="2" s="1"/>
  <c r="N25" i="9"/>
  <c r="N33" s="1"/>
  <c r="L33"/>
  <c r="T24"/>
  <c r="W29"/>
  <c r="AA29"/>
  <c r="Y29"/>
  <c r="AC29"/>
  <c r="T25" l="1"/>
  <c r="T29"/>
  <c r="AD29"/>
  <c r="W30"/>
  <c r="AC30"/>
  <c r="AD30" s="1"/>
  <c r="V71" s="1"/>
  <c r="AA30"/>
  <c r="X39" s="1"/>
  <c r="X48" s="1"/>
  <c r="M100" i="2" s="1"/>
  <c r="Y30" i="9"/>
  <c r="W39" s="1"/>
  <c r="W33" l="1"/>
  <c r="V39"/>
  <c r="V40" s="1"/>
  <c r="AA33"/>
  <c r="Y39"/>
  <c r="Y33"/>
  <c r="W48"/>
  <c r="L100" i="2" s="1"/>
  <c r="W40" i="9"/>
  <c r="L13" i="2"/>
  <c r="G13" s="1"/>
  <c r="T30" i="9"/>
  <c r="T33" s="1"/>
  <c r="AD33"/>
  <c r="M13" i="2"/>
  <c r="H13" s="1"/>
  <c r="X40" i="9"/>
  <c r="AC33"/>
  <c r="V56" l="1"/>
  <c r="Y48"/>
  <c r="N100" i="2" s="1"/>
  <c r="Y40" i="9"/>
  <c r="V61" s="1"/>
  <c r="N13" i="2"/>
  <c r="I13" s="1"/>
  <c r="M14"/>
  <c r="H14" s="1"/>
  <c r="H101" s="1"/>
  <c r="X49" i="9"/>
  <c r="M101" i="2" s="1"/>
  <c r="G100"/>
  <c r="V48" i="9"/>
  <c r="K100" i="2" s="1"/>
  <c r="K13"/>
  <c r="F13" s="1"/>
  <c r="H100"/>
  <c r="J33" i="7"/>
  <c r="X71" i="9"/>
  <c r="L14" i="2"/>
  <c r="G14" s="1"/>
  <c r="G101" s="1"/>
  <c r="W49" i="9"/>
  <c r="L101" i="2" s="1"/>
  <c r="H9" l="1"/>
  <c r="H19" s="1"/>
  <c r="H65" s="1"/>
  <c r="H123"/>
  <c r="H36" i="3"/>
  <c r="H35" s="1"/>
  <c r="H29"/>
  <c r="H121" i="2"/>
  <c r="H122"/>
  <c r="I100"/>
  <c r="Y49" i="9"/>
  <c r="N101" i="2" s="1"/>
  <c r="N14"/>
  <c r="I14" s="1"/>
  <c r="I101" s="1"/>
  <c r="G9"/>
  <c r="G37" i="3"/>
  <c r="N33" i="7"/>
  <c r="L33"/>
  <c r="F100" i="2"/>
  <c r="F121" s="1"/>
  <c r="V49" i="9"/>
  <c r="K101" i="2" s="1"/>
  <c r="K14"/>
  <c r="F14" s="1"/>
  <c r="F101" s="1"/>
  <c r="G121"/>
  <c r="L102" s="1"/>
  <c r="G122"/>
  <c r="G29" i="3"/>
  <c r="G36"/>
  <c r="G35" s="1"/>
  <c r="G123" i="2"/>
  <c r="H37" i="3"/>
  <c r="M102" i="2"/>
  <c r="X56" i="9"/>
  <c r="J21" i="7"/>
  <c r="H88" i="2" l="1"/>
  <c r="H103" s="1"/>
  <c r="H104" s="1"/>
  <c r="H25" i="3"/>
  <c r="F37"/>
  <c r="G88" i="2"/>
  <c r="G103" s="1"/>
  <c r="G104" s="1"/>
  <c r="G19"/>
  <c r="G65" s="1"/>
  <c r="I123"/>
  <c r="I122"/>
  <c r="I121"/>
  <c r="I36" i="3"/>
  <c r="I35" s="1"/>
  <c r="I29"/>
  <c r="F9" i="2"/>
  <c r="L21" i="7"/>
  <c r="N21"/>
  <c r="X61" i="9"/>
  <c r="J25" i="7"/>
  <c r="F36" i="3"/>
  <c r="F35" s="1"/>
  <c r="K102" i="2"/>
  <c r="F29" i="3"/>
  <c r="F122" i="2"/>
  <c r="F123"/>
  <c r="H90"/>
  <c r="H95" s="1"/>
  <c r="H76"/>
  <c r="I37" i="3"/>
  <c r="E58" i="1" s="1"/>
  <c r="G58" s="1"/>
  <c r="H58" s="1"/>
  <c r="I58" s="1"/>
  <c r="J58" s="1"/>
  <c r="N102" i="2"/>
  <c r="G25" i="3"/>
  <c r="I9" i="2"/>
  <c r="F25" i="3" l="1"/>
  <c r="E39" i="1"/>
  <c r="G39" s="1"/>
  <c r="I19" i="2"/>
  <c r="N25" i="7"/>
  <c r="L25"/>
  <c r="F19" i="2"/>
  <c r="F65" s="1"/>
  <c r="F88"/>
  <c r="F103" s="1"/>
  <c r="F104" s="1"/>
  <c r="H79"/>
  <c r="H7" i="4"/>
  <c r="H15" s="1"/>
  <c r="H25" s="1"/>
  <c r="H27" s="1"/>
  <c r="G76" i="2"/>
  <c r="G90"/>
  <c r="G95" s="1"/>
  <c r="I25" i="3"/>
  <c r="E57" i="1" s="1"/>
  <c r="G57" s="1"/>
  <c r="H57" s="1"/>
  <c r="I57" s="1"/>
  <c r="J57" s="1"/>
  <c r="E40" l="1"/>
  <c r="G7" i="6" s="1"/>
  <c r="I65" i="2"/>
  <c r="G7" i="4"/>
  <c r="G15" s="1"/>
  <c r="G25" s="1"/>
  <c r="G27" s="1"/>
  <c r="G79" i="2"/>
  <c r="H80"/>
  <c r="H81"/>
  <c r="F90"/>
  <c r="F95" s="1"/>
  <c r="F76"/>
  <c r="H39" i="1"/>
  <c r="G40"/>
  <c r="G44" s="1"/>
  <c r="G49" s="1"/>
  <c r="H40" l="1"/>
  <c r="H44" s="1"/>
  <c r="H49" s="1"/>
  <c r="I39"/>
  <c r="G9" i="3"/>
  <c r="G81" i="2"/>
  <c r="G80"/>
  <c r="G50" i="1"/>
  <c r="G55" s="1"/>
  <c r="F79" i="2"/>
  <c r="F7" i="4"/>
  <c r="F15" s="1"/>
  <c r="F25" s="1"/>
  <c r="F27" s="1"/>
  <c r="I90" i="2"/>
  <c r="I95" s="1"/>
  <c r="E45" i="1" s="1"/>
  <c r="I76" i="2"/>
  <c r="E44" i="1"/>
  <c r="G10" i="3" l="1"/>
  <c r="H10" s="1"/>
  <c r="I10" s="1"/>
  <c r="H9"/>
  <c r="I9" s="1"/>
  <c r="G65" i="4"/>
  <c r="H50" i="1"/>
  <c r="H55" s="1"/>
  <c r="E49"/>
  <c r="I77" i="2"/>
  <c r="I7" i="4"/>
  <c r="I15" s="1"/>
  <c r="I25" s="1"/>
  <c r="G13" i="6"/>
  <c r="G8"/>
  <c r="E46" i="1" s="1"/>
  <c r="G46" s="1"/>
  <c r="H46" s="1"/>
  <c r="I46" s="1"/>
  <c r="J46" s="1"/>
  <c r="G45"/>
  <c r="H45" s="1"/>
  <c r="I45" s="1"/>
  <c r="J45" s="1"/>
  <c r="F80" i="2"/>
  <c r="F81"/>
  <c r="F9" i="3"/>
  <c r="F10" s="1"/>
  <c r="G20"/>
  <c r="G8"/>
  <c r="G17" s="1"/>
  <c r="G64" i="4"/>
  <c r="J39" i="1"/>
  <c r="J40" s="1"/>
  <c r="J44" s="1"/>
  <c r="J49" s="1"/>
  <c r="I40"/>
  <c r="I44" s="1"/>
  <c r="I49" s="1"/>
  <c r="G51"/>
  <c r="G21" i="3" l="1"/>
  <c r="G75" i="4"/>
  <c r="G79" s="1"/>
  <c r="G80" s="1"/>
  <c r="G19" i="3"/>
  <c r="G38" s="1"/>
  <c r="H51" i="1"/>
  <c r="H54" s="1"/>
  <c r="H59" s="1"/>
  <c r="F21" i="3"/>
  <c r="F65" i="4"/>
  <c r="E50" i="1"/>
  <c r="I22" i="3"/>
  <c r="E55" i="1" s="1"/>
  <c r="I26" i="4"/>
  <c r="I27" s="1"/>
  <c r="I88" i="2"/>
  <c r="I103" s="1"/>
  <c r="I104" s="1"/>
  <c r="I79"/>
  <c r="G52" i="1"/>
  <c r="G54"/>
  <c r="G59" s="1"/>
  <c r="J50"/>
  <c r="J55" s="1"/>
  <c r="I50"/>
  <c r="I55" s="1"/>
  <c r="H8" i="3"/>
  <c r="H17" s="1"/>
  <c r="H64" i="4"/>
  <c r="H20" i="3"/>
  <c r="F8"/>
  <c r="F17" s="1"/>
  <c r="F64" i="4"/>
  <c r="F20" i="3"/>
  <c r="H21"/>
  <c r="H65" i="4"/>
  <c r="F19" i="3" l="1"/>
  <c r="F38" s="1"/>
  <c r="F75" i="4"/>
  <c r="F79" s="1"/>
  <c r="F80" s="1"/>
  <c r="H52" i="1"/>
  <c r="H75" i="4"/>
  <c r="H79" s="1"/>
  <c r="H80" s="1"/>
  <c r="J51" i="1"/>
  <c r="J54" s="1"/>
  <c r="J59" s="1"/>
  <c r="I21" i="3"/>
  <c r="I65" i="4"/>
  <c r="I81" i="2"/>
  <c r="I80"/>
  <c r="E51" i="1"/>
  <c r="E62"/>
  <c r="G62" s="1"/>
  <c r="H62" s="1"/>
  <c r="I62" s="1"/>
  <c r="J62" s="1"/>
  <c r="I8" i="3"/>
  <c r="I17" s="1"/>
  <c r="I20"/>
  <c r="I64" i="4"/>
  <c r="H19" i="3"/>
  <c r="H38" s="1"/>
  <c r="I51" i="1"/>
  <c r="I75" i="4" l="1"/>
  <c r="E64" i="1" s="1"/>
  <c r="G64" s="1"/>
  <c r="H64" s="1"/>
  <c r="I64" s="1"/>
  <c r="J64" s="1"/>
  <c r="J52"/>
  <c r="I19" i="3"/>
  <c r="E83" i="1" s="1"/>
  <c r="E75" s="1"/>
  <c r="I52"/>
  <c r="I54"/>
  <c r="I59" s="1"/>
  <c r="G11" i="6"/>
  <c r="E52" i="1" s="1"/>
  <c r="E54" l="1"/>
  <c r="I79" i="4"/>
  <c r="E76" i="1" s="1"/>
  <c r="I38" i="3"/>
  <c r="E59" i="1" s="1"/>
  <c r="G10" i="6"/>
  <c r="E71" i="1" s="1"/>
  <c r="G14" i="6"/>
  <c r="E72" i="1" s="1"/>
  <c r="I80" i="4"/>
  <c r="E66" i="1"/>
  <c r="G61" s="1"/>
  <c r="G66" s="1"/>
  <c r="H61" s="1"/>
  <c r="H66" s="1"/>
  <c r="I61" s="1"/>
  <c r="I66" s="1"/>
  <c r="J61" s="1"/>
  <c r="J66" s="1"/>
  <c r="E77"/>
  <c r="G9" i="6" s="1"/>
  <c r="E70" i="1" s="1"/>
  <c r="G15" i="6"/>
</calcChain>
</file>

<file path=xl/comments1.xml><?xml version="1.0" encoding="utf-8"?>
<comments xmlns="http://schemas.openxmlformats.org/spreadsheetml/2006/main">
  <authors>
    <author>1235</author>
  </authors>
  <commentList>
    <comment ref="D70" authorId="0">
      <text>
        <r>
          <rPr>
            <b/>
            <sz val="9"/>
            <color indexed="81"/>
            <rFont val="Tahoma"/>
            <family val="2"/>
            <charset val="204"/>
          </rPr>
          <t>21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1235</author>
  </authors>
  <commentList>
    <comment ref="F7" authorId="0">
      <text>
        <r>
          <rPr>
            <b/>
            <sz val="9"/>
            <color indexed="81"/>
            <rFont val="Tahoma"/>
            <family val="2"/>
            <charset val="204"/>
          </rPr>
          <t>314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UserNEW: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04"/>
          </rPr>
          <t>314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7" authorId="0">
      <text>
        <r>
          <rPr>
            <b/>
            <sz val="9"/>
            <color indexed="81"/>
            <rFont val="Tahoma"/>
            <family val="2"/>
            <charset val="204"/>
          </rPr>
          <t>314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" authorId="0">
      <text>
        <r>
          <rPr>
            <b/>
            <sz val="9"/>
            <color indexed="81"/>
            <rFont val="Tahoma"/>
            <family val="2"/>
            <charset val="204"/>
          </rPr>
          <t>314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<sst xmlns="http://schemas.openxmlformats.org/spreadsheetml/2006/main" count="798" uniqueCount="547">
  <si>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</si>
  <si>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</si>
  <si>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</si>
  <si>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</si>
  <si>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</si>
  <si>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</si>
  <si>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</si>
  <si>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</si>
  <si>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</si>
  <si>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</si>
  <si>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</si>
  <si>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</si>
  <si>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</si>
  <si>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</si>
  <si>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</si>
  <si>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</si>
  <si>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</si>
  <si>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</si>
  <si>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</si>
  <si>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</si>
  <si>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</si>
  <si>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</si>
  <si>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</si>
  <si>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</si>
  <si>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</si>
  <si>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</si>
  <si>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</si>
  <si>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</si>
  <si>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</si>
  <si>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</si>
  <si>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</si>
  <si>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</si>
  <si>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</si>
  <si>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</si>
  <si>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Грошові кошти:</t>
  </si>
  <si>
    <t>на початок періоду</t>
  </si>
  <si>
    <t>Чистий грошовий потік</t>
  </si>
  <si>
    <t>Забезпечення</t>
  </si>
  <si>
    <t>х</t>
  </si>
  <si>
    <t>Фінансовий план поточного року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</si>
  <si>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</si>
  <si>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</si>
  <si>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</si>
  <si>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</si>
  <si>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</si>
  <si>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</si>
  <si>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</si>
  <si>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</si>
  <si>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</si>
  <si>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</si>
  <si>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</si>
  <si>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</si>
  <si>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</si>
  <si>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</si>
  <si>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</si>
  <si>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</si>
  <si>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</si>
  <si>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</si>
  <si>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</si>
  <si>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</si>
  <si>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</si>
  <si>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</si>
  <si>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</si>
  <si>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</si>
  <si>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</si>
  <si>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</si>
  <si>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</si>
  <si>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</si>
  <si>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</si>
  <si>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</si>
  <si>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План поточного року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</si>
  <si>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</si>
  <si>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</si>
  <si>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</si>
  <si>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</si>
  <si>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</si>
  <si>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</si>
  <si>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</si>
  <si>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>за минулий рік</t>
  </si>
  <si>
    <t>за плановий рік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</si>
  <si>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</si>
  <si>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</si>
  <si>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</si>
  <si>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</si>
  <si>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</si>
  <si>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</si>
  <si>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рік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</si>
  <si>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</si>
  <si>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</si>
  <si>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</si>
  <si>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</si>
  <si>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</si>
  <si>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</si>
  <si>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</si>
  <si>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Заборгованість за кредитами на початок ______ року</t>
  </si>
  <si>
    <t>Заборгованість за кредитами на кінець ______ року</t>
  </si>
  <si>
    <t>Бюджетне фінансування</t>
  </si>
  <si>
    <t>інші платежі (розшифрувати)</t>
  </si>
  <si>
    <t xml:space="preserve">      1. Дані про підприємство, персонал та фонд заробітної плати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</si>
  <si>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</si>
  <si>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</si>
  <si>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</si>
  <si>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</si>
  <si>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</si>
  <si>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</si>
  <si>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у тому числі за кварталами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</si>
  <si>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</si>
  <si>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</si>
  <si>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</si>
  <si>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</si>
  <si>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</si>
  <si>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Факт за звітний період поточного року на останню дату</t>
  </si>
  <si>
    <t>Планові показники</t>
  </si>
  <si>
    <t>Примітки</t>
  </si>
  <si>
    <t>&gt; 0</t>
  </si>
  <si>
    <t xml:space="preserve">         (ініціали, прізвище)    </t>
  </si>
  <si>
    <t>у тому числі:</t>
  </si>
  <si>
    <r>
      <t>у тому числі:</t>
    </r>
    <r>
      <rPr>
        <i/>
        <sz val="14"/>
        <rFont val="Times New Roman"/>
        <family val="1"/>
        <charset val="204"/>
      </rPr>
      <t xml:space="preserve"> </t>
    </r>
  </si>
  <si>
    <t>рентна плата за транспортування</t>
  </si>
  <si>
    <t>_____________________________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</si>
  <si>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</si>
  <si>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</si>
  <si>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</si>
  <si>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</si>
  <si>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</si>
  <si>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</si>
  <si>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</si>
  <si>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</si>
  <si>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</si>
  <si>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</si>
  <si>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</si>
  <si>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</si>
  <si>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</si>
  <si>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</si>
  <si>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</si>
  <si>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</si>
  <si>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Інформація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</si>
  <si>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</si>
  <si>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</si>
  <si>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</si>
  <si>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</si>
  <si>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</si>
  <si>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</si>
  <si>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</si>
  <si>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</si>
  <si>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</si>
  <si>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</si>
  <si>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</si>
  <si>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</si>
  <si>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Плановий рік</t>
  </si>
  <si>
    <t>Код за ЄДРПОУ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</si>
  <si>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</si>
  <si>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</si>
  <si>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</si>
  <si>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</si>
  <si>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</si>
  <si>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</si>
  <si>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</si>
  <si>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</si>
  <si>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</si>
  <si>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</si>
  <si>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</si>
  <si>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</si>
  <si>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</si>
  <si>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</si>
  <si>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</si>
  <si>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</si>
  <si>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</si>
  <si>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</si>
  <si>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</si>
  <si>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</si>
  <si>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</si>
  <si>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</si>
  <si>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</si>
  <si>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</si>
  <si>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</si>
  <si>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</si>
  <si>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</si>
  <si>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</si>
  <si>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</si>
  <si>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</si>
  <si>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Прогноз на поточний рік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</si>
  <si>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</si>
  <si>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</si>
  <si>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</si>
  <si>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</si>
  <si>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</si>
  <si>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</si>
  <si>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</si>
  <si>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</si>
  <si>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</si>
  <si>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</si>
  <si>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</si>
  <si>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</si>
  <si>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</si>
  <si>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</si>
  <si>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</si>
  <si>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</si>
  <si>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</si>
  <si>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</si>
  <si>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</si>
  <si>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</si>
  <si>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</si>
  <si>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</si>
  <si>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</si>
  <si>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</si>
  <si>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</si>
  <si>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</si>
  <si>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</si>
  <si>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</si>
  <si>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</si>
  <si>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</si>
  <si>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</si>
  <si>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</si>
  <si>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</si>
  <si>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</si>
  <si>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</si>
  <si>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</si>
  <si>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</si>
  <si>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Усього на рік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</si>
  <si>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</si>
  <si>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</si>
  <si>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</si>
  <si>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</si>
  <si>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</si>
  <si>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</si>
  <si>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</si>
  <si>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</si>
  <si>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</si>
  <si>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 xml:space="preserve">IV. Капітальні інвестиції 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</si>
  <si>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</si>
  <si>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</si>
  <si>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</si>
  <si>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</si>
  <si>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</si>
  <si>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</si>
  <si>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</si>
  <si>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</si>
  <si>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</si>
  <si>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</si>
  <si>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x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</si>
  <si>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</si>
  <si>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</si>
  <si>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</si>
  <si>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</si>
  <si>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</si>
  <si>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2120 / 2130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</si>
  <si>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</si>
  <si>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</si>
  <si>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</si>
  <si>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Пояснення та обґрунтування до запланованого рівня доходів/витрат</t>
  </si>
  <si>
    <t>Елементи операційних витрат</t>
  </si>
  <si>
    <t>тис. гривень (без ПДВ)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</si>
  <si>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</si>
  <si>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</si>
  <si>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</si>
  <si>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</si>
  <si>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</si>
  <si>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</si>
  <si>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</si>
  <si>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____________________________________________</t>
  </si>
  <si>
    <t>Коди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</si>
  <si>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</si>
  <si>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</si>
  <si>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</si>
  <si>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>плановий рік +1 рік</t>
  </si>
  <si>
    <t>плановий рік +2 роки</t>
  </si>
  <si>
    <t>плановий рік +3 роки</t>
  </si>
  <si>
    <t>погашення реструктуризованих та відстрочених сум,  що підлягають сплаті в поточному році до бюджетів та державних цільових фондів</t>
  </si>
  <si>
    <t xml:space="preserve">                (ініціали, прізвище)    </t>
  </si>
  <si>
    <t>директор</t>
  </si>
  <si>
    <t>працівники</t>
  </si>
  <si>
    <t>Найменування показника</t>
  </si>
  <si>
    <t>Інформація згідно із стратегічним планом розвитку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</si>
  <si>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</si>
  <si>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</si>
  <si>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</si>
  <si>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Усього зобов'язання і забезпечення</t>
  </si>
  <si>
    <t>Усього активи</t>
  </si>
  <si>
    <t>Доходи і витрати (деталізація)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</si>
  <si>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</si>
  <si>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</si>
  <si>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 (рядок 1100)</t>
  </si>
  <si>
    <t>плюс амортизація (рядок 1530)</t>
  </si>
  <si>
    <t>мінус операційні доходи від курсових різниць (рядок 1031)</t>
  </si>
  <si>
    <t>плюс операційні витрати від курсових різниць (рядок 1084)</t>
  </si>
  <si>
    <t>Інші операційні доходи/витрати
(рядок 1030 - рядок 1080)</t>
  </si>
  <si>
    <t>Надходження</t>
  </si>
  <si>
    <t xml:space="preserve">Надходження </t>
  </si>
  <si>
    <t>Витрати</t>
  </si>
  <si>
    <t>Ковенанти/обмежувальні коефіцієнти</t>
  </si>
  <si>
    <t>Фонд оплати праці, тис. гривень, у тому числі:</t>
  </si>
  <si>
    <t>Витрати на оплату праці, тис. гривень, у тому числі:</t>
  </si>
  <si>
    <t>Плановий рік до плану поточного року, %</t>
  </si>
  <si>
    <t>Плановий рік до факту минулого року, %</t>
  </si>
  <si>
    <t>адміністративно-управлінський персонал</t>
  </si>
  <si>
    <t>Незавершене будівництво на початок планового року</t>
  </si>
  <si>
    <t>власні кошти</t>
  </si>
  <si>
    <t>кредитні кошти</t>
  </si>
  <si>
    <t>інші джерела (зазначити джерело)</t>
  </si>
  <si>
    <t>Документ, яким затверджений титул будови, із зазначенням органу, який його погодив</t>
  </si>
  <si>
    <t>У тому числі за їх видами</t>
  </si>
  <si>
    <t xml:space="preserve">Найменування об’єктів </t>
  </si>
  <si>
    <t>Власні кошти (розшифрувати)</t>
  </si>
  <si>
    <t>Валовий прибуток/збиток</t>
  </si>
  <si>
    <t>витрати на сировину та основні матеріали</t>
  </si>
  <si>
    <t>Доходи і витрати (узагальнені показники)</t>
  </si>
  <si>
    <t>Матеріальні витрати, у тому числі:</t>
  </si>
  <si>
    <t>Коефіцієнт відношення боргу до EBITDA
(довгострокові зобов'язання, рядок 6040 + поточні зобов'язання, рядок 6050 / EBITDA, рядок 1410)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</si>
  <si>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</si>
  <si>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</si>
  <si>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</si>
  <si>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Коефіцієнт відношення капітальних інвестицій до чистого доходу (виручки) від реалізації продукції (товарів, робіт, послуг)
(рядок 4000 / рядок 1000)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</si>
  <si>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</si>
  <si>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</si>
  <si>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</si>
  <si>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</si>
  <si>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</si>
  <si>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</si>
  <si>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</si>
  <si>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</si>
  <si>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 xml:space="preserve"> У разі збільшення витрат на оплату праці в плановому році порівняно з установленим рівнем поточного року та фактом попереднього року надаються обґрунтування. </t>
  </si>
  <si>
    <t xml:space="preserve">      2. Перелік підприємств, які включені до консолідованого (зведеного) фінансового плану</t>
  </si>
  <si>
    <t>Найменування підприємства</t>
  </si>
  <si>
    <t>Питома вага в загальному обсязі реалізації, %</t>
  </si>
  <si>
    <t>чистий дохід  від реалізації продукції (товарів, робіт, послуг),     тис. гривень</t>
  </si>
  <si>
    <t>кількість продукції/             наданих послуг, одиниця виміру</t>
  </si>
  <si>
    <t>ціна одиниці     (вартість  продукції/     наданих послуг), гривень</t>
  </si>
  <si>
    <t>Дата видачі/погашення (графік)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</si>
  <si>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</si>
  <si>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</si>
  <si>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</si>
  <si>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 xml:space="preserve">у тому числі </t>
  </si>
  <si>
    <t>Рік початку                і закінчення будівництва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</si>
  <si>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</si>
  <si>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</si>
  <si>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</si>
  <si>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</si>
  <si>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</si>
  <si>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</si>
  <si>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</si>
  <si>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</si>
  <si>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</si>
  <si>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</si>
  <si>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>освоєння капітальних вкладень</t>
  </si>
  <si>
    <t>фінансування капітальних інвестицій (оплата грошовими коштами), усього</t>
  </si>
  <si>
    <t>М. П.</t>
  </si>
  <si>
    <t>План з повернення коштів</t>
  </si>
  <si>
    <t>мінус/плюс значні нетипові операційні доходи/витрати (розшифрувати)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</si>
  <si>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</si>
  <si>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</si>
  <si>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</si>
  <si>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</si>
  <si>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План із залучення коштів</t>
  </si>
  <si>
    <t>плановий рік
+4 роки</t>
  </si>
  <si>
    <t>Податок на додану вартість нарахований/до відшкодування
(з мінусом)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</si>
  <si>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</si>
  <si>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</si>
  <si>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</si>
  <si>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Відрахування частини чистого прибутку</t>
  </si>
  <si>
    <t>Сплата інших податків, зборів, обов'язкових платежів до державного та місцевих бюджетів</t>
  </si>
  <si>
    <t>Усього виплат</t>
  </si>
  <si>
    <t>Усього доходів (рядок 1000 + рядок 1030 + рядок 1110 + рядок 1120+ рядок 1150)</t>
  </si>
  <si>
    <t>Усього витрат (рядок 1010 + рядок 1040 + рядок 1070 + рядок 1080 + рядок 1130 + рядок 1140 + рядок 1160 + рядок 1180 + рядок 1190)</t>
  </si>
  <si>
    <t>План</t>
  </si>
  <si>
    <t>І   квартал</t>
  </si>
  <si>
    <t>півріччя</t>
  </si>
  <si>
    <t>9 місяців</t>
  </si>
  <si>
    <t>Таблиця IІ. Розрахунки з бюджетом</t>
  </si>
  <si>
    <t>Таблиця I. Формування фінансових результатів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</si>
  <si>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</si>
  <si>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</si>
  <si>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Таблиця ІІІ. Рух грошових коштів</t>
  </si>
  <si>
    <t>І  квартал</t>
  </si>
  <si>
    <t>І квартал</t>
  </si>
  <si>
    <t xml:space="preserve">І квартал </t>
  </si>
  <si>
    <t>РОЗГЛЯНУТО __________________________________________</t>
  </si>
  <si>
    <t xml:space="preserve">(прізвище, ініціали та підпис керівника виконавчого органу міської ради відповідно до підпорядкованості, який розглянув фінансовий план) 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</si>
  <si>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</si>
  <si>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Одиниця виміру, тис. гривень без десяткових знаків</t>
  </si>
  <si>
    <t xml:space="preserve">                      (посада)</t>
  </si>
  <si>
    <t>військовий збір</t>
  </si>
  <si>
    <t>1000/1</t>
  </si>
  <si>
    <t>1062/1</t>
  </si>
  <si>
    <t>РКО</t>
  </si>
  <si>
    <t>1018/1</t>
  </si>
  <si>
    <t>Дохід від надання майна в оренду</t>
  </si>
  <si>
    <t>1030/1</t>
  </si>
  <si>
    <t>у тому числі за основними видами діяльності за КВЕД 81.29</t>
  </si>
  <si>
    <t>2147/2</t>
  </si>
  <si>
    <t>1030/2</t>
  </si>
  <si>
    <t>Бюджет, дотація</t>
  </si>
  <si>
    <t>інші адміністративні витрати (канцтовари, підписка ел. журналу)</t>
  </si>
  <si>
    <t>1080/1</t>
  </si>
  <si>
    <t>1080/2</t>
  </si>
  <si>
    <t>послуги сторонніх організацій</t>
  </si>
  <si>
    <t>ремонтне обслуговування</t>
  </si>
  <si>
    <t>Комунальне підприємство "Водно- спортивний комбінат" Дніпропетровської міської ради</t>
  </si>
  <si>
    <t>ВАЗ 2109</t>
  </si>
  <si>
    <t>Москвич 2141</t>
  </si>
  <si>
    <t>Форд Транзит</t>
  </si>
  <si>
    <t xml:space="preserve">Перевезення  обслуговуючого персоналу та обладнання по проведенню спортвних заходів </t>
  </si>
  <si>
    <t>Баранов М.М.</t>
  </si>
  <si>
    <t>Директор  КП"ВСК"</t>
  </si>
  <si>
    <t>________</t>
  </si>
  <si>
    <t>Директор КП"ВСК"</t>
  </si>
  <si>
    <t>Директор КП "ВСК"</t>
  </si>
  <si>
    <t>Канцелярські товари,ел.журнали</t>
  </si>
  <si>
    <t xml:space="preserve">Інша діяльність у сфері спорту </t>
  </si>
  <si>
    <t>комунальні витрати</t>
  </si>
  <si>
    <t>відшкодування комунальних послуг</t>
  </si>
  <si>
    <t>1150/1</t>
  </si>
  <si>
    <t>туристичний збір</t>
  </si>
  <si>
    <t>2146/1</t>
  </si>
  <si>
    <t>Реконструкція та реставрація обєктів</t>
  </si>
  <si>
    <t xml:space="preserve">      Загальна інформація про підприємство (резюме): Комунальне підприємство "Водно-спортивний комбінат" Дніпропетровської міської ради є комунальним унітарним комерційним підприємством, створеним відповідно до рішення Дніпропетровської міської ради від 27.11.1991 № 46.</t>
  </si>
  <si>
    <t>Послуга з організації та проведення спортивних змагань</t>
  </si>
  <si>
    <t xml:space="preserve">                                     (посада)</t>
  </si>
  <si>
    <t>Збільшення додаткового капіталу</t>
  </si>
  <si>
    <t>3480/1</t>
  </si>
  <si>
    <t>Коригування ПДВ</t>
  </si>
  <si>
    <t>3050/1</t>
  </si>
  <si>
    <t>3050/2</t>
  </si>
  <si>
    <t>3060/1</t>
  </si>
  <si>
    <t>3060/2</t>
  </si>
  <si>
    <t>3310/1</t>
  </si>
  <si>
    <t>1150/2</t>
  </si>
  <si>
    <t>3470/1</t>
  </si>
  <si>
    <t>фінансування капітальних видатків</t>
  </si>
  <si>
    <t>03564217</t>
  </si>
  <si>
    <t>93.19</t>
  </si>
  <si>
    <t>Комунальне підприємство</t>
  </si>
  <si>
    <t>Інша діяльність у сфері спорту</t>
  </si>
  <si>
    <t xml:space="preserve">                           32  комунальна</t>
  </si>
  <si>
    <t>Середньооблікова кількість штатних працівників:                     41 чоловік</t>
  </si>
  <si>
    <t>Баранов Микола Миколайович</t>
  </si>
  <si>
    <t>КП "Водно-спортивний комбінат" ДМР</t>
  </si>
  <si>
    <r>
      <t xml:space="preserve">                  </t>
    </r>
    <r>
      <rPr>
        <b/>
        <u/>
        <sz val="18"/>
        <rFont val="Times New Roman"/>
        <family val="1"/>
        <charset val="204"/>
      </rPr>
      <t>Директор  КП "ВСК"</t>
    </r>
  </si>
  <si>
    <t>Директор Департаменту гуманітарної політики</t>
  </si>
  <si>
    <t>інв</t>
  </si>
  <si>
    <t>єсв</t>
  </si>
  <si>
    <t>пдфо</t>
  </si>
  <si>
    <t>ВЗ</t>
  </si>
  <si>
    <t xml:space="preserve">         (ініціали, прізвище)  1  </t>
  </si>
  <si>
    <t xml:space="preserve">         (ініціали, прізвище)    1</t>
  </si>
  <si>
    <t>коригування суми амортизаційних відрахувань</t>
  </si>
  <si>
    <t>3030/2</t>
  </si>
  <si>
    <t>запаси</t>
  </si>
  <si>
    <t>дебіторська заборгованість</t>
  </si>
  <si>
    <t>інші оборотні активи</t>
  </si>
  <si>
    <t>3050/3</t>
  </si>
  <si>
    <t>3050/4</t>
  </si>
  <si>
    <t>коригування суми нерозподіленого прибутку</t>
  </si>
  <si>
    <t>3030/3</t>
  </si>
  <si>
    <t>кредиторська заборгованість</t>
  </si>
  <si>
    <t>доходи майбутніх періодів</t>
  </si>
  <si>
    <t>інші поточні зобовязання</t>
  </si>
  <si>
    <t>3060/3</t>
  </si>
  <si>
    <t>3270/1</t>
  </si>
  <si>
    <t>3270/2</t>
  </si>
  <si>
    <t>виготовлення плотів та стійок під човни</t>
  </si>
  <si>
    <t xml:space="preserve">ЗАТВЕРДЖЕНО  </t>
  </si>
  <si>
    <t>Рішення виконавчого комітету міської ради                                           №________ від _________________ року</t>
  </si>
  <si>
    <t>49094, м.Дніпро, Соборний  район</t>
  </si>
  <si>
    <t>м.Дніпро,  вул.Набережна Перемоги,13</t>
  </si>
  <si>
    <t xml:space="preserve">Газель А22R33-55PRO </t>
  </si>
  <si>
    <t>Дніпровської міської ради</t>
  </si>
  <si>
    <t>(дата та номер рішення виконавчого комітету міської ради)</t>
  </si>
  <si>
    <t>до Порядку складання, затвердження та контролю виконання                                          фінансових планів підприємств комунальної власності територіальної      громади міста Дніпра</t>
  </si>
  <si>
    <r>
      <t xml:space="preserve">ПОГОДЖЕНО _____________________ Шикуленко О.В.   
</t>
    </r>
    <r>
      <rPr>
        <sz val="12"/>
        <rFont val="Times New Roman"/>
        <family val="1"/>
        <charset val="204"/>
      </rPr>
      <t>(прізвище та ініціали та підпис заступника міського голови за напрямом діяльності  підприємства)</t>
    </r>
  </si>
  <si>
    <t>_______________________Сушко К.А.</t>
  </si>
  <si>
    <t>сума</t>
  </si>
  <si>
    <t>паливо</t>
  </si>
  <si>
    <t>р 1041</t>
  </si>
  <si>
    <t xml:space="preserve">         (ініціали, прізвище)  </t>
  </si>
  <si>
    <t xml:space="preserve"> цільове фінансування капітальних інвестицій, що включаються до доходів у розмірі амортизації</t>
  </si>
  <si>
    <t xml:space="preserve">             Всього:</t>
  </si>
  <si>
    <t>Комунальне підприємство  “ Водно - спортивний комбінат ” ДМР</t>
  </si>
  <si>
    <t>адм-</t>
  </si>
  <si>
    <t>себ.</t>
  </si>
  <si>
    <t>№ п/п</t>
  </si>
  <si>
    <t>Назва структурного підрозділу та посада</t>
  </si>
  <si>
    <t>Кількість штатних посад</t>
  </si>
  <si>
    <t>Посадовий оклад (грн.)</t>
  </si>
  <si>
    <t>Всего</t>
  </si>
  <si>
    <t>Доплата за нічні та святкові</t>
  </si>
  <si>
    <t>Доплата та надбавки за складність та напружність-50%</t>
  </si>
  <si>
    <t>Доплата за звання-20%-10%</t>
  </si>
  <si>
    <t>Доплата за  прибирання -10%</t>
  </si>
  <si>
    <t>Фонд заробітної плати на місяць (грн.)</t>
  </si>
  <si>
    <t>Фонд заробітної плати на рік  бюджет (грн.)</t>
  </si>
  <si>
    <t>Доплата до МЗП ,індекс.</t>
  </si>
  <si>
    <t>Фонд заробітної плати на рік бюджет           ( грн.)</t>
  </si>
  <si>
    <t>Доплата до с учетом квал.раб( премия -вл.кошти (грн)</t>
  </si>
  <si>
    <t>Грошова допом -вл.кошти (грн)</t>
  </si>
  <si>
    <t>Фонд заробітної плати на рік вл.кошти             ( грн.)</t>
  </si>
  <si>
    <t xml:space="preserve">Всего бюджет+вл.кошти </t>
  </si>
  <si>
    <t>Директор</t>
  </si>
  <si>
    <t>Заступник директора по експлуатації та обслуговування спортивних споруд</t>
  </si>
  <si>
    <t>Головний бухгалтер</t>
  </si>
  <si>
    <t>Помічник керівника по забезпеченню по організації  спортивно-оздоровчих заходів</t>
  </si>
  <si>
    <t>Провідний фахівець  зі спорту по роботі з населенням</t>
  </si>
  <si>
    <t>Головний інженер</t>
  </si>
  <si>
    <t>Головний енергетик</t>
  </si>
  <si>
    <t>Начальник водної станціі</t>
  </si>
  <si>
    <t>Начальник дистанції</t>
  </si>
  <si>
    <t>Механік</t>
  </si>
  <si>
    <t>Бухгалтер</t>
  </si>
  <si>
    <t>Провідний фахівець по налагодженню обладнання і обслуговуванню спортивних споруд</t>
  </si>
  <si>
    <t>Фахівець ІІ категорії</t>
  </si>
  <si>
    <t>Адміністратор системи</t>
  </si>
  <si>
    <t>Моторист</t>
  </si>
  <si>
    <t>Сторож</t>
  </si>
  <si>
    <t>месяц</t>
  </si>
  <si>
    <t>надбавка</t>
  </si>
  <si>
    <t>усього</t>
  </si>
  <si>
    <t>собівартість</t>
  </si>
  <si>
    <t>адміністративні</t>
  </si>
  <si>
    <t>ФОП</t>
  </si>
  <si>
    <t>ЄСВ</t>
  </si>
  <si>
    <t>фоп інвалідів с/с</t>
  </si>
  <si>
    <t>фоп інвалідів ауп</t>
  </si>
  <si>
    <t>для таб. 6.1</t>
  </si>
  <si>
    <t>Фонд оплати праці</t>
  </si>
  <si>
    <t>ауп</t>
  </si>
  <si>
    <t>Витрати з оплати праці</t>
  </si>
  <si>
    <t>Середньомісячна ЗП</t>
  </si>
  <si>
    <t>Середньомісячний дохід</t>
  </si>
  <si>
    <t>Рік 2019</t>
  </si>
  <si>
    <t>066-538-76-81, 067-650-72-71</t>
  </si>
  <si>
    <t>ФІНАНСОВИЙ ПЛАН ПІДПРИЄМСТВА НА 2019 рік</t>
  </si>
  <si>
    <t>до фінансового плану на 2019 рік</t>
  </si>
  <si>
    <t>Фактичний показник за 
2017 минулий рік</t>
  </si>
  <si>
    <t>Плановий 2019 рік</t>
  </si>
  <si>
    <t>Фактичний показник поточного року за останній звітній період 
 2018 року</t>
  </si>
  <si>
    <t>Плановий показник поточного
2018 року</t>
  </si>
  <si>
    <t>придбанняпантонної  системи</t>
  </si>
  <si>
    <t>Заступник директора по реконструкції та розвитку спортивних споруд-начальник відділу капитального будівництва</t>
  </si>
  <si>
    <t>Секретар-друкарка</t>
  </si>
  <si>
    <t>Електрогазозварник</t>
  </si>
  <si>
    <t>Робітник  з комплексного обслуговування й ремонту будинків</t>
  </si>
  <si>
    <t>Водій автотранспортних засобів</t>
  </si>
  <si>
    <t>Прибиральник службових приміщень</t>
  </si>
  <si>
    <t xml:space="preserve">Двірник </t>
  </si>
  <si>
    <t>з   01.01 2019 року.</t>
  </si>
  <si>
    <t>Доплата до МЗП ,індекс.замена лікар.святков.</t>
  </si>
  <si>
    <t>1062/2</t>
  </si>
</sst>
</file>

<file path=xl/styles.xml><?xml version="1.0" encoding="utf-8"?>
<styleSheet xmlns="http://schemas.openxmlformats.org/spreadsheetml/2006/main">
  <numFmts count="18">
    <numFmt numFmtId="43" formatCode="_-* #,##0.00_₴_-;\-* #,##0.00_₴_-;_-* &quot;-&quot;??_₴_-;_-@_-"/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0.0"/>
    <numFmt numFmtId="169" formatCode="#,##0.0"/>
    <numFmt numFmtId="170" formatCode="###\ ##0.000"/>
    <numFmt numFmtId="171" formatCode="_(&quot;$&quot;* #,##0.00_);_(&quot;$&quot;* \(#,##0.00\);_(&quot;$&quot;* &quot;-&quot;??_);_(@_)"/>
    <numFmt numFmtId="172" formatCode="_(* #,##0_);_(* \(#,##0\);_(* &quot;-&quot;_);_(@_)"/>
    <numFmt numFmtId="173" formatCode="_(* #,##0.00_);_(* \(#,##0.00\);_(* &quot;-&quot;??_);_(@_)"/>
    <numFmt numFmtId="174" formatCode="#,##0.0_ ;[Red]\-#,##0.0\ "/>
    <numFmt numFmtId="175" formatCode="0.0;\(0.0\);\ ;\-"/>
    <numFmt numFmtId="176" formatCode="dd\.mm\.yyyy;@"/>
    <numFmt numFmtId="177" formatCode="_(* #,##0_);_(* \(#,##0\);_(* &quot;-&quot;??_);_(@_)"/>
    <numFmt numFmtId="178" formatCode="0.000"/>
    <numFmt numFmtId="179" formatCode="#,##0.000"/>
    <numFmt numFmtId="180" formatCode="_-* #,##0_₴_-;\-* #,##0_₴_-;_-* &quot;-&quot;??_₴_-;_-@_-"/>
  </numFmts>
  <fonts count="103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Arial Cyr"/>
      <charset val="204"/>
    </font>
    <font>
      <b/>
      <u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b/>
      <u/>
      <sz val="22"/>
      <name val="Times New Roman"/>
      <family val="1"/>
      <charset val="204"/>
    </font>
    <font>
      <u/>
      <sz val="22"/>
      <name val="Arial Cyr"/>
      <charset val="204"/>
    </font>
    <font>
      <b/>
      <u/>
      <sz val="22"/>
      <name val="Arial Cyr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4"/>
      <color rgb="FF0070C0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4">
    <xf numFmtId="0" fontId="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3" fillId="2" borderId="0" applyNumberFormat="0" applyBorder="0" applyAlignment="0" applyProtection="0"/>
    <xf numFmtId="0" fontId="1" fillId="2" borderId="0" applyNumberFormat="0" applyBorder="0" applyAlignment="0" applyProtection="0"/>
    <xf numFmtId="0" fontId="33" fillId="3" borderId="0" applyNumberFormat="0" applyBorder="0" applyAlignment="0" applyProtection="0"/>
    <xf numFmtId="0" fontId="1" fillId="3" borderId="0" applyNumberFormat="0" applyBorder="0" applyAlignment="0" applyProtection="0"/>
    <xf numFmtId="0" fontId="33" fillId="4" borderId="0" applyNumberFormat="0" applyBorder="0" applyAlignment="0" applyProtection="0"/>
    <xf numFmtId="0" fontId="1" fillId="4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6" borderId="0" applyNumberFormat="0" applyBorder="0" applyAlignment="0" applyProtection="0"/>
    <xf numFmtId="0" fontId="1" fillId="6" borderId="0" applyNumberFormat="0" applyBorder="0" applyAlignment="0" applyProtection="0"/>
    <xf numFmtId="0" fontId="3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9" borderId="0" applyNumberFormat="0" applyBorder="0" applyAlignment="0" applyProtection="0"/>
    <xf numFmtId="0" fontId="1" fillId="9" borderId="0" applyNumberFormat="0" applyBorder="0" applyAlignment="0" applyProtection="0"/>
    <xf numFmtId="0" fontId="33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4" fillId="12" borderId="0" applyNumberFormat="0" applyBorder="0" applyAlignment="0" applyProtection="0"/>
    <xf numFmtId="0" fontId="16" fillId="12" borderId="0" applyNumberFormat="0" applyBorder="0" applyAlignment="0" applyProtection="0"/>
    <xf numFmtId="0" fontId="34" fillId="9" borderId="0" applyNumberFormat="0" applyBorder="0" applyAlignment="0" applyProtection="0"/>
    <xf numFmtId="0" fontId="16" fillId="9" borderId="0" applyNumberFormat="0" applyBorder="0" applyAlignment="0" applyProtection="0"/>
    <xf numFmtId="0" fontId="34" fillId="10" borderId="0" applyNumberFormat="0" applyBorder="0" applyAlignment="0" applyProtection="0"/>
    <xf numFmtId="0" fontId="16" fillId="10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27" fillId="3" borderId="0" applyNumberFormat="0" applyBorder="0" applyAlignment="0" applyProtection="0"/>
    <xf numFmtId="0" fontId="19" fillId="20" borderId="1" applyNumberFormat="0" applyAlignment="0" applyProtection="0"/>
    <xf numFmtId="0" fontId="24" fillId="21" borderId="2" applyNumberFormat="0" applyAlignment="0" applyProtection="0"/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167" fontId="13" fillId="0" borderId="0" applyFont="0" applyFill="0" applyBorder="0" applyAlignment="0" applyProtection="0"/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0" fontId="28" fillId="0" borderId="0" applyNumberFormat="0" applyFill="0" applyBorder="0" applyAlignment="0" applyProtection="0"/>
    <xf numFmtId="170" fontId="36" fillId="0" borderId="0" applyAlignment="0">
      <alignment wrapText="1"/>
    </xf>
    <xf numFmtId="0" fontId="31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38" fillId="22" borderId="7">
      <alignment horizontal="left" vertical="center"/>
      <protection locked="0"/>
    </xf>
    <xf numFmtId="49" fontId="38" fillId="22" borderId="7">
      <alignment horizontal="left" vertical="center"/>
    </xf>
    <xf numFmtId="4" fontId="38" fillId="22" borderId="7">
      <alignment horizontal="right" vertical="center"/>
      <protection locked="0"/>
    </xf>
    <xf numFmtId="4" fontId="38" fillId="22" borderId="7">
      <alignment horizontal="right" vertical="center"/>
    </xf>
    <xf numFmtId="4" fontId="39" fillId="22" borderId="7">
      <alignment horizontal="right" vertical="center"/>
      <protection locked="0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" fontId="40" fillId="22" borderId="3">
      <alignment horizontal="right" vertical="center"/>
      <protection locked="0"/>
    </xf>
    <xf numFmtId="4" fontId="40" fillId="22" borderId="3">
      <alignment horizontal="right" vertical="center"/>
    </xf>
    <xf numFmtId="4" fontId="42" fillId="22" borderId="3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5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5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3" fillId="22" borderId="3">
      <alignment horizontal="left" vertical="center"/>
      <protection locked="0"/>
    </xf>
    <xf numFmtId="49" fontId="43" fillId="22" borderId="3">
      <alignment horizontal="left" vertical="center"/>
    </xf>
    <xf numFmtId="49" fontId="44" fillId="22" borderId="3">
      <alignment horizontal="left" vertical="center"/>
      <protection locked="0"/>
    </xf>
    <xf numFmtId="49" fontId="44" fillId="22" borderId="3">
      <alignment horizontal="left" vertical="center"/>
    </xf>
    <xf numFmtId="4" fontId="43" fillId="22" borderId="3">
      <alignment horizontal="right" vertical="center"/>
      <protection locked="0"/>
    </xf>
    <xf numFmtId="4" fontId="43" fillId="22" borderId="3">
      <alignment horizontal="right" vertical="center"/>
    </xf>
    <xf numFmtId="4" fontId="45" fillId="22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" fontId="47" fillId="0" borderId="3">
      <alignment horizontal="right" vertical="center"/>
      <protection locked="0"/>
    </xf>
    <xf numFmtId="49" fontId="48" fillId="0" borderId="3">
      <alignment horizontal="left" vertical="center"/>
      <protection locked="0"/>
    </xf>
    <xf numFmtId="49" fontId="48" fillId="0" borderId="3">
      <alignment horizontal="left" vertical="center"/>
    </xf>
    <xf numFmtId="49" fontId="49" fillId="0" borderId="3">
      <alignment horizontal="left" vertical="center"/>
      <protection locked="0"/>
    </xf>
    <xf numFmtId="49" fontId="49" fillId="0" borderId="3">
      <alignment horizontal="left" vertical="center"/>
    </xf>
    <xf numFmtId="4" fontId="48" fillId="0" borderId="3">
      <alignment horizontal="right" vertical="center"/>
      <protection locked="0"/>
    </xf>
    <xf numFmtId="4" fontId="48" fillId="0" borderId="3">
      <alignment horizontal="right" vertical="center"/>
    </xf>
    <xf numFmtId="49" fontId="46" fillId="0" borderId="3">
      <alignment horizontal="left" vertical="center"/>
      <protection locked="0"/>
    </xf>
    <xf numFmtId="49" fontId="47" fillId="0" borderId="3">
      <alignment horizontal="left" vertical="center"/>
      <protection locked="0"/>
    </xf>
    <xf numFmtId="4" fontId="46" fillId="0" borderId="3">
      <alignment horizontal="right" vertical="center"/>
      <protection locked="0"/>
    </xf>
    <xf numFmtId="0" fontId="29" fillId="0" borderId="8" applyNumberFormat="0" applyFill="0" applyAlignment="0" applyProtection="0"/>
    <xf numFmtId="0" fontId="26" fillId="23" borderId="0" applyNumberFormat="0" applyBorder="0" applyAlignment="0" applyProtection="0"/>
    <xf numFmtId="0" fontId="13" fillId="0" borderId="0"/>
    <xf numFmtId="0" fontId="13" fillId="0" borderId="0"/>
    <xf numFmtId="0" fontId="13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50" fillId="26" borderId="3">
      <alignment horizontal="right" vertical="center"/>
      <protection locked="0"/>
    </xf>
    <xf numFmtId="4" fontId="50" fillId="27" borderId="3">
      <alignment horizontal="right" vertical="center"/>
      <protection locked="0"/>
    </xf>
    <xf numFmtId="4" fontId="50" fillId="28" borderId="3">
      <alignment horizontal="right" vertical="center"/>
      <protection locked="0"/>
    </xf>
    <xf numFmtId="0" fontId="18" fillId="20" borderId="10" applyNumberFormat="0" applyAlignment="0" applyProtection="0"/>
    <xf numFmtId="49" fontId="35" fillId="0" borderId="3">
      <alignment horizontal="left" vertical="center" wrapText="1"/>
      <protection locked="0"/>
    </xf>
    <xf numFmtId="49" fontId="35" fillId="0" borderId="3">
      <alignment horizontal="left" vertical="center" wrapText="1"/>
      <protection locked="0"/>
    </xf>
    <xf numFmtId="0" fontId="25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4" fillId="16" borderId="0" applyNumberFormat="0" applyBorder="0" applyAlignment="0" applyProtection="0"/>
    <xf numFmtId="0" fontId="16" fillId="16" borderId="0" applyNumberFormat="0" applyBorder="0" applyAlignment="0" applyProtection="0"/>
    <xf numFmtId="0" fontId="34" fillId="17" borderId="0" applyNumberFormat="0" applyBorder="0" applyAlignment="0" applyProtection="0"/>
    <xf numFmtId="0" fontId="16" fillId="17" borderId="0" applyNumberFormat="0" applyBorder="0" applyAlignment="0" applyProtection="0"/>
    <xf numFmtId="0" fontId="34" fillId="18" borderId="0" applyNumberFormat="0" applyBorder="0" applyAlignment="0" applyProtection="0"/>
    <xf numFmtId="0" fontId="16" fillId="18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9" borderId="0" applyNumberFormat="0" applyBorder="0" applyAlignment="0" applyProtection="0"/>
    <xf numFmtId="0" fontId="16" fillId="19" borderId="0" applyNumberFormat="0" applyBorder="0" applyAlignment="0" applyProtection="0"/>
    <xf numFmtId="0" fontId="51" fillId="7" borderId="1" applyNumberFormat="0" applyAlignment="0" applyProtection="0"/>
    <xf numFmtId="0" fontId="17" fillId="7" borderId="1" applyNumberFormat="0" applyAlignment="0" applyProtection="0"/>
    <xf numFmtId="0" fontId="52" fillId="20" borderId="10" applyNumberFormat="0" applyAlignment="0" applyProtection="0"/>
    <xf numFmtId="0" fontId="18" fillId="20" borderId="10" applyNumberFormat="0" applyAlignment="0" applyProtection="0"/>
    <xf numFmtId="0" fontId="53" fillId="20" borderId="1" applyNumberFormat="0" applyAlignment="0" applyProtection="0"/>
    <xf numFmtId="0" fontId="19" fillId="20" borderId="1" applyNumberFormat="0" applyAlignment="0" applyProtection="0"/>
    <xf numFmtId="171" fontId="13" fillId="0" borderId="0" applyFont="0" applyFill="0" applyBorder="0" applyAlignment="0" applyProtection="0"/>
    <xf numFmtId="0" fontId="54" fillId="0" borderId="4" applyNumberFormat="0" applyFill="0" applyAlignment="0" applyProtection="0"/>
    <xf numFmtId="0" fontId="20" fillId="0" borderId="4" applyNumberFormat="0" applyFill="0" applyAlignment="0" applyProtection="0"/>
    <xf numFmtId="0" fontId="55" fillId="0" borderId="5" applyNumberFormat="0" applyFill="0" applyAlignment="0" applyProtection="0"/>
    <xf numFmtId="0" fontId="21" fillId="0" borderId="5" applyNumberFormat="0" applyFill="0" applyAlignment="0" applyProtection="0"/>
    <xf numFmtId="0" fontId="56" fillId="0" borderId="6" applyNumberFormat="0" applyFill="0" applyAlignment="0" applyProtection="0"/>
    <xf numFmtId="0" fontId="22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7" fillId="0" borderId="11" applyNumberFormat="0" applyFill="0" applyAlignment="0" applyProtection="0"/>
    <xf numFmtId="0" fontId="23" fillId="0" borderId="11" applyNumberFormat="0" applyFill="0" applyAlignment="0" applyProtection="0"/>
    <xf numFmtId="0" fontId="58" fillId="21" borderId="2" applyNumberFormat="0" applyAlignment="0" applyProtection="0"/>
    <xf numFmtId="0" fontId="24" fillId="21" borderId="2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9" fillId="23" borderId="0" applyNumberFormat="0" applyBorder="0" applyAlignment="0" applyProtection="0"/>
    <xf numFmtId="0" fontId="2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" fillId="0" borderId="0"/>
    <xf numFmtId="0" fontId="83" fillId="0" borderId="0"/>
    <xf numFmtId="0" fontId="13" fillId="0" borderId="0"/>
    <xf numFmtId="0" fontId="2" fillId="0" borderId="0"/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60" fillId="3" borderId="0" applyNumberFormat="0" applyBorder="0" applyAlignment="0" applyProtection="0"/>
    <xf numFmtId="0" fontId="27" fillId="3" borderId="0" applyNumberFormat="0" applyBorder="0" applyAlignment="0" applyProtection="0"/>
    <xf numFmtId="0" fontId="6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2" fillId="25" borderId="9" applyNumberFormat="0" applyFont="0" applyAlignment="0" applyProtection="0"/>
    <xf numFmtId="0" fontId="13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3" fillId="0" borderId="8" applyNumberFormat="0" applyFill="0" applyAlignment="0" applyProtection="0"/>
    <xf numFmtId="0" fontId="29" fillId="0" borderId="8" applyNumberFormat="0" applyFill="0" applyAlignment="0" applyProtection="0"/>
    <xf numFmtId="0" fontId="32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2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7" fillId="4" borderId="0" applyNumberFormat="0" applyBorder="0" applyAlignment="0" applyProtection="0"/>
    <xf numFmtId="0" fontId="31" fillId="4" borderId="0" applyNumberFormat="0" applyBorder="0" applyAlignment="0" applyProtection="0"/>
    <xf numFmtId="175" fontId="68" fillId="22" borderId="12" applyFill="0" applyBorder="0">
      <alignment horizontal="center" vertical="center" wrapText="1"/>
      <protection locked="0"/>
    </xf>
    <xf numFmtId="170" fontId="69" fillId="0" borderId="0">
      <alignment wrapText="1"/>
    </xf>
    <xf numFmtId="170" fontId="36" fillId="0" borderId="0">
      <alignment wrapText="1"/>
    </xf>
    <xf numFmtId="43" fontId="2" fillId="0" borderId="0" applyFont="0" applyFill="0" applyBorder="0" applyAlignment="0" applyProtection="0"/>
  </cellStyleXfs>
  <cellXfs count="505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68" fontId="4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169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169" fontId="5" fillId="0" borderId="0" xfId="0" applyNumberFormat="1" applyFont="1" applyFill="1" applyAlignment="1">
      <alignment vertical="center"/>
    </xf>
    <xf numFmtId="0" fontId="12" fillId="0" borderId="0" xfId="0" applyFont="1" applyFill="1"/>
    <xf numFmtId="169" fontId="5" fillId="0" borderId="0" xfId="0" applyNumberFormat="1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 shrinkToFit="1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3" xfId="237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245" applyFont="1" applyFill="1" applyBorder="1" applyAlignment="1">
      <alignment horizontal="center" vertical="center" wrapText="1"/>
    </xf>
    <xf numFmtId="0" fontId="5" fillId="0" borderId="0" xfId="245" applyFont="1" applyFill="1" applyBorder="1" applyAlignment="1">
      <alignment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245" applyFont="1" applyFill="1" applyBorder="1" applyAlignment="1">
      <alignment vertical="center"/>
    </xf>
    <xf numFmtId="0" fontId="5" fillId="0" borderId="0" xfId="245" applyFont="1" applyFill="1" applyBorder="1" applyAlignment="1">
      <alignment horizontal="center" vertical="center"/>
    </xf>
    <xf numFmtId="0" fontId="4" fillId="0" borderId="0" xfId="24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3" xfId="245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69" fontId="4" fillId="0" borderId="0" xfId="0" applyNumberFormat="1" applyFont="1" applyFill="1" applyBorder="1" applyAlignment="1">
      <alignment horizontal="center" vertical="center" wrapText="1"/>
    </xf>
    <xf numFmtId="16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15" fillId="0" borderId="0" xfId="245" applyFont="1" applyFill="1"/>
    <xf numFmtId="0" fontId="6" fillId="0" borderId="0" xfId="0" applyFont="1" applyFill="1" applyAlignment="1">
      <alignment vertical="center"/>
    </xf>
    <xf numFmtId="0" fontId="5" fillId="0" borderId="0" xfId="245" applyFont="1" applyFill="1" applyBorder="1" applyAlignment="1">
      <alignment vertical="center" wrapText="1"/>
    </xf>
    <xf numFmtId="0" fontId="4" fillId="0" borderId="3" xfId="237" applyFont="1" applyFill="1" applyBorder="1" applyAlignment="1">
      <alignment horizontal="left" vertical="center"/>
    </xf>
    <xf numFmtId="0" fontId="5" fillId="0" borderId="0" xfId="0" applyFont="1" applyFill="1"/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14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3" xfId="182" applyFont="1" applyFill="1" applyBorder="1" applyAlignment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3" xfId="0" quotePrefix="1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3" xfId="237" applyFont="1" applyFill="1" applyBorder="1" applyAlignment="1">
      <alignment horizontal="left" vertical="center" wrapText="1"/>
    </xf>
    <xf numFmtId="0" fontId="5" fillId="0" borderId="3" xfId="237" applyNumberFormat="1" applyFont="1" applyFill="1" applyBorder="1" applyAlignment="1">
      <alignment horizontal="left" vertical="center" wrapText="1"/>
    </xf>
    <xf numFmtId="0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left" vertical="center" wrapText="1"/>
    </xf>
    <xf numFmtId="3" fontId="10" fillId="0" borderId="3" xfId="0" applyNumberFormat="1" applyFont="1" applyFill="1" applyBorder="1" applyAlignment="1">
      <alignment horizontal="center" vertical="center" wrapText="1" shrinkToFit="1"/>
    </xf>
    <xf numFmtId="49" fontId="5" fillId="0" borderId="3" xfId="237" applyNumberFormat="1" applyFont="1" applyFill="1" applyBorder="1" applyAlignment="1">
      <alignment horizontal="left" vertical="center" wrapText="1"/>
    </xf>
    <xf numFmtId="169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29" borderId="3" xfId="0" applyNumberFormat="1" applyFont="1" applyFill="1" applyBorder="1" applyAlignment="1">
      <alignment horizontal="center" vertical="center" wrapText="1"/>
    </xf>
    <xf numFmtId="169" fontId="5" fillId="29" borderId="3" xfId="237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182" applyFont="1" applyFill="1" applyBorder="1" applyAlignment="1" applyProtection="1">
      <alignment vertical="center" wrapText="1"/>
    </xf>
    <xf numFmtId="172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182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3" xfId="245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169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horizontal="left" vertical="top" wrapText="1"/>
      <protection locked="0"/>
    </xf>
    <xf numFmtId="0" fontId="70" fillId="0" borderId="0" xfId="0" applyFont="1" applyAlignment="1" applyProtection="1">
      <alignment vertical="top" wrapText="1"/>
      <protection locked="0"/>
    </xf>
    <xf numFmtId="0" fontId="71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71" fillId="0" borderId="0" xfId="0" applyFont="1" applyFill="1" applyBorder="1" applyAlignment="1" applyProtection="1">
      <alignment horizontal="right" vertical="center"/>
      <protection locked="0"/>
    </xf>
    <xf numFmtId="0" fontId="71" fillId="0" borderId="0" xfId="0" applyFont="1" applyFill="1" applyBorder="1" applyAlignment="1" applyProtection="1">
      <alignment horizontal="right" vertical="center" wrapText="1"/>
      <protection locked="0"/>
    </xf>
    <xf numFmtId="0" fontId="71" fillId="0" borderId="0" xfId="0" applyFont="1" applyFill="1" applyBorder="1" applyAlignment="1" applyProtection="1">
      <alignment horizontal="left" vertical="center" wrapText="1"/>
      <protection locked="0"/>
    </xf>
    <xf numFmtId="0" fontId="71" fillId="0" borderId="0" xfId="0" applyFont="1" applyFill="1" applyAlignment="1" applyProtection="1">
      <alignment horizontal="center" vertical="center"/>
      <protection locked="0"/>
    </xf>
    <xf numFmtId="0" fontId="71" fillId="0" borderId="0" xfId="0" applyFont="1" applyFill="1" applyBorder="1" applyAlignment="1" applyProtection="1">
      <alignment horizontal="center" vertical="center"/>
      <protection locked="0"/>
    </xf>
    <xf numFmtId="0" fontId="71" fillId="0" borderId="14" xfId="0" applyFont="1" applyFill="1" applyBorder="1" applyAlignment="1" applyProtection="1">
      <alignment vertical="center"/>
      <protection locked="0"/>
    </xf>
    <xf numFmtId="0" fontId="71" fillId="0" borderId="15" xfId="0" applyFont="1" applyFill="1" applyBorder="1" applyAlignment="1" applyProtection="1">
      <alignment horizontal="left" vertical="center" wrapText="1"/>
      <protection locked="0"/>
    </xf>
    <xf numFmtId="0" fontId="71" fillId="0" borderId="15" xfId="0" applyFont="1" applyFill="1" applyBorder="1" applyAlignment="1" applyProtection="1">
      <alignment vertical="center"/>
      <protection locked="0"/>
    </xf>
    <xf numFmtId="0" fontId="71" fillId="0" borderId="16" xfId="0" applyFont="1" applyFill="1" applyBorder="1" applyAlignment="1" applyProtection="1">
      <alignment vertical="center"/>
      <protection locked="0"/>
    </xf>
    <xf numFmtId="0" fontId="71" fillId="0" borderId="3" xfId="0" applyFont="1" applyFill="1" applyBorder="1" applyAlignment="1" applyProtection="1">
      <alignment horizontal="center" vertical="center"/>
      <protection locked="0"/>
    </xf>
    <xf numFmtId="0" fontId="71" fillId="0" borderId="14" xfId="0" applyFont="1" applyFill="1" applyBorder="1" applyAlignment="1" applyProtection="1">
      <alignment horizontal="left" vertical="center" wrapText="1"/>
      <protection locked="0"/>
    </xf>
    <xf numFmtId="0" fontId="71" fillId="0" borderId="15" xfId="0" applyFont="1" applyFill="1" applyBorder="1" applyAlignment="1" applyProtection="1">
      <alignment vertical="center" wrapText="1"/>
      <protection locked="0"/>
    </xf>
    <xf numFmtId="0" fontId="71" fillId="0" borderId="16" xfId="0" applyFont="1" applyFill="1" applyBorder="1" applyAlignment="1" applyProtection="1">
      <alignment vertical="center" wrapText="1"/>
      <protection locked="0"/>
    </xf>
    <xf numFmtId="0" fontId="71" fillId="0" borderId="17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6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69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quotePrefix="1" applyFont="1" applyFill="1" applyBorder="1" applyAlignment="1" applyProtection="1">
      <alignment horizontal="center" vertical="center"/>
      <protection locked="0"/>
    </xf>
    <xf numFmtId="169" fontId="6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4" fillId="0" borderId="0" xfId="0" quotePrefix="1" applyFont="1" applyFill="1" applyBorder="1" applyAlignment="1" applyProtection="1">
      <alignment horizontal="center"/>
      <protection locked="0"/>
    </xf>
    <xf numFmtId="169" fontId="4" fillId="0" borderId="0" xfId="0" quotePrefix="1" applyNumberFormat="1" applyFont="1" applyFill="1" applyBorder="1" applyAlignment="1" applyProtection="1">
      <alignment horizontal="center"/>
      <protection locked="0"/>
    </xf>
    <xf numFmtId="169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45" applyFont="1" applyFill="1" applyBorder="1" applyAlignment="1" applyProtection="1">
      <alignment horizontal="left" vertical="center" wrapText="1"/>
      <protection locked="0"/>
    </xf>
    <xf numFmtId="0" fontId="5" fillId="0" borderId="0" xfId="245" applyFont="1" applyFill="1" applyBorder="1" applyAlignment="1" applyProtection="1">
      <alignment horizontal="center" vertical="center"/>
      <protection locked="0"/>
    </xf>
    <xf numFmtId="169" fontId="5" fillId="0" borderId="0" xfId="245" applyNumberFormat="1" applyFont="1" applyFill="1" applyBorder="1" applyAlignment="1" applyProtection="1">
      <alignment horizontal="center" vertical="center" wrapText="1"/>
      <protection locked="0"/>
    </xf>
    <xf numFmtId="169" fontId="5" fillId="0" borderId="0" xfId="245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quotePrefix="1" applyFont="1" applyFill="1" applyBorder="1" applyAlignment="1" applyProtection="1">
      <alignment horizontal="center" vertical="center"/>
      <protection locked="0"/>
    </xf>
    <xf numFmtId="168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68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169" fontId="5" fillId="0" borderId="3" xfId="237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237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 shrinkToFit="1"/>
      <protection locked="0"/>
    </xf>
    <xf numFmtId="0" fontId="5" fillId="0" borderId="3" xfId="0" quotePrefix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245" applyFont="1" applyFill="1" applyBorder="1" applyAlignment="1" applyProtection="1">
      <alignment horizontal="left" vertical="center" wrapText="1"/>
      <protection locked="0"/>
    </xf>
    <xf numFmtId="0" fontId="5" fillId="0" borderId="3" xfId="245" applyFont="1" applyFill="1" applyBorder="1" applyAlignment="1" applyProtection="1">
      <alignment horizontal="center" vertical="center" wrapText="1"/>
      <protection locked="0"/>
    </xf>
    <xf numFmtId="0" fontId="4" fillId="0" borderId="3" xfId="245" applyFont="1" applyFill="1" applyBorder="1" applyAlignment="1" applyProtection="1">
      <alignment horizontal="left" vertical="center" wrapText="1"/>
      <protection locked="0"/>
    </xf>
    <xf numFmtId="0" fontId="4" fillId="0" borderId="3" xfId="245" applyFont="1" applyFill="1" applyBorder="1" applyAlignment="1" applyProtection="1">
      <alignment horizontal="center" vertical="center" wrapText="1"/>
      <protection locked="0"/>
    </xf>
    <xf numFmtId="1" fontId="5" fillId="29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29" borderId="3" xfId="0" applyNumberFormat="1" applyFont="1" applyFill="1" applyBorder="1" applyAlignment="1">
      <alignment horizontal="center" vertical="center" wrapText="1"/>
    </xf>
    <xf numFmtId="1" fontId="4" fillId="29" borderId="3" xfId="0" applyNumberFormat="1" applyFont="1" applyFill="1" applyBorder="1" applyAlignment="1">
      <alignment horizontal="center" vertical="center" wrapText="1"/>
    </xf>
    <xf numFmtId="1" fontId="84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>
      <alignment horizontal="center" vertical="center" wrapText="1"/>
    </xf>
    <xf numFmtId="0" fontId="74" fillId="0" borderId="0" xfId="0" applyFont="1" applyFill="1" applyBorder="1" applyAlignment="1" applyProtection="1">
      <alignment horizontal="center" vertical="center" wrapText="1"/>
      <protection locked="0"/>
    </xf>
    <xf numFmtId="0" fontId="75" fillId="0" borderId="0" xfId="0" applyFont="1" applyFill="1" applyAlignment="1">
      <alignment horizontal="right" vertical="center"/>
    </xf>
    <xf numFmtId="0" fontId="76" fillId="0" borderId="0" xfId="0" applyFont="1" applyFill="1" applyAlignment="1"/>
    <xf numFmtId="0" fontId="76" fillId="0" borderId="0" xfId="0" applyFont="1" applyFill="1" applyBorder="1" applyAlignment="1">
      <alignment horizontal="center"/>
    </xf>
    <xf numFmtId="0" fontId="76" fillId="0" borderId="0" xfId="0" applyFont="1" applyFill="1" applyBorder="1" applyAlignment="1"/>
    <xf numFmtId="169" fontId="7" fillId="0" borderId="0" xfId="0" applyNumberFormat="1" applyFont="1" applyFill="1" applyBorder="1" applyAlignment="1" applyProtection="1">
      <alignment vertical="center"/>
      <protection locked="0"/>
    </xf>
    <xf numFmtId="0" fontId="80" fillId="0" borderId="0" xfId="0" applyFont="1" applyFill="1" applyBorder="1" applyAlignment="1" applyProtection="1">
      <alignment horizontal="center" vertical="center"/>
      <protection locked="0"/>
    </xf>
    <xf numFmtId="1" fontId="5" fillId="29" borderId="3" xfId="0" applyNumberFormat="1" applyFont="1" applyFill="1" applyBorder="1" applyAlignment="1" applyProtection="1">
      <alignment horizontal="center" vertical="center" wrapText="1"/>
    </xf>
    <xf numFmtId="4" fontId="5" fillId="29" borderId="3" xfId="237" applyNumberFormat="1" applyFont="1" applyFill="1" applyBorder="1" applyAlignment="1">
      <alignment horizontal="center" vertical="center" wrapText="1"/>
    </xf>
    <xf numFmtId="179" fontId="5" fillId="29" borderId="3" xfId="237" applyNumberFormat="1" applyFont="1" applyFill="1" applyBorder="1" applyAlignment="1">
      <alignment horizontal="center" vertical="center" wrapText="1"/>
    </xf>
    <xf numFmtId="0" fontId="81" fillId="0" borderId="0" xfId="0" applyFont="1" applyFill="1" applyBorder="1" applyAlignment="1" applyProtection="1">
      <alignment horizontal="left" vertical="center" wrapText="1"/>
      <protection locked="0"/>
    </xf>
    <xf numFmtId="0" fontId="81" fillId="0" borderId="0" xfId="0" quotePrefix="1" applyFont="1" applyFill="1" applyBorder="1" applyAlignment="1" applyProtection="1">
      <alignment horizontal="center" vertical="center"/>
      <protection locked="0"/>
    </xf>
    <xf numFmtId="0" fontId="81" fillId="0" borderId="0" xfId="0" applyFont="1" applyFill="1" applyBorder="1" applyAlignment="1">
      <alignment vertical="center"/>
    </xf>
    <xf numFmtId="178" fontId="5" fillId="29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1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169" fontId="4" fillId="0" borderId="0" xfId="0" applyNumberFormat="1" applyFont="1" applyFill="1" applyBorder="1" applyAlignment="1" applyProtection="1">
      <alignment horizontal="center" vertical="center" wrapText="1"/>
    </xf>
    <xf numFmtId="169" fontId="4" fillId="0" borderId="0" xfId="0" applyNumberFormat="1" applyFont="1" applyFill="1" applyBorder="1" applyAlignment="1" applyProtection="1">
      <alignment horizontal="right" vertical="center" wrapText="1"/>
    </xf>
    <xf numFmtId="169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169" fontId="5" fillId="0" borderId="0" xfId="0" applyNumberFormat="1" applyFont="1" applyFill="1" applyBorder="1" applyAlignment="1" applyProtection="1">
      <alignment horizontal="right" vertical="center" wrapText="1"/>
    </xf>
    <xf numFmtId="0" fontId="74" fillId="0" borderId="0" xfId="0" applyFont="1" applyFill="1" applyBorder="1" applyAlignment="1" applyProtection="1">
      <alignment horizontal="center" vertical="center" wrapText="1"/>
    </xf>
    <xf numFmtId="0" fontId="5" fillId="0" borderId="0" xfId="0" quotePrefix="1" applyFont="1" applyFill="1" applyBorder="1" applyAlignment="1" applyProtection="1">
      <alignment horizontal="center" vertical="center"/>
    </xf>
    <xf numFmtId="169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0" fontId="10" fillId="0" borderId="18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vertical="center" wrapText="1"/>
      <protection locked="0"/>
    </xf>
    <xf numFmtId="49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vertical="center"/>
      <protection locked="0"/>
    </xf>
    <xf numFmtId="0" fontId="82" fillId="0" borderId="16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16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vertical="center"/>
    </xf>
    <xf numFmtId="49" fontId="5" fillId="31" borderId="3" xfId="0" applyNumberFormat="1" applyFont="1" applyFill="1" applyBorder="1" applyAlignment="1" applyProtection="1">
      <alignment horizontal="center" vertical="center" wrapText="1"/>
      <protection locked="0"/>
    </xf>
    <xf numFmtId="169" fontId="4" fillId="30" borderId="0" xfId="0" quotePrefix="1" applyNumberFormat="1" applyFont="1" applyFill="1" applyBorder="1" applyAlignment="1" applyProtection="1">
      <alignment horizont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16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5" fillId="31" borderId="3" xfId="0" applyNumberFormat="1" applyFont="1" applyFill="1" applyBorder="1" applyAlignment="1" applyProtection="1">
      <alignment horizontal="center" vertical="center" wrapText="1"/>
    </xf>
    <xf numFmtId="1" fontId="5" fillId="31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31" borderId="3" xfId="0" applyFont="1" applyFill="1" applyBorder="1" applyAlignment="1" applyProtection="1">
      <alignment horizontal="left" vertical="center" wrapText="1"/>
      <protection locked="0"/>
    </xf>
    <xf numFmtId="1" fontId="5" fillId="32" borderId="3" xfId="0" applyNumberFormat="1" applyFont="1" applyFill="1" applyBorder="1" applyAlignment="1" applyProtection="1">
      <alignment horizontal="center" vertical="center" wrapText="1"/>
      <protection locked="0"/>
    </xf>
    <xf numFmtId="0" fontId="71" fillId="0" borderId="0" xfId="0" applyFont="1" applyFill="1" applyBorder="1" applyAlignment="1" applyProtection="1">
      <alignment horizontal="left" vertical="center" wrapText="1"/>
      <protection locked="0"/>
    </xf>
    <xf numFmtId="0" fontId="71" fillId="0" borderId="0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71" fillId="0" borderId="0" xfId="0" applyFont="1" applyFill="1" applyBorder="1" applyAlignment="1" applyProtection="1">
      <alignment horizontal="left" vertical="center"/>
      <protection locked="0"/>
    </xf>
    <xf numFmtId="1" fontId="5" fillId="31" borderId="3" xfId="0" applyNumberFormat="1" applyFont="1" applyFill="1" applyBorder="1" applyAlignment="1">
      <alignment horizontal="center" vertical="center" wrapText="1"/>
    </xf>
    <xf numFmtId="0" fontId="5" fillId="31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3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1" fontId="5" fillId="0" borderId="0" xfId="0" applyNumberFormat="1" applyFont="1" applyFill="1" applyBorder="1" applyAlignment="1" applyProtection="1">
      <alignment vertical="center"/>
      <protection locked="0"/>
    </xf>
    <xf numFmtId="0" fontId="5" fillId="31" borderId="0" xfId="0" applyFont="1" applyFill="1" applyBorder="1" applyAlignment="1">
      <alignment horizontal="center" vertical="center" wrapText="1"/>
    </xf>
    <xf numFmtId="0" fontId="5" fillId="31" borderId="3" xfId="0" applyFont="1" applyFill="1" applyBorder="1" applyAlignment="1">
      <alignment horizontal="center" vertical="center" wrapText="1"/>
    </xf>
    <xf numFmtId="0" fontId="4" fillId="31" borderId="0" xfId="0" applyFont="1" applyFill="1" applyBorder="1" applyAlignment="1" applyProtection="1">
      <alignment vertical="center"/>
      <protection locked="0"/>
    </xf>
    <xf numFmtId="0" fontId="5" fillId="31" borderId="0" xfId="0" applyFont="1" applyFill="1" applyBorder="1" applyAlignment="1" applyProtection="1">
      <alignment horizontal="center" vertical="center"/>
      <protection locked="0"/>
    </xf>
    <xf numFmtId="0" fontId="5" fillId="31" borderId="0" xfId="0" applyFont="1" applyFill="1" applyBorder="1" applyAlignment="1" applyProtection="1">
      <alignment vertical="center"/>
      <protection locked="0"/>
    </xf>
    <xf numFmtId="169" fontId="5" fillId="31" borderId="0" xfId="0" applyNumberFormat="1" applyFont="1" applyFill="1" applyBorder="1" applyAlignment="1" applyProtection="1">
      <alignment horizontal="right" vertical="center" wrapText="1"/>
      <protection locked="0"/>
    </xf>
    <xf numFmtId="169" fontId="4" fillId="31" borderId="0" xfId="0" applyNumberFormat="1" applyFont="1" applyFill="1" applyBorder="1" applyAlignment="1" applyProtection="1">
      <alignment horizontal="center"/>
      <protection locked="0"/>
    </xf>
    <xf numFmtId="169" fontId="4" fillId="31" borderId="0" xfId="0" applyNumberFormat="1" applyFont="1" applyFill="1" applyBorder="1" applyAlignment="1" applyProtection="1">
      <alignment horizontal="center" vertical="center" wrapText="1"/>
      <protection locked="0"/>
    </xf>
    <xf numFmtId="169" fontId="5" fillId="31" borderId="0" xfId="0" applyNumberFormat="1" applyFont="1" applyFill="1" applyBorder="1" applyAlignment="1">
      <alignment horizontal="right" vertical="center" wrapText="1"/>
    </xf>
    <xf numFmtId="0" fontId="5" fillId="31" borderId="0" xfId="0" applyFont="1" applyFill="1" applyBorder="1" applyAlignment="1">
      <alignment horizontal="center" vertical="center"/>
    </xf>
    <xf numFmtId="0" fontId="5" fillId="31" borderId="0" xfId="0" applyFont="1" applyFill="1" applyBorder="1" applyAlignment="1">
      <alignment vertical="center"/>
    </xf>
    <xf numFmtId="1" fontId="5" fillId="32" borderId="3" xfId="0" applyNumberFormat="1" applyFont="1" applyFill="1" applyBorder="1" applyAlignment="1">
      <alignment horizontal="center" vertical="center" wrapText="1"/>
    </xf>
    <xf numFmtId="1" fontId="4" fillId="32" borderId="3" xfId="0" applyNumberFormat="1" applyFont="1" applyFill="1" applyBorder="1" applyAlignment="1">
      <alignment horizontal="center" vertical="center" wrapText="1"/>
    </xf>
    <xf numFmtId="169" fontId="5" fillId="33" borderId="0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3" xfId="237" applyNumberFormat="1" applyFont="1" applyFill="1" applyBorder="1" applyAlignment="1" applyProtection="1">
      <alignment horizontal="center" vertical="center" wrapText="1"/>
      <protection locked="0"/>
    </xf>
    <xf numFmtId="179" fontId="5" fillId="0" borderId="3" xfId="237" applyNumberFormat="1" applyFont="1" applyFill="1" applyBorder="1" applyAlignment="1" applyProtection="1">
      <alignment horizontal="center" vertical="center" wrapText="1"/>
      <protection locked="0"/>
    </xf>
    <xf numFmtId="0" fontId="5" fillId="31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9" borderId="3" xfId="0" applyNumberFormat="1" applyFont="1" applyFill="1" applyBorder="1" applyAlignment="1">
      <alignment horizontal="center" vertical="center" wrapText="1"/>
    </xf>
    <xf numFmtId="0" fontId="82" fillId="0" borderId="3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3" fontId="89" fillId="33" borderId="0" xfId="0" applyNumberFormat="1" applyFont="1" applyFill="1" applyBorder="1" applyAlignment="1" applyProtection="1">
      <alignment horizontal="right" vertical="center" wrapText="1"/>
      <protection locked="0"/>
    </xf>
    <xf numFmtId="1" fontId="5" fillId="0" borderId="0" xfId="0" applyNumberFormat="1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90" fillId="0" borderId="0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92" fillId="0" borderId="3" xfId="238" applyFont="1" applyBorder="1" applyAlignment="1">
      <alignment wrapText="1"/>
    </xf>
    <xf numFmtId="0" fontId="92" fillId="0" borderId="3" xfId="238" applyFont="1" applyBorder="1" applyAlignment="1">
      <alignment vertical="top" wrapText="1"/>
    </xf>
    <xf numFmtId="0" fontId="91" fillId="0" borderId="3" xfId="238" applyFont="1" applyBorder="1" applyAlignment="1">
      <alignment horizontal="center"/>
    </xf>
    <xf numFmtId="0" fontId="93" fillId="0" borderId="3" xfId="238" applyFont="1" applyBorder="1" applyAlignment="1">
      <alignment horizontal="center"/>
    </xf>
    <xf numFmtId="2" fontId="94" fillId="0" borderId="3" xfId="238" applyNumberFormat="1" applyFont="1" applyBorder="1" applyAlignment="1">
      <alignment horizontal="center"/>
    </xf>
    <xf numFmtId="0" fontId="91" fillId="34" borderId="3" xfId="238" applyFont="1" applyFill="1" applyBorder="1" applyAlignment="1">
      <alignment horizontal="center"/>
    </xf>
    <xf numFmtId="0" fontId="93" fillId="34" borderId="3" xfId="238" applyFont="1" applyFill="1" applyBorder="1" applyAlignment="1">
      <alignment horizontal="center"/>
    </xf>
    <xf numFmtId="2" fontId="92" fillId="34" borderId="3" xfId="238" applyNumberFormat="1" applyFont="1" applyFill="1" applyBorder="1" applyAlignment="1">
      <alignment horizontal="center"/>
    </xf>
    <xf numFmtId="0" fontId="95" fillId="34" borderId="3" xfId="238" applyFont="1" applyFill="1" applyBorder="1" applyAlignment="1">
      <alignment horizontal="center" vertical="center" wrapText="1"/>
    </xf>
    <xf numFmtId="0" fontId="95" fillId="34" borderId="3" xfId="238" applyFont="1" applyFill="1" applyBorder="1" applyAlignment="1">
      <alignment vertical="top" wrapText="1"/>
    </xf>
    <xf numFmtId="0" fontId="95" fillId="34" borderId="3" xfId="238" applyFont="1" applyFill="1" applyBorder="1" applyAlignment="1">
      <alignment horizontal="left" vertical="center" wrapText="1"/>
    </xf>
    <xf numFmtId="0" fontId="95" fillId="34" borderId="3" xfId="238" applyFont="1" applyFill="1" applyBorder="1" applyAlignment="1">
      <alignment vertical="center" wrapText="1"/>
    </xf>
    <xf numFmtId="0" fontId="95" fillId="0" borderId="3" xfId="238" applyFont="1" applyBorder="1" applyAlignment="1">
      <alignment horizontal="center" vertical="center" wrapText="1"/>
    </xf>
    <xf numFmtId="0" fontId="95" fillId="0" borderId="3" xfId="238" applyFont="1" applyBorder="1" applyAlignment="1">
      <alignment vertical="center" wrapText="1"/>
    </xf>
    <xf numFmtId="0" fontId="92" fillId="0" borderId="3" xfId="238" applyFont="1" applyBorder="1" applyAlignment="1">
      <alignment horizontal="center" vertical="top" wrapText="1"/>
    </xf>
    <xf numFmtId="0" fontId="92" fillId="0" borderId="3" xfId="238" applyFont="1" applyBorder="1" applyAlignment="1">
      <alignment horizontal="center" vertical="center" wrapText="1"/>
    </xf>
    <xf numFmtId="1" fontId="97" fillId="34" borderId="3" xfId="238" applyNumberFormat="1" applyFont="1" applyFill="1" applyBorder="1" applyAlignment="1">
      <alignment horizontal="center" vertical="center" wrapText="1"/>
    </xf>
    <xf numFmtId="1" fontId="98" fillId="34" borderId="3" xfId="238" applyNumberFormat="1" applyFont="1" applyFill="1" applyBorder="1" applyAlignment="1">
      <alignment horizontal="center" vertical="center" wrapText="1"/>
    </xf>
    <xf numFmtId="1" fontId="97" fillId="0" borderId="3" xfId="238" applyNumberFormat="1" applyFont="1" applyBorder="1" applyAlignment="1">
      <alignment horizontal="center" vertical="center" wrapText="1"/>
    </xf>
    <xf numFmtId="1" fontId="97" fillId="0" borderId="3" xfId="238" applyNumberFormat="1" applyFont="1" applyFill="1" applyBorder="1" applyAlignment="1">
      <alignment horizontal="center" vertical="center" wrapText="1"/>
    </xf>
    <xf numFmtId="1" fontId="98" fillId="0" borderId="3" xfId="238" applyNumberFormat="1" applyFont="1" applyBorder="1" applyAlignment="1">
      <alignment horizontal="center" vertical="center" wrapText="1"/>
    </xf>
    <xf numFmtId="1" fontId="99" fillId="0" borderId="3" xfId="238" applyNumberFormat="1" applyFont="1" applyBorder="1" applyAlignment="1">
      <alignment horizontal="center" vertical="center" wrapText="1"/>
    </xf>
    <xf numFmtId="1" fontId="97" fillId="35" borderId="3" xfId="238" applyNumberFormat="1" applyFont="1" applyFill="1" applyBorder="1" applyAlignment="1">
      <alignment horizontal="center" vertical="center" wrapText="1"/>
    </xf>
    <xf numFmtId="0" fontId="91" fillId="33" borderId="3" xfId="238" applyFont="1" applyFill="1" applyBorder="1" applyAlignment="1">
      <alignment horizontal="center"/>
    </xf>
    <xf numFmtId="1" fontId="97" fillId="36" borderId="3" xfId="238" applyNumberFormat="1" applyFont="1" applyFill="1" applyBorder="1" applyAlignment="1">
      <alignment horizontal="center" vertical="center" wrapText="1"/>
    </xf>
    <xf numFmtId="0" fontId="101" fillId="0" borderId="0" xfId="0" applyFont="1"/>
    <xf numFmtId="0" fontId="95" fillId="37" borderId="3" xfId="238" applyFont="1" applyFill="1" applyBorder="1" applyAlignment="1">
      <alignment horizontal="center" vertical="center" wrapText="1"/>
    </xf>
    <xf numFmtId="180" fontId="0" fillId="0" borderId="0" xfId="353" applyNumberFormat="1" applyFont="1"/>
    <xf numFmtId="180" fontId="102" fillId="0" borderId="0" xfId="353" applyNumberFormat="1" applyFont="1" applyFill="1" applyAlignment="1">
      <alignment vertical="center"/>
    </xf>
    <xf numFmtId="180" fontId="102" fillId="0" borderId="0" xfId="353" applyNumberFormat="1" applyFont="1" applyFill="1" applyBorder="1" applyAlignment="1">
      <alignment vertical="center"/>
    </xf>
    <xf numFmtId="1" fontId="84" fillId="31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180" fontId="0" fillId="0" borderId="0" xfId="0" applyNumberFormat="1"/>
    <xf numFmtId="0" fontId="95" fillId="31" borderId="3" xfId="238" applyFont="1" applyFill="1" applyBorder="1" applyAlignment="1">
      <alignment horizontal="center" vertical="center" wrapText="1"/>
    </xf>
    <xf numFmtId="0" fontId="95" fillId="38" borderId="3" xfId="238" applyFont="1" applyFill="1" applyBorder="1" applyAlignment="1">
      <alignment horizontal="center" vertical="center" wrapText="1"/>
    </xf>
    <xf numFmtId="0" fontId="0" fillId="0" borderId="0" xfId="353" applyNumberFormat="1" applyFont="1"/>
    <xf numFmtId="1" fontId="5" fillId="33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88" fillId="0" borderId="0" xfId="0" applyFont="1" applyAlignment="1" applyProtection="1">
      <alignment horizontal="left" vertical="top" wrapText="1"/>
      <protection locked="0"/>
    </xf>
    <xf numFmtId="0" fontId="71" fillId="0" borderId="0" xfId="0" applyFont="1" applyFill="1" applyBorder="1" applyAlignment="1" applyProtection="1">
      <alignment horizontal="left" vertical="center" wrapText="1"/>
      <protection locked="0"/>
    </xf>
    <xf numFmtId="0" fontId="82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169" fontId="5" fillId="0" borderId="0" xfId="0" applyNumberFormat="1" applyFont="1" applyFill="1" applyBorder="1" applyAlignment="1" applyProtection="1">
      <alignment horizontal="center" vertical="center" wrapText="1"/>
    </xf>
    <xf numFmtId="169" fontId="5" fillId="0" borderId="0" xfId="0" quotePrefix="1" applyNumberFormat="1" applyFont="1" applyFill="1" applyBorder="1" applyAlignment="1" applyProtection="1">
      <alignment horizontal="center" vertical="center" wrapText="1"/>
    </xf>
    <xf numFmtId="0" fontId="74" fillId="0" borderId="0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237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70" fillId="0" borderId="0" xfId="0" applyFont="1" applyAlignment="1" applyProtection="1">
      <alignment horizontal="left" vertical="top" wrapText="1"/>
      <protection locked="0"/>
    </xf>
    <xf numFmtId="0" fontId="87" fillId="0" borderId="0" xfId="0" applyFont="1" applyAlignment="1" applyProtection="1">
      <alignment horizontal="left" vertical="top" wrapText="1"/>
      <protection locked="0"/>
    </xf>
    <xf numFmtId="0" fontId="71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71" fillId="0" borderId="15" xfId="0" applyFont="1" applyFill="1" applyBorder="1" applyAlignment="1" applyProtection="1">
      <alignment horizontal="left" vertical="center" wrapText="1"/>
      <protection locked="0"/>
    </xf>
    <xf numFmtId="0" fontId="71" fillId="0" borderId="16" xfId="0" applyFont="1" applyFill="1" applyBorder="1" applyAlignment="1" applyProtection="1">
      <alignment horizontal="left" vertical="center" wrapText="1"/>
      <protection locked="0"/>
    </xf>
    <xf numFmtId="0" fontId="71" fillId="0" borderId="14" xfId="0" applyFont="1" applyFill="1" applyBorder="1" applyAlignment="1" applyProtection="1">
      <alignment horizontal="left" vertical="center" wrapText="1"/>
      <protection locked="0"/>
    </xf>
    <xf numFmtId="0" fontId="73" fillId="0" borderId="15" xfId="0" applyFont="1" applyBorder="1" applyAlignment="1" applyProtection="1">
      <alignment horizontal="left" vertical="center" wrapText="1"/>
      <protection locked="0"/>
    </xf>
    <xf numFmtId="0" fontId="73" fillId="0" borderId="16" xfId="0" applyFont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 shrinkToFit="1"/>
    </xf>
    <xf numFmtId="0" fontId="5" fillId="0" borderId="19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31" borderId="3" xfId="0" applyFont="1" applyFill="1" applyBorder="1" applyAlignment="1">
      <alignment horizontal="center" vertical="center" wrapText="1"/>
    </xf>
    <xf numFmtId="16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69" fontId="4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0" applyFont="1" applyFill="1" applyBorder="1" applyAlignment="1" applyProtection="1">
      <alignment horizontal="center" vertical="center"/>
      <protection locked="0"/>
    </xf>
    <xf numFmtId="0" fontId="10" fillId="31" borderId="3" xfId="0" applyFont="1" applyFill="1" applyBorder="1" applyAlignment="1">
      <alignment horizontal="center" vertical="center" wrapText="1" shrinkToFit="1"/>
    </xf>
    <xf numFmtId="0" fontId="10" fillId="31" borderId="3" xfId="0" applyFont="1" applyFill="1" applyBorder="1" applyAlignment="1">
      <alignment horizontal="center" vertical="center" wrapText="1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5" xfId="245" applyFont="1" applyFill="1" applyBorder="1" applyAlignment="1">
      <alignment horizontal="center" vertical="center" wrapText="1"/>
    </xf>
    <xf numFmtId="0" fontId="4" fillId="0" borderId="16" xfId="245" applyFont="1" applyFill="1" applyBorder="1" applyAlignment="1">
      <alignment horizontal="center" vertical="center" wrapText="1"/>
    </xf>
    <xf numFmtId="16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69" fontId="5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45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31" borderId="3" xfId="24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/>
    </xf>
    <xf numFmtId="0" fontId="5" fillId="0" borderId="18" xfId="245" applyFont="1" applyFill="1" applyBorder="1" applyAlignment="1">
      <alignment horizontal="center" vertical="center" wrapText="1"/>
    </xf>
    <xf numFmtId="0" fontId="5" fillId="0" borderId="19" xfId="245" applyFont="1" applyFill="1" applyBorder="1" applyAlignment="1">
      <alignment horizontal="center" vertical="center" wrapText="1"/>
    </xf>
    <xf numFmtId="0" fontId="5" fillId="31" borderId="3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/>
    </xf>
    <xf numFmtId="0" fontId="4" fillId="0" borderId="0" xfId="237" applyNumberFormat="1" applyFont="1" applyFill="1" applyBorder="1" applyAlignment="1">
      <alignment horizontal="center" vertical="center" wrapText="1"/>
    </xf>
    <xf numFmtId="0" fontId="5" fillId="0" borderId="18" xfId="237" applyNumberFormat="1" applyFont="1" applyFill="1" applyBorder="1" applyAlignment="1">
      <alignment horizontal="center" vertical="center" wrapText="1"/>
    </xf>
    <xf numFmtId="0" fontId="5" fillId="0" borderId="19" xfId="237" applyNumberFormat="1" applyFont="1" applyFill="1" applyBorder="1" applyAlignment="1">
      <alignment horizontal="center" vertical="center" wrapText="1"/>
    </xf>
    <xf numFmtId="169" fontId="81" fillId="0" borderId="0" xfId="0" applyNumberFormat="1" applyFont="1" applyFill="1" applyBorder="1" applyAlignment="1" applyProtection="1">
      <alignment horizontal="center" vertical="center" wrapText="1"/>
      <protection locked="0"/>
    </xf>
    <xf numFmtId="169" fontId="8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9" fontId="4" fillId="29" borderId="14" xfId="0" applyNumberFormat="1" applyFont="1" applyFill="1" applyBorder="1" applyAlignment="1" applyProtection="1">
      <alignment horizontal="center" vertical="center" wrapText="1"/>
    </xf>
    <xf numFmtId="9" fontId="4" fillId="29" borderId="16" xfId="0" applyNumberFormat="1" applyFont="1" applyFill="1" applyBorder="1" applyAlignment="1" applyProtection="1">
      <alignment horizontal="center" vertical="center" wrapText="1"/>
    </xf>
    <xf numFmtId="0" fontId="5" fillId="31" borderId="3" xfId="0" applyFont="1" applyFill="1" applyBorder="1" applyAlignment="1" applyProtection="1">
      <alignment horizontal="left" vertical="center" wrapText="1"/>
    </xf>
    <xf numFmtId="177" fontId="5" fillId="31" borderId="14" xfId="0" applyNumberFormat="1" applyFont="1" applyFill="1" applyBorder="1" applyAlignment="1" applyProtection="1">
      <alignment horizontal="center" vertical="center" wrapText="1"/>
    </xf>
    <xf numFmtId="177" fontId="5" fillId="31" borderId="16" xfId="0" applyNumberFormat="1" applyFont="1" applyFill="1" applyBorder="1" applyAlignment="1" applyProtection="1">
      <alignment horizontal="center" vertical="center" wrapText="1"/>
    </xf>
    <xf numFmtId="0" fontId="0" fillId="31" borderId="16" xfId="0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177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77" fontId="5" fillId="0" borderId="14" xfId="0" applyNumberFormat="1" applyFont="1" applyFill="1" applyBorder="1" applyAlignment="1" applyProtection="1">
      <alignment horizontal="center" vertical="center" wrapText="1"/>
    </xf>
    <xf numFmtId="177" fontId="5" fillId="0" borderId="16" xfId="0" applyNumberFormat="1" applyFont="1" applyFill="1" applyBorder="1" applyAlignment="1" applyProtection="1">
      <alignment horizontal="center" vertical="center" wrapText="1"/>
    </xf>
    <xf numFmtId="177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9" borderId="14" xfId="0" applyNumberFormat="1" applyFont="1" applyFill="1" applyBorder="1" applyAlignment="1">
      <alignment horizontal="center" vertical="center" wrapText="1"/>
    </xf>
    <xf numFmtId="0" fontId="5" fillId="29" borderId="16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31" borderId="14" xfId="0" applyFont="1" applyFill="1" applyBorder="1" applyAlignment="1" applyProtection="1">
      <alignment horizontal="center" vertical="center" wrapText="1"/>
      <protection locked="0"/>
    </xf>
    <xf numFmtId="0" fontId="5" fillId="31" borderId="15" xfId="0" applyFont="1" applyFill="1" applyBorder="1" applyAlignment="1" applyProtection="1">
      <alignment horizontal="center" vertical="center" wrapText="1"/>
      <protection locked="0"/>
    </xf>
    <xf numFmtId="0" fontId="5" fillId="31" borderId="16" xfId="0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 shrinkToFi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177" fontId="5" fillId="0" borderId="14" xfId="0" applyNumberFormat="1" applyFont="1" applyFill="1" applyBorder="1" applyAlignment="1" applyProtection="1">
      <alignment wrapText="1"/>
    </xf>
    <xf numFmtId="177" fontId="5" fillId="0" borderId="16" xfId="0" applyNumberFormat="1" applyFont="1" applyFill="1" applyBorder="1" applyAlignment="1" applyProtection="1">
      <alignment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80" fillId="0" borderId="0" xfId="0" applyFont="1" applyFill="1" applyBorder="1" applyAlignment="1" applyProtection="1">
      <alignment horizontal="center" vertical="center"/>
      <protection locked="0"/>
    </xf>
    <xf numFmtId="0" fontId="81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71" fillId="0" borderId="0" xfId="0" applyFont="1" applyFill="1" applyAlignment="1">
      <alignment vertical="center" wrapText="1"/>
    </xf>
    <xf numFmtId="3" fontId="4" fillId="29" borderId="14" xfId="0" applyNumberFormat="1" applyFont="1" applyFill="1" applyBorder="1" applyAlignment="1" applyProtection="1">
      <alignment horizontal="center" vertical="center" wrapText="1"/>
    </xf>
    <xf numFmtId="3" fontId="4" fillId="29" borderId="16" xfId="0" applyNumberFormat="1" applyFont="1" applyFill="1" applyBorder="1" applyAlignment="1" applyProtection="1">
      <alignment horizontal="center" vertical="center" wrapText="1"/>
    </xf>
    <xf numFmtId="0" fontId="4" fillId="31" borderId="14" xfId="0" applyFont="1" applyFill="1" applyBorder="1" applyAlignment="1" applyProtection="1">
      <alignment horizontal="center" vertical="center" wrapText="1"/>
    </xf>
    <xf numFmtId="0" fontId="4" fillId="31" borderId="15" xfId="0" applyFont="1" applyFill="1" applyBorder="1" applyAlignment="1" applyProtection="1">
      <alignment horizontal="center" vertical="center" wrapText="1"/>
    </xf>
    <xf numFmtId="0" fontId="4" fillId="31" borderId="16" xfId="0" applyFont="1" applyFill="1" applyBorder="1" applyAlignment="1" applyProtection="1">
      <alignment horizontal="center" vertical="center" wrapText="1"/>
    </xf>
    <xf numFmtId="0" fontId="96" fillId="0" borderId="3" xfId="238" applyFont="1" applyBorder="1" applyAlignment="1">
      <alignment horizontal="center" vertical="center" wrapText="1"/>
    </xf>
    <xf numFmtId="0" fontId="100" fillId="0" borderId="3" xfId="0" applyFont="1" applyBorder="1" applyAlignment="1">
      <alignment horizontal="center" vertical="center" wrapText="1"/>
    </xf>
    <xf numFmtId="0" fontId="91" fillId="0" borderId="0" xfId="238" applyFont="1" applyBorder="1" applyAlignment="1">
      <alignment horizontal="center"/>
    </xf>
    <xf numFmtId="0" fontId="94" fillId="0" borderId="3" xfId="238" applyFont="1" applyBorder="1" applyAlignment="1">
      <alignment horizontal="center" vertical="center" wrapText="1"/>
    </xf>
    <xf numFmtId="0" fontId="96" fillId="0" borderId="18" xfId="238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96" fillId="0" borderId="24" xfId="238" applyFont="1" applyBorder="1" applyAlignment="1">
      <alignment horizontal="center" vertical="center" wrapText="1"/>
    </xf>
    <xf numFmtId="0" fontId="96" fillId="0" borderId="19" xfId="238" applyFont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5" fillId="29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1" fontId="5" fillId="0" borderId="16" xfId="0" applyNumberFormat="1" applyFont="1" applyFill="1" applyBorder="1" applyAlignment="1">
      <alignment horizontal="center" vertical="center" wrapText="1"/>
    </xf>
    <xf numFmtId="1" fontId="4" fillId="29" borderId="14" xfId="0" applyNumberFormat="1" applyFont="1" applyFill="1" applyBorder="1" applyAlignment="1">
      <alignment horizontal="center" vertical="center" wrapText="1"/>
    </xf>
    <xf numFmtId="1" fontId="4" fillId="29" borderId="15" xfId="0" applyNumberFormat="1" applyFont="1" applyFill="1" applyBorder="1" applyAlignment="1">
      <alignment horizontal="center" vertical="center" wrapText="1"/>
    </xf>
    <xf numFmtId="1" fontId="4" fillId="29" borderId="16" xfId="0" applyNumberFormat="1" applyFont="1" applyFill="1" applyBorder="1" applyAlignment="1">
      <alignment horizontal="center" vertical="center" wrapText="1"/>
    </xf>
    <xf numFmtId="1" fontId="5" fillId="31" borderId="14" xfId="0" applyNumberFormat="1" applyFont="1" applyFill="1" applyBorder="1" applyAlignment="1">
      <alignment horizontal="center" vertical="center" wrapText="1"/>
    </xf>
    <xf numFmtId="1" fontId="5" fillId="31" borderId="15" xfId="0" applyNumberFormat="1" applyFont="1" applyFill="1" applyBorder="1" applyAlignment="1">
      <alignment horizontal="center" vertical="center" wrapText="1"/>
    </xf>
    <xf numFmtId="1" fontId="5" fillId="31" borderId="16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left" vertical="center" wrapText="1"/>
    </xf>
    <xf numFmtId="1" fontId="5" fillId="29" borderId="14" xfId="0" applyNumberFormat="1" applyFont="1" applyFill="1" applyBorder="1" applyAlignment="1">
      <alignment horizontal="center" vertical="center" wrapText="1"/>
    </xf>
    <xf numFmtId="1" fontId="5" fillId="29" borderId="15" xfId="0" applyNumberFormat="1" applyFont="1" applyFill="1" applyBorder="1" applyAlignment="1">
      <alignment horizontal="center" vertical="center" wrapText="1"/>
    </xf>
    <xf numFmtId="1" fontId="5" fillId="29" borderId="16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0" fillId="29" borderId="3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left" vertical="center" wrapText="1"/>
    </xf>
    <xf numFmtId="3" fontId="5" fillId="0" borderId="15" xfId="0" applyNumberFormat="1" applyFont="1" applyFill="1" applyBorder="1" applyAlignment="1">
      <alignment horizontal="left" vertical="center" wrapText="1"/>
    </xf>
    <xf numFmtId="3" fontId="5" fillId="0" borderId="16" xfId="0" applyNumberFormat="1" applyFont="1" applyFill="1" applyBorder="1" applyAlignment="1">
      <alignment horizontal="left" vertical="center" wrapText="1"/>
    </xf>
    <xf numFmtId="49" fontId="71" fillId="31" borderId="14" xfId="0" applyNumberFormat="1" applyFont="1" applyFill="1" applyBorder="1" applyAlignment="1">
      <alignment horizontal="left" vertical="center" wrapText="1"/>
    </xf>
    <xf numFmtId="49" fontId="71" fillId="31" borderId="15" xfId="0" applyNumberFormat="1" applyFont="1" applyFill="1" applyBorder="1" applyAlignment="1">
      <alignment horizontal="left" vertical="center" wrapText="1"/>
    </xf>
    <xf numFmtId="49" fontId="71" fillId="31" borderId="16" xfId="0" applyNumberFormat="1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77" fillId="0" borderId="0" xfId="0" applyFont="1" applyFill="1" applyBorder="1" applyAlignment="1">
      <alignment horizontal="left" vertical="center" wrapText="1"/>
    </xf>
    <xf numFmtId="0" fontId="78" fillId="0" borderId="0" xfId="0" applyFont="1" applyAlignment="1">
      <alignment horizontal="left" vertical="center"/>
    </xf>
    <xf numFmtId="0" fontId="76" fillId="0" borderId="0" xfId="0" applyFont="1" applyFill="1" applyBorder="1" applyAlignment="1">
      <alignment horizontal="center"/>
    </xf>
    <xf numFmtId="0" fontId="77" fillId="0" borderId="0" xfId="0" applyFont="1" applyFill="1" applyBorder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</cellXfs>
  <cellStyles count="354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" xfId="353" builtinId="3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41" Type="http://schemas.openxmlformats.org/officeDocument/2006/relationships/externalLink" Target="externalLinks/externalLink3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A1:K256"/>
  <sheetViews>
    <sheetView view="pageBreakPreview" zoomScale="90" zoomScaleNormal="75" zoomScaleSheetLayoutView="90" workbookViewId="0">
      <selection activeCell="C81" sqref="C81"/>
    </sheetView>
  </sheetViews>
  <sheetFormatPr defaultColWidth="9.140625" defaultRowHeight="18.75"/>
  <cols>
    <col min="1" max="1" width="44.7109375" style="2" customWidth="1"/>
    <col min="2" max="2" width="14.42578125" style="25" customWidth="1"/>
    <col min="3" max="3" width="16.85546875" style="25" customWidth="1"/>
    <col min="4" max="4" width="14.5703125" style="25" customWidth="1"/>
    <col min="5" max="5" width="14.28515625" style="2" customWidth="1"/>
    <col min="6" max="6" width="13" style="2" customWidth="1"/>
    <col min="7" max="7" width="13.140625" style="2" customWidth="1"/>
    <col min="8" max="9" width="13.42578125" style="2" customWidth="1"/>
    <col min="10" max="10" width="13.140625" style="2" customWidth="1"/>
    <col min="11" max="11" width="10" style="2" customWidth="1"/>
    <col min="12" max="12" width="9.5703125" style="2" customWidth="1"/>
    <col min="13" max="14" width="9.140625" style="2"/>
    <col min="15" max="15" width="10.5703125" style="2" customWidth="1"/>
    <col min="16" max="16384" width="9.140625" style="2"/>
  </cols>
  <sheetData>
    <row r="1" spans="1:11">
      <c r="A1" s="108"/>
      <c r="B1" s="109"/>
      <c r="C1" s="109"/>
      <c r="D1" s="109"/>
      <c r="E1" s="108"/>
      <c r="F1" s="108"/>
      <c r="G1" s="108"/>
      <c r="H1" s="108"/>
      <c r="I1" s="108"/>
      <c r="J1" s="108"/>
    </row>
    <row r="2" spans="1:11" ht="18.75" customHeight="1">
      <c r="A2" s="328" t="s">
        <v>376</v>
      </c>
      <c r="B2" s="328"/>
      <c r="C2" s="111"/>
      <c r="D2" s="112"/>
      <c r="E2" s="331" t="s">
        <v>468</v>
      </c>
      <c r="F2" s="331"/>
      <c r="G2" s="331"/>
      <c r="H2" s="331"/>
      <c r="I2" s="331"/>
      <c r="J2" s="331"/>
      <c r="K2" s="331"/>
    </row>
    <row r="3" spans="1:11" ht="18.75" customHeight="1">
      <c r="A3" s="329" t="s">
        <v>438</v>
      </c>
      <c r="B3" s="329"/>
      <c r="C3" s="111"/>
      <c r="D3" s="114"/>
      <c r="E3" s="331"/>
      <c r="F3" s="331"/>
      <c r="G3" s="331"/>
      <c r="H3" s="331"/>
      <c r="I3" s="331"/>
      <c r="J3" s="331"/>
      <c r="K3" s="331"/>
    </row>
    <row r="4" spans="1:11" ht="18.75" customHeight="1">
      <c r="A4" s="329" t="s">
        <v>466</v>
      </c>
      <c r="B4" s="329"/>
      <c r="C4" s="111"/>
      <c r="D4" s="114"/>
      <c r="E4" s="331"/>
      <c r="F4" s="331"/>
      <c r="G4" s="331"/>
      <c r="H4" s="331"/>
      <c r="I4" s="331"/>
      <c r="J4" s="331"/>
      <c r="K4" s="331"/>
    </row>
    <row r="5" spans="1:11" ht="18.75" customHeight="1">
      <c r="A5" s="328" t="s">
        <v>470</v>
      </c>
      <c r="B5" s="328"/>
      <c r="C5" s="111"/>
      <c r="D5" s="114"/>
      <c r="E5" s="114"/>
      <c r="F5" s="114"/>
      <c r="G5" s="330"/>
      <c r="H5" s="330"/>
      <c r="I5" s="231"/>
      <c r="J5" s="231"/>
    </row>
    <row r="6" spans="1:11" ht="18.75" customHeight="1">
      <c r="A6" s="307" t="s">
        <v>377</v>
      </c>
      <c r="B6" s="307"/>
      <c r="C6" s="111"/>
      <c r="D6" s="115"/>
      <c r="E6" s="308" t="s">
        <v>461</v>
      </c>
      <c r="F6" s="308"/>
      <c r="G6" s="308"/>
      <c r="H6" s="308"/>
      <c r="I6" s="308"/>
      <c r="J6" s="308"/>
      <c r="K6" s="308"/>
    </row>
    <row r="7" spans="1:11" ht="44.25" customHeight="1">
      <c r="A7" s="307"/>
      <c r="B7" s="307"/>
      <c r="C7" s="111"/>
      <c r="D7" s="115"/>
      <c r="E7" s="309" t="s">
        <v>462</v>
      </c>
      <c r="F7" s="309"/>
      <c r="G7" s="309"/>
      <c r="H7" s="309"/>
      <c r="I7" s="309"/>
      <c r="J7" s="309"/>
      <c r="K7" s="309"/>
    </row>
    <row r="8" spans="1:11" ht="18.75" customHeight="1">
      <c r="A8" s="116" t="s">
        <v>346</v>
      </c>
      <c r="B8" s="110"/>
      <c r="C8" s="111"/>
      <c r="D8" s="115"/>
      <c r="E8" s="310" t="s">
        <v>467</v>
      </c>
      <c r="F8" s="310"/>
      <c r="G8" s="310"/>
      <c r="H8" s="310"/>
      <c r="I8" s="310"/>
      <c r="J8" s="310"/>
      <c r="K8" s="310"/>
    </row>
    <row r="9" spans="1:11" ht="18.75" customHeight="1">
      <c r="A9" s="110"/>
      <c r="B9" s="110"/>
      <c r="C9" s="111"/>
      <c r="D9" s="115"/>
      <c r="E9" s="331"/>
      <c r="F9" s="331"/>
      <c r="G9" s="331"/>
      <c r="H9" s="331"/>
      <c r="I9" s="331"/>
      <c r="J9" s="331"/>
      <c r="K9" s="331"/>
    </row>
    <row r="10" spans="1:11" ht="20.25">
      <c r="A10" s="110"/>
      <c r="B10" s="110"/>
      <c r="C10" s="111"/>
      <c r="D10" s="115"/>
      <c r="E10" s="112"/>
      <c r="F10" s="112"/>
      <c r="G10" s="112"/>
      <c r="H10" s="112"/>
      <c r="I10" s="112"/>
      <c r="J10" s="112"/>
    </row>
    <row r="11" spans="1:11" ht="61.5" customHeight="1">
      <c r="A11" s="110"/>
      <c r="B11" s="110"/>
      <c r="C11" s="111"/>
      <c r="D11" s="115"/>
      <c r="E11" s="308" t="s">
        <v>469</v>
      </c>
      <c r="F11" s="308"/>
      <c r="G11" s="308"/>
      <c r="H11" s="308"/>
      <c r="I11" s="308"/>
      <c r="J11" s="308"/>
      <c r="K11" s="308"/>
    </row>
    <row r="12" spans="1:11" ht="20.25" customHeight="1">
      <c r="A12" s="110"/>
      <c r="B12" s="110"/>
      <c r="C12" s="111"/>
      <c r="D12" s="115"/>
      <c r="E12" s="227"/>
      <c r="F12" s="227"/>
      <c r="G12" s="112"/>
      <c r="H12" s="112"/>
      <c r="I12" s="112"/>
      <c r="J12" s="112"/>
    </row>
    <row r="13" spans="1:11" ht="19.5" customHeight="1">
      <c r="A13" s="110"/>
      <c r="B13" s="110"/>
      <c r="C13" s="111"/>
      <c r="D13" s="115"/>
      <c r="E13" s="112"/>
      <c r="F13" s="112"/>
      <c r="G13" s="228"/>
      <c r="H13" s="227"/>
      <c r="I13" s="227"/>
      <c r="J13" s="227"/>
    </row>
    <row r="14" spans="1:11" ht="19.5" customHeight="1">
      <c r="A14" s="112"/>
      <c r="B14" s="117"/>
      <c r="C14" s="117"/>
      <c r="D14" s="117"/>
      <c r="E14" s="117"/>
      <c r="F14" s="117"/>
      <c r="G14" s="118"/>
      <c r="H14" s="118"/>
      <c r="I14" s="118"/>
      <c r="J14" s="118"/>
    </row>
    <row r="15" spans="1:11" ht="19.5" customHeight="1">
      <c r="A15" s="119"/>
      <c r="B15" s="332"/>
      <c r="C15" s="332"/>
      <c r="D15" s="332"/>
      <c r="E15" s="120"/>
      <c r="F15" s="120"/>
      <c r="G15" s="121"/>
      <c r="H15" s="211"/>
      <c r="I15" s="257" t="s">
        <v>528</v>
      </c>
      <c r="J15" s="123" t="s">
        <v>261</v>
      </c>
    </row>
    <row r="16" spans="1:11" ht="16.5" customHeight="1">
      <c r="A16" s="124" t="s">
        <v>14</v>
      </c>
      <c r="B16" s="327" t="s">
        <v>436</v>
      </c>
      <c r="C16" s="327"/>
      <c r="D16" s="327"/>
      <c r="E16" s="120"/>
      <c r="F16" s="120"/>
      <c r="G16" s="125"/>
      <c r="H16" s="126"/>
      <c r="I16" s="187" t="s">
        <v>145</v>
      </c>
      <c r="J16" s="209" t="s">
        <v>429</v>
      </c>
    </row>
    <row r="17" spans="1:10" ht="16.5" customHeight="1">
      <c r="A17" s="124" t="s">
        <v>15</v>
      </c>
      <c r="B17" s="327" t="s">
        <v>431</v>
      </c>
      <c r="C17" s="327"/>
      <c r="D17" s="327"/>
      <c r="E17" s="120"/>
      <c r="F17" s="120"/>
      <c r="G17" s="121"/>
      <c r="H17" s="122"/>
      <c r="I17" s="187" t="s">
        <v>144</v>
      </c>
      <c r="J17" s="188">
        <v>150</v>
      </c>
    </row>
    <row r="18" spans="1:10" ht="18.75" customHeight="1">
      <c r="A18" s="124" t="s">
        <v>19</v>
      </c>
      <c r="B18" s="327" t="s">
        <v>463</v>
      </c>
      <c r="C18" s="327"/>
      <c r="D18" s="327"/>
      <c r="E18" s="189"/>
      <c r="F18" s="120"/>
      <c r="G18" s="121"/>
      <c r="H18" s="122"/>
      <c r="I18" s="187" t="s">
        <v>143</v>
      </c>
      <c r="J18" s="188">
        <v>1210136900</v>
      </c>
    </row>
    <row r="19" spans="1:10" ht="19.5" customHeight="1">
      <c r="A19" s="124" t="s">
        <v>378</v>
      </c>
      <c r="B19" s="332"/>
      <c r="C19" s="332"/>
      <c r="D19" s="332"/>
      <c r="E19" s="332"/>
      <c r="F19" s="332"/>
      <c r="G19" s="332"/>
      <c r="H19" s="333"/>
      <c r="I19" s="187" t="s">
        <v>9</v>
      </c>
      <c r="J19" s="188"/>
    </row>
    <row r="20" spans="1:10" ht="18" customHeight="1">
      <c r="A20" s="124" t="s">
        <v>17</v>
      </c>
      <c r="B20" s="332"/>
      <c r="C20" s="332"/>
      <c r="D20" s="332"/>
      <c r="E20" s="120"/>
      <c r="F20" s="120"/>
      <c r="G20" s="125"/>
      <c r="H20" s="126"/>
      <c r="I20" s="187" t="s">
        <v>8</v>
      </c>
      <c r="J20" s="188">
        <v>91700</v>
      </c>
    </row>
    <row r="21" spans="1:10" ht="21" customHeight="1">
      <c r="A21" s="124" t="s">
        <v>16</v>
      </c>
      <c r="B21" s="327" t="s">
        <v>432</v>
      </c>
      <c r="C21" s="327"/>
      <c r="D21" s="327"/>
      <c r="E21" s="120"/>
      <c r="F21" s="120"/>
      <c r="G21" s="125"/>
      <c r="H21" s="127"/>
      <c r="I21" s="207" t="s">
        <v>10</v>
      </c>
      <c r="J21" s="188" t="s">
        <v>430</v>
      </c>
    </row>
    <row r="22" spans="1:10" ht="20.25" customHeight="1">
      <c r="A22" s="334" t="s">
        <v>379</v>
      </c>
      <c r="B22" s="332"/>
      <c r="C22" s="332"/>
      <c r="D22" s="332"/>
      <c r="E22" s="120"/>
      <c r="F22" s="120"/>
      <c r="G22" s="332" t="s">
        <v>206</v>
      </c>
      <c r="H22" s="335"/>
      <c r="I22" s="336"/>
      <c r="J22" s="208"/>
    </row>
    <row r="23" spans="1:10" ht="18.75" customHeight="1">
      <c r="A23" s="124" t="s">
        <v>20</v>
      </c>
      <c r="B23" s="327" t="s">
        <v>433</v>
      </c>
      <c r="C23" s="327"/>
      <c r="D23" s="327"/>
      <c r="E23" s="120"/>
      <c r="F23" s="120"/>
      <c r="G23" s="332" t="s">
        <v>207</v>
      </c>
      <c r="H23" s="335"/>
      <c r="I23" s="336"/>
      <c r="J23" s="208"/>
    </row>
    <row r="24" spans="1:10" ht="18" customHeight="1">
      <c r="A24" s="340" t="s">
        <v>434</v>
      </c>
      <c r="B24" s="327"/>
      <c r="C24" s="327"/>
      <c r="D24" s="327"/>
      <c r="E24" s="120"/>
      <c r="F24" s="120"/>
      <c r="G24" s="125"/>
      <c r="H24" s="125"/>
      <c r="I24" s="125"/>
      <c r="J24" s="126"/>
    </row>
    <row r="25" spans="1:10" ht="18.75" customHeight="1">
      <c r="A25" s="124" t="s">
        <v>11</v>
      </c>
      <c r="B25" s="327" t="s">
        <v>464</v>
      </c>
      <c r="C25" s="327"/>
      <c r="D25" s="327"/>
      <c r="E25" s="327"/>
      <c r="F25" s="189"/>
      <c r="G25" s="210"/>
      <c r="H25" s="121"/>
      <c r="I25" s="121"/>
      <c r="J25" s="122"/>
    </row>
    <row r="26" spans="1:10" ht="18" customHeight="1">
      <c r="A26" s="124" t="s">
        <v>12</v>
      </c>
      <c r="B26" s="327" t="s">
        <v>529</v>
      </c>
      <c r="C26" s="327"/>
      <c r="D26" s="327"/>
      <c r="E26" s="120"/>
      <c r="F26" s="120"/>
      <c r="G26" s="125"/>
      <c r="H26" s="125"/>
      <c r="I26" s="125"/>
      <c r="J26" s="126"/>
    </row>
    <row r="27" spans="1:10" ht="21" customHeight="1">
      <c r="A27" s="124" t="s">
        <v>13</v>
      </c>
      <c r="B27" s="327" t="s">
        <v>435</v>
      </c>
      <c r="C27" s="327"/>
      <c r="D27" s="327"/>
      <c r="E27" s="120"/>
      <c r="F27" s="120"/>
      <c r="G27" s="121"/>
      <c r="H27" s="121"/>
      <c r="I27" s="121"/>
      <c r="J27" s="122"/>
    </row>
    <row r="28" spans="1:10" ht="20.100000000000001" customHeight="1">
      <c r="B28" s="2"/>
      <c r="C28" s="2"/>
      <c r="D28" s="2"/>
    </row>
    <row r="29" spans="1:10" ht="19.5" customHeight="1">
      <c r="A29" s="66"/>
      <c r="B29" s="2"/>
      <c r="D29" s="2"/>
    </row>
    <row r="30" spans="1:10">
      <c r="A30" s="337" t="s">
        <v>530</v>
      </c>
      <c r="B30" s="337"/>
      <c r="C30" s="337"/>
      <c r="D30" s="337"/>
      <c r="E30" s="337"/>
      <c r="F30" s="337"/>
      <c r="G30" s="337"/>
      <c r="H30" s="337"/>
      <c r="I30" s="337"/>
      <c r="J30" s="337"/>
    </row>
    <row r="31" spans="1:10" ht="9" customHeight="1">
      <c r="A31" s="190"/>
      <c r="B31" s="190"/>
      <c r="C31" s="190"/>
      <c r="D31" s="190"/>
      <c r="E31" s="190"/>
      <c r="F31" s="190"/>
      <c r="G31" s="190"/>
      <c r="H31" s="190"/>
      <c r="I31" s="190"/>
      <c r="J31" s="190"/>
    </row>
    <row r="32" spans="1:10">
      <c r="A32" s="337" t="s">
        <v>220</v>
      </c>
      <c r="B32" s="337"/>
      <c r="C32" s="337"/>
      <c r="D32" s="337"/>
      <c r="E32" s="337"/>
      <c r="F32" s="337"/>
      <c r="G32" s="337"/>
      <c r="H32" s="337"/>
      <c r="I32" s="337"/>
      <c r="J32" s="337"/>
    </row>
    <row r="33" spans="1:10" ht="12" customHeight="1">
      <c r="A33" s="191"/>
      <c r="B33" s="192"/>
      <c r="C33" s="193"/>
      <c r="D33" s="192"/>
      <c r="E33" s="192"/>
      <c r="F33" s="192"/>
      <c r="G33" s="192"/>
      <c r="H33" s="192"/>
      <c r="I33" s="192"/>
      <c r="J33" s="192"/>
    </row>
    <row r="34" spans="1:10" ht="41.25" customHeight="1">
      <c r="A34" s="314" t="s">
        <v>272</v>
      </c>
      <c r="B34" s="315" t="s">
        <v>18</v>
      </c>
      <c r="C34" s="322" t="s">
        <v>31</v>
      </c>
      <c r="D34" s="322" t="s">
        <v>39</v>
      </c>
      <c r="E34" s="315" t="s">
        <v>149</v>
      </c>
      <c r="F34" s="341" t="s">
        <v>181</v>
      </c>
      <c r="G34" s="316" t="s">
        <v>273</v>
      </c>
      <c r="H34" s="317"/>
      <c r="I34" s="317"/>
      <c r="J34" s="318"/>
    </row>
    <row r="35" spans="1:10" ht="54.75" customHeight="1">
      <c r="A35" s="314"/>
      <c r="B35" s="315"/>
      <c r="C35" s="323"/>
      <c r="D35" s="323"/>
      <c r="E35" s="315"/>
      <c r="F35" s="342"/>
      <c r="G35" s="97" t="s">
        <v>265</v>
      </c>
      <c r="H35" s="97" t="s">
        <v>266</v>
      </c>
      <c r="I35" s="97" t="s">
        <v>267</v>
      </c>
      <c r="J35" s="97" t="s">
        <v>354</v>
      </c>
    </row>
    <row r="36" spans="1:10" ht="20.100000000000001" customHeight="1">
      <c r="A36" s="96">
        <v>1</v>
      </c>
      <c r="B36" s="97">
        <v>2</v>
      </c>
      <c r="C36" s="97">
        <v>3</v>
      </c>
      <c r="D36" s="97">
        <v>4</v>
      </c>
      <c r="E36" s="97">
        <v>5</v>
      </c>
      <c r="F36" s="97">
        <v>6</v>
      </c>
      <c r="G36" s="97">
        <v>7</v>
      </c>
      <c r="H36" s="97">
        <v>8</v>
      </c>
      <c r="I36" s="97">
        <v>9</v>
      </c>
      <c r="J36" s="97">
        <v>10</v>
      </c>
    </row>
    <row r="37" spans="1:10" ht="24.95" customHeight="1">
      <c r="A37" s="319" t="s">
        <v>108</v>
      </c>
      <c r="B37" s="319"/>
      <c r="C37" s="319"/>
      <c r="D37" s="319"/>
      <c r="E37" s="319"/>
      <c r="F37" s="319"/>
      <c r="G37" s="319"/>
      <c r="H37" s="319"/>
      <c r="I37" s="319"/>
      <c r="J37" s="319"/>
    </row>
    <row r="38" spans="1:10" ht="37.5">
      <c r="A38" s="98" t="s">
        <v>221</v>
      </c>
      <c r="B38" s="96">
        <f>'I. Фін результат'!B7</f>
        <v>1000</v>
      </c>
      <c r="C38" s="180">
        <f>'I. Фін результат'!C7</f>
        <v>1866</v>
      </c>
      <c r="D38" s="180">
        <f>'I. Фін результат'!D7</f>
        <v>1835</v>
      </c>
      <c r="E38" s="180">
        <f>'I. Фін результат'!I7</f>
        <v>1830</v>
      </c>
      <c r="F38" s="180">
        <f>'I. Фін результат'!E7</f>
        <v>1810</v>
      </c>
      <c r="G38" s="194">
        <f>ROUND(E38*105.5%,0)</f>
        <v>1931</v>
      </c>
      <c r="H38" s="194">
        <f>ROUND(G38*105.2%,0)</f>
        <v>2031</v>
      </c>
      <c r="I38" s="194">
        <f t="shared" ref="I38:J38" si="0">ROUND(H38*105.2%,0)</f>
        <v>2137</v>
      </c>
      <c r="J38" s="194">
        <f t="shared" si="0"/>
        <v>2248</v>
      </c>
    </row>
    <row r="39" spans="1:10" ht="37.5">
      <c r="A39" s="98" t="s">
        <v>189</v>
      </c>
      <c r="B39" s="96">
        <f>'I. Фін результат'!B9</f>
        <v>1010</v>
      </c>
      <c r="C39" s="180">
        <f>'I. Фін результат'!C9</f>
        <v>5164</v>
      </c>
      <c r="D39" s="180">
        <f>'I. Фін результат'!D9</f>
        <v>5943</v>
      </c>
      <c r="E39" s="180">
        <f>'I. Фін результат'!I9</f>
        <v>5325.5385234999994</v>
      </c>
      <c r="F39" s="180">
        <f>'I. Фін результат'!E9</f>
        <v>5943</v>
      </c>
      <c r="G39" s="194">
        <f>ROUND(E39*105.5%,0)</f>
        <v>5618</v>
      </c>
      <c r="H39" s="194">
        <f>ROUND(G39*105.2%,0)</f>
        <v>5910</v>
      </c>
      <c r="I39" s="194">
        <f t="shared" ref="I39:J41" si="1">ROUND(H39*105.2%,0)</f>
        <v>6217</v>
      </c>
      <c r="J39" s="194">
        <f t="shared" si="1"/>
        <v>6540</v>
      </c>
    </row>
    <row r="40" spans="1:10" ht="20.100000000000001" customHeight="1">
      <c r="A40" s="100" t="s">
        <v>304</v>
      </c>
      <c r="B40" s="96">
        <f>'I. Фін результат'!B19</f>
        <v>1020</v>
      </c>
      <c r="C40" s="180">
        <f>'I. Фін результат'!C19</f>
        <v>-3298</v>
      </c>
      <c r="D40" s="180">
        <f>'I. Фін результат'!D19</f>
        <v>-4108</v>
      </c>
      <c r="E40" s="180">
        <f>'I. Фін результат'!I19</f>
        <v>-3495.5385234999994</v>
      </c>
      <c r="F40" s="180">
        <f>'I. Фін результат'!E19</f>
        <v>-4133</v>
      </c>
      <c r="G40" s="180">
        <f>G38-G39</f>
        <v>-3687</v>
      </c>
      <c r="H40" s="180">
        <f>H38-H39</f>
        <v>-3879</v>
      </c>
      <c r="I40" s="180">
        <f>I38-I39</f>
        <v>-4080</v>
      </c>
      <c r="J40" s="180">
        <f>J38-J39</f>
        <v>-4292</v>
      </c>
    </row>
    <row r="41" spans="1:10" ht="20.100000000000001" customHeight="1">
      <c r="A41" s="98" t="s">
        <v>154</v>
      </c>
      <c r="B41" s="96">
        <f>'I. Фін результат'!B24</f>
        <v>1040</v>
      </c>
      <c r="C41" s="180">
        <f>'I. Фін результат'!C24</f>
        <v>2940</v>
      </c>
      <c r="D41" s="180">
        <f>'I. Фін результат'!D24</f>
        <v>1639</v>
      </c>
      <c r="E41" s="180">
        <f>'I. Фін результат'!I24</f>
        <v>2153.95456255</v>
      </c>
      <c r="F41" s="180">
        <f>'I. Фін результат'!E24</f>
        <v>1644</v>
      </c>
      <c r="G41" s="194">
        <f>ROUND(E41*105.5%,0)</f>
        <v>2272</v>
      </c>
      <c r="H41" s="194">
        <f>ROUND(G41*105.2%,0)</f>
        <v>2390</v>
      </c>
      <c r="I41" s="194">
        <f t="shared" si="1"/>
        <v>2514</v>
      </c>
      <c r="J41" s="194">
        <f t="shared" si="1"/>
        <v>2645</v>
      </c>
    </row>
    <row r="42" spans="1:10" ht="20.100000000000001" customHeight="1">
      <c r="A42" s="98" t="s">
        <v>151</v>
      </c>
      <c r="B42" s="96">
        <f>'I. Фін результат'!B49</f>
        <v>1070</v>
      </c>
      <c r="C42" s="180">
        <f>'I. Фін результат'!C49</f>
        <v>0</v>
      </c>
      <c r="D42" s="180">
        <f>'I. Фін результат'!D49</f>
        <v>0</v>
      </c>
      <c r="E42" s="180">
        <f>'I. Фін результат'!I49</f>
        <v>0</v>
      </c>
      <c r="F42" s="180">
        <f>'I. Фін результат'!E49</f>
        <v>0</v>
      </c>
      <c r="G42" s="194">
        <f t="shared" ref="G42:G43" si="2">ROUND(E42*105.5%,0)</f>
        <v>0</v>
      </c>
      <c r="H42" s="194">
        <f t="shared" ref="H42:J42" si="3">ROUND(G42*105.2%,0)</f>
        <v>0</v>
      </c>
      <c r="I42" s="194">
        <f t="shared" si="3"/>
        <v>0</v>
      </c>
      <c r="J42" s="194">
        <f t="shared" si="3"/>
        <v>0</v>
      </c>
    </row>
    <row r="43" spans="1:10" ht="20.100000000000001" customHeight="1">
      <c r="A43" s="98" t="s">
        <v>155</v>
      </c>
      <c r="B43" s="96">
        <f>'I. Фін результат'!B84</f>
        <v>1300</v>
      </c>
      <c r="C43" s="180">
        <f>'I. Фін результат'!C84</f>
        <v>4886</v>
      </c>
      <c r="D43" s="180">
        <f>'I. Фін результат'!D84</f>
        <v>5821</v>
      </c>
      <c r="E43" s="180">
        <f>'I. Фін результат'!I84</f>
        <v>5692</v>
      </c>
      <c r="F43" s="180">
        <f>'I. Фін результат'!E84</f>
        <v>5299</v>
      </c>
      <c r="G43" s="194">
        <f t="shared" si="2"/>
        <v>6005</v>
      </c>
      <c r="H43" s="194">
        <f t="shared" ref="H43:J45" si="4">ROUND(G43*105.2%,0)</f>
        <v>6317</v>
      </c>
      <c r="I43" s="194">
        <f t="shared" si="4"/>
        <v>6645</v>
      </c>
      <c r="J43" s="194">
        <f t="shared" si="4"/>
        <v>6991</v>
      </c>
    </row>
    <row r="44" spans="1:10" ht="37.5">
      <c r="A44" s="101" t="s">
        <v>4</v>
      </c>
      <c r="B44" s="96">
        <f>'I. Фін результат'!B65</f>
        <v>1100</v>
      </c>
      <c r="C44" s="180">
        <f>'I. Фін результат'!C65</f>
        <v>-1352</v>
      </c>
      <c r="D44" s="180">
        <f>'I. Фін результат'!D65</f>
        <v>74</v>
      </c>
      <c r="E44" s="180">
        <f>'I. Фін результат'!I65</f>
        <v>42.50691395000058</v>
      </c>
      <c r="F44" s="180">
        <f>'I. Фін результат'!E65</f>
        <v>-478</v>
      </c>
      <c r="G44" s="180">
        <f>G40-G41-G42+G43</f>
        <v>46</v>
      </c>
      <c r="H44" s="180">
        <f>H40-H41-H42+H43</f>
        <v>48</v>
      </c>
      <c r="I44" s="180">
        <f>I40-I41-I42+I43</f>
        <v>51</v>
      </c>
      <c r="J44" s="180">
        <f>J40-J41-J42+J43</f>
        <v>54</v>
      </c>
    </row>
    <row r="45" spans="1:10" ht="20.100000000000001" customHeight="1">
      <c r="A45" s="101" t="s">
        <v>156</v>
      </c>
      <c r="B45" s="96">
        <f>'I. Фін результат'!B95</f>
        <v>1410</v>
      </c>
      <c r="C45" s="180">
        <f>'I. Фін результат'!C95</f>
        <v>-1084</v>
      </c>
      <c r="D45" s="180">
        <f>'I. Фін результат'!D95</f>
        <v>367</v>
      </c>
      <c r="E45" s="180">
        <f>'I. Фін результат'!I95</f>
        <v>335.50691395000058</v>
      </c>
      <c r="F45" s="180">
        <f>'I. Фін результат'!E95</f>
        <v>-179</v>
      </c>
      <c r="G45" s="194">
        <f t="shared" ref="G45" si="5">ROUND(E45*105.5%,0)</f>
        <v>354</v>
      </c>
      <c r="H45" s="194">
        <f t="shared" si="4"/>
        <v>372</v>
      </c>
      <c r="I45" s="194">
        <f t="shared" si="4"/>
        <v>391</v>
      </c>
      <c r="J45" s="194">
        <f t="shared" si="4"/>
        <v>411</v>
      </c>
    </row>
    <row r="46" spans="1:10" ht="20.100000000000001" customHeight="1">
      <c r="A46" s="102" t="s">
        <v>243</v>
      </c>
      <c r="B46" s="96">
        <f>' V. Коефіцієнти'!B8</f>
        <v>5010</v>
      </c>
      <c r="C46" s="180">
        <f>' V. Коефіцієнти'!D8</f>
        <v>-58.09217577706324</v>
      </c>
      <c r="D46" s="180">
        <f>D45*100/D38</f>
        <v>20</v>
      </c>
      <c r="E46" s="180">
        <f>' V. Коефіцієнти'!G8</f>
        <v>18.333711144808778</v>
      </c>
      <c r="F46" s="180">
        <f>' V. Коефіцієнти'!F8</f>
        <v>-9.88950276243094</v>
      </c>
      <c r="G46" s="194">
        <f t="shared" ref="G46:G48" si="6">ROUND(E46*105.5%,0)</f>
        <v>19</v>
      </c>
      <c r="H46" s="194">
        <f t="shared" ref="H46:J46" si="7">ROUND(G46*105.2%,0)</f>
        <v>20</v>
      </c>
      <c r="I46" s="194">
        <f t="shared" si="7"/>
        <v>21</v>
      </c>
      <c r="J46" s="194">
        <f t="shared" si="7"/>
        <v>22</v>
      </c>
    </row>
    <row r="47" spans="1:10" ht="37.5">
      <c r="A47" s="102" t="s">
        <v>157</v>
      </c>
      <c r="B47" s="96">
        <f>'I. Фін результат'!B85</f>
        <v>1310</v>
      </c>
      <c r="C47" s="180">
        <f>'I. Фін результат'!C85</f>
        <v>0</v>
      </c>
      <c r="D47" s="180">
        <f>'I. Фін результат'!D85</f>
        <v>0</v>
      </c>
      <c r="E47" s="180">
        <f>'I. Фін результат'!I85</f>
        <v>0</v>
      </c>
      <c r="F47" s="180">
        <f>'I. Фін результат'!E85</f>
        <v>0</v>
      </c>
      <c r="G47" s="194">
        <f t="shared" si="6"/>
        <v>0</v>
      </c>
      <c r="H47" s="194">
        <f t="shared" ref="H47:J47" si="8">ROUND(G47*105.2%,0)</f>
        <v>0</v>
      </c>
      <c r="I47" s="194">
        <f t="shared" si="8"/>
        <v>0</v>
      </c>
      <c r="J47" s="194">
        <f t="shared" si="8"/>
        <v>0</v>
      </c>
    </row>
    <row r="48" spans="1:10" ht="20.100000000000001" customHeight="1">
      <c r="A48" s="98" t="s">
        <v>248</v>
      </c>
      <c r="B48" s="96">
        <f>'I. Фін результат'!B86</f>
        <v>1320</v>
      </c>
      <c r="C48" s="180">
        <f>'I. Фін результат'!C86</f>
        <v>1409</v>
      </c>
      <c r="D48" s="180">
        <f>'I. Фін результат'!D86</f>
        <v>0</v>
      </c>
      <c r="E48" s="180">
        <f>'I. Фін результат'!I86</f>
        <v>0</v>
      </c>
      <c r="F48" s="180">
        <f>'I. Фін результат'!E86</f>
        <v>524</v>
      </c>
      <c r="G48" s="194">
        <f t="shared" si="6"/>
        <v>0</v>
      </c>
      <c r="H48" s="194">
        <f t="shared" ref="H48:J48" si="9">ROUND(G48*105.2%,0)</f>
        <v>0</v>
      </c>
      <c r="I48" s="194">
        <f t="shared" si="9"/>
        <v>0</v>
      </c>
      <c r="J48" s="194">
        <f t="shared" si="9"/>
        <v>0</v>
      </c>
    </row>
    <row r="49" spans="1:10" ht="37.5">
      <c r="A49" s="101" t="s">
        <v>106</v>
      </c>
      <c r="B49" s="96">
        <f>'I. Фін результат'!B76</f>
        <v>1170</v>
      </c>
      <c r="C49" s="180">
        <f>'I. Фін результат'!C76</f>
        <v>57</v>
      </c>
      <c r="D49" s="180">
        <f>'I. Фін результат'!D76</f>
        <v>74</v>
      </c>
      <c r="E49" s="180">
        <f>'I. Фін результат'!I76</f>
        <v>42.50691395000058</v>
      </c>
      <c r="F49" s="180">
        <f>'I. Фін результат'!E76</f>
        <v>46</v>
      </c>
      <c r="G49" s="180">
        <f>G44+G47+G48</f>
        <v>46</v>
      </c>
      <c r="H49" s="180">
        <f>H44+H47+H48</f>
        <v>48</v>
      </c>
      <c r="I49" s="180">
        <f>I44+I47+I48</f>
        <v>51</v>
      </c>
      <c r="J49" s="180">
        <f>J44+J47+J48</f>
        <v>54</v>
      </c>
    </row>
    <row r="50" spans="1:10" ht="20.100000000000001" customHeight="1">
      <c r="A50" s="102" t="s">
        <v>152</v>
      </c>
      <c r="B50" s="96">
        <f>'I. Фін результат'!B77</f>
        <v>1180</v>
      </c>
      <c r="C50" s="180">
        <f>'I. Фін результат'!C77</f>
        <v>10.26</v>
      </c>
      <c r="D50" s="180">
        <f>'I. Фін результат'!D77</f>
        <v>13.32</v>
      </c>
      <c r="E50" s="180">
        <f>'I. Фін результат'!I77</f>
        <v>8</v>
      </c>
      <c r="F50" s="180">
        <f>'I. Фін результат'!E77</f>
        <v>8.2799999999999994</v>
      </c>
      <c r="G50" s="194">
        <f>ROUND(G49*18%,0)</f>
        <v>8</v>
      </c>
      <c r="H50" s="194">
        <f t="shared" ref="H50:J50" si="10">ROUND(H49*18%,0)</f>
        <v>9</v>
      </c>
      <c r="I50" s="194">
        <f t="shared" si="10"/>
        <v>9</v>
      </c>
      <c r="J50" s="194">
        <f t="shared" si="10"/>
        <v>10</v>
      </c>
    </row>
    <row r="51" spans="1:10" ht="20.100000000000001" customHeight="1">
      <c r="A51" s="101" t="s">
        <v>244</v>
      </c>
      <c r="B51" s="96">
        <f>'I. Фін результат'!B79</f>
        <v>1200</v>
      </c>
      <c r="C51" s="180">
        <f>'I. Фін результат'!C79</f>
        <v>46.74</v>
      </c>
      <c r="D51" s="180">
        <f>'I. Фін результат'!D79</f>
        <v>60.68</v>
      </c>
      <c r="E51" s="180">
        <f>'I. Фін результат'!I79</f>
        <v>34.50691395000058</v>
      </c>
      <c r="F51" s="180">
        <f>'I. Фін результат'!E79</f>
        <v>37.72</v>
      </c>
      <c r="G51" s="180">
        <f>G49-G50</f>
        <v>38</v>
      </c>
      <c r="H51" s="180">
        <f>H49-H50</f>
        <v>39</v>
      </c>
      <c r="I51" s="180">
        <f>I49-I50</f>
        <v>42</v>
      </c>
      <c r="J51" s="180">
        <f>J49-J50</f>
        <v>44</v>
      </c>
    </row>
    <row r="52" spans="1:10" ht="20.100000000000001" customHeight="1">
      <c r="A52" s="102" t="s">
        <v>245</v>
      </c>
      <c r="B52" s="96">
        <f>' V. Коефіцієнти'!B11</f>
        <v>5040</v>
      </c>
      <c r="C52" s="180">
        <f>' V. Коефіцієнти'!D11</f>
        <v>2.5048231511254019E-2</v>
      </c>
      <c r="D52" s="180">
        <f>D51*100/D38</f>
        <v>3.3068119891008174</v>
      </c>
      <c r="E52" s="180">
        <f>' V. Коефіцієнти'!G11</f>
        <v>1.8856237131147858E-2</v>
      </c>
      <c r="F52" s="180">
        <f>' V. Коефіцієнти'!F11</f>
        <v>2.0839779005524861E-2</v>
      </c>
      <c r="G52" s="180">
        <f>G51/G38</f>
        <v>1.9678922837907821E-2</v>
      </c>
      <c r="H52" s="180">
        <f>H51/H38</f>
        <v>1.9202363367799114E-2</v>
      </c>
      <c r="I52" s="180">
        <f>I51/I38</f>
        <v>1.9653720168460457E-2</v>
      </c>
      <c r="J52" s="180">
        <f>J51/J38</f>
        <v>1.9572953736654804E-2</v>
      </c>
    </row>
    <row r="53" spans="1:10" ht="24.95" customHeight="1">
      <c r="A53" s="321" t="s">
        <v>169</v>
      </c>
      <c r="B53" s="321"/>
      <c r="C53" s="321"/>
      <c r="D53" s="321"/>
      <c r="E53" s="321"/>
      <c r="F53" s="321"/>
      <c r="G53" s="321"/>
      <c r="H53" s="321"/>
      <c r="I53" s="321"/>
      <c r="J53" s="321"/>
    </row>
    <row r="54" spans="1:10" ht="37.5">
      <c r="A54" s="103" t="s">
        <v>359</v>
      </c>
      <c r="B54" s="96">
        <f>'ІІ. Розр. з бюджетом'!B19</f>
        <v>2100</v>
      </c>
      <c r="C54" s="180">
        <f>'ІІ. Розр. з бюджетом'!C19</f>
        <v>31</v>
      </c>
      <c r="D54" s="180">
        <f>'ІІ. Розр. з бюджетом'!D19</f>
        <v>500</v>
      </c>
      <c r="E54" s="180">
        <f>'ІІ. Розр. з бюджетом'!I19</f>
        <v>229</v>
      </c>
      <c r="F54" s="180">
        <f>'ІІ. Розр. з бюджетом'!E19</f>
        <v>25</v>
      </c>
      <c r="G54" s="194">
        <f>ROUND(G51*66%,0)</f>
        <v>25</v>
      </c>
      <c r="H54" s="194">
        <f t="shared" ref="H54:J54" si="11">ROUND(H51*66%,0)</f>
        <v>26</v>
      </c>
      <c r="I54" s="194">
        <f t="shared" si="11"/>
        <v>28</v>
      </c>
      <c r="J54" s="194">
        <f t="shared" si="11"/>
        <v>29</v>
      </c>
    </row>
    <row r="55" spans="1:10" ht="20.100000000000001" customHeight="1">
      <c r="A55" s="104" t="s">
        <v>168</v>
      </c>
      <c r="B55" s="96">
        <f>'ІІ. Розр. з бюджетом'!B22</f>
        <v>2110</v>
      </c>
      <c r="C55" s="180">
        <f>'ІІ. Розр. з бюджетом'!C22</f>
        <v>10.26</v>
      </c>
      <c r="D55" s="180">
        <f>'ІІ. Розр. з бюджетом'!D22</f>
        <v>13.32</v>
      </c>
      <c r="E55" s="180">
        <f>'ІІ. Розр. з бюджетом'!I22</f>
        <v>8</v>
      </c>
      <c r="F55" s="180">
        <f>'ІІ. Розр. з бюджетом'!E22</f>
        <v>8.2799999999999994</v>
      </c>
      <c r="G55" s="194">
        <f>G50</f>
        <v>8</v>
      </c>
      <c r="H55" s="194">
        <f t="shared" ref="H55:J55" si="12">H50</f>
        <v>9</v>
      </c>
      <c r="I55" s="194">
        <f t="shared" si="12"/>
        <v>9</v>
      </c>
      <c r="J55" s="194">
        <f t="shared" si="12"/>
        <v>10</v>
      </c>
    </row>
    <row r="56" spans="1:10" ht="56.25">
      <c r="A56" s="104" t="s">
        <v>355</v>
      </c>
      <c r="B56" s="96" t="s">
        <v>246</v>
      </c>
      <c r="C56" s="180">
        <f>SUM('ІІ. Розр. з бюджетом'!C23,'ІІ. Розр. з бюджетом'!C24)</f>
        <v>68</v>
      </c>
      <c r="D56" s="180">
        <f>SUM('ІІ. Розр. з бюджетом'!D23,'ІІ. Розр. з бюджетом'!D24)</f>
        <v>89</v>
      </c>
      <c r="E56" s="180">
        <f>'ІІ. Розр. з бюджетом'!I23+'ІІ. Розр. з бюджетом'!I24</f>
        <v>89</v>
      </c>
      <c r="F56" s="180">
        <f>SUM('ІІ. Розр. з бюджетом'!E23,'ІІ. Розр. з бюджетом'!E24)</f>
        <v>118</v>
      </c>
      <c r="G56" s="194">
        <f t="shared" ref="G56" si="13">ROUND(E56*105.5%,0)</f>
        <v>94</v>
      </c>
      <c r="H56" s="194">
        <f t="shared" ref="H56:J56" si="14">ROUND(G56*105.2%,0)</f>
        <v>99</v>
      </c>
      <c r="I56" s="194">
        <f t="shared" si="14"/>
        <v>104</v>
      </c>
      <c r="J56" s="194">
        <f t="shared" si="14"/>
        <v>109</v>
      </c>
    </row>
    <row r="57" spans="1:10" ht="56.25">
      <c r="A57" s="103" t="s">
        <v>360</v>
      </c>
      <c r="B57" s="96">
        <f>'ІІ. Розр. з бюджетом'!B25</f>
        <v>2140</v>
      </c>
      <c r="C57" s="180">
        <f>'ІІ. Розр. з бюджетом'!C25</f>
        <v>753</v>
      </c>
      <c r="D57" s="180">
        <f>'ІІ. Розр. з бюджетом'!D25</f>
        <v>893</v>
      </c>
      <c r="E57" s="180">
        <f>'ІІ. Розр. з бюджетом'!I25</f>
        <v>887</v>
      </c>
      <c r="F57" s="180">
        <f>'ІІ. Розр. з бюджетом'!E25</f>
        <v>893</v>
      </c>
      <c r="G57" s="194">
        <f t="shared" ref="G57:G58" si="15">ROUND(E57*105.5%,0)</f>
        <v>936</v>
      </c>
      <c r="H57" s="194">
        <f t="shared" ref="H57:J57" si="16">ROUND(G57*105.2%,0)</f>
        <v>985</v>
      </c>
      <c r="I57" s="194">
        <f t="shared" si="16"/>
        <v>1036</v>
      </c>
      <c r="J57" s="194">
        <f t="shared" si="16"/>
        <v>1090</v>
      </c>
    </row>
    <row r="58" spans="1:10" ht="39" customHeight="1">
      <c r="A58" s="103" t="s">
        <v>90</v>
      </c>
      <c r="B58" s="96">
        <f>'ІІ. Розр. з бюджетом'!B37</f>
        <v>2150</v>
      </c>
      <c r="C58" s="180">
        <f>'ІІ. Розр. з бюджетом'!C37</f>
        <v>834</v>
      </c>
      <c r="D58" s="180">
        <f>'ІІ. Розр. з бюджетом'!D37</f>
        <v>952</v>
      </c>
      <c r="E58" s="180">
        <f>'ІІ. Розр. з бюджетом'!I37</f>
        <v>933.64888604999999</v>
      </c>
      <c r="F58" s="180">
        <f>'ІІ. Розр. з бюджетом'!E37</f>
        <v>952</v>
      </c>
      <c r="G58" s="194">
        <f t="shared" si="15"/>
        <v>985</v>
      </c>
      <c r="H58" s="194">
        <f t="shared" ref="H58:J58" si="17">ROUND(G58*105.2%,0)</f>
        <v>1036</v>
      </c>
      <c r="I58" s="194">
        <f t="shared" si="17"/>
        <v>1090</v>
      </c>
      <c r="J58" s="194">
        <f t="shared" si="17"/>
        <v>1147</v>
      </c>
    </row>
    <row r="59" spans="1:10" ht="20.100000000000001" customHeight="1">
      <c r="A59" s="105" t="s">
        <v>361</v>
      </c>
      <c r="B59" s="96">
        <f>'ІІ. Розр. з бюджетом'!B38</f>
        <v>2200</v>
      </c>
      <c r="C59" s="180">
        <f>'ІІ. Розр. з бюджетом'!C38</f>
        <v>1696.26</v>
      </c>
      <c r="D59" s="180">
        <f>'ІІ. Розр. з бюджетом'!D38</f>
        <v>2447.3200000000002</v>
      </c>
      <c r="E59" s="180">
        <f>'ІІ. Розр. з бюджетом'!I38</f>
        <v>2146.6488860499999</v>
      </c>
      <c r="F59" s="180">
        <f>'ІІ. Розр. з бюджетом'!E38</f>
        <v>1996.28</v>
      </c>
      <c r="G59" s="180">
        <f>SUM(G54:G58)</f>
        <v>2048</v>
      </c>
      <c r="H59" s="180">
        <f>SUM(H54:H58)</f>
        <v>2155</v>
      </c>
      <c r="I59" s="180">
        <f>SUM(I54:I58)</f>
        <v>2267</v>
      </c>
      <c r="J59" s="180">
        <f>SUM(J54:J58)</f>
        <v>2385</v>
      </c>
    </row>
    <row r="60" spans="1:10" ht="24.95" customHeight="1">
      <c r="A60" s="321" t="s">
        <v>167</v>
      </c>
      <c r="B60" s="321"/>
      <c r="C60" s="321"/>
      <c r="D60" s="321"/>
      <c r="E60" s="321"/>
      <c r="F60" s="321"/>
      <c r="G60" s="321"/>
      <c r="H60" s="321"/>
      <c r="I60" s="321"/>
      <c r="J60" s="321"/>
    </row>
    <row r="61" spans="1:10" ht="20.100000000000001" customHeight="1">
      <c r="A61" s="105" t="s">
        <v>158</v>
      </c>
      <c r="B61" s="96">
        <f>'ІІІ. Рух грош. коштів'!B77</f>
        <v>3600</v>
      </c>
      <c r="C61" s="180">
        <f>'ІІІ. Рух грош. коштів'!C77</f>
        <v>384</v>
      </c>
      <c r="D61" s="180">
        <f>'ІІІ. Рух грош. коштів'!D77</f>
        <v>747</v>
      </c>
      <c r="E61" s="180">
        <f>'ІІІ. Рух грош. коштів'!I77</f>
        <v>1617.7200000000003</v>
      </c>
      <c r="F61" s="180">
        <f>'ІІІ. Рух грош. коштів'!E77</f>
        <v>747</v>
      </c>
      <c r="G61" s="180">
        <f>E66</f>
        <v>1716.2269139500008</v>
      </c>
      <c r="H61" s="180">
        <f>G66</f>
        <v>1820.2269139500008</v>
      </c>
      <c r="I61" s="180">
        <f>H66</f>
        <v>1929.2269139500008</v>
      </c>
      <c r="J61" s="180">
        <f>I66</f>
        <v>2044.2269139500008</v>
      </c>
    </row>
    <row r="62" spans="1:10" ht="37.5">
      <c r="A62" s="103" t="s">
        <v>159</v>
      </c>
      <c r="B62" s="96">
        <f>'ІІІ. Рух грош. коштів'!B27</f>
        <v>3090</v>
      </c>
      <c r="C62" s="180">
        <f>'ІІІ. Рух грош. коштів'!C27</f>
        <v>393.74</v>
      </c>
      <c r="D62" s="180">
        <f>'ІІІ. Рух грош. коштів'!D27</f>
        <v>353.68</v>
      </c>
      <c r="E62" s="180">
        <f>'ІІІ. Рух грош. коштів'!I27</f>
        <v>327.50691395000058</v>
      </c>
      <c r="F62" s="180">
        <f>'ІІІ. Рух грош. коштів'!E27</f>
        <v>895.72</v>
      </c>
      <c r="G62" s="194">
        <f t="shared" ref="G62" si="18">ROUND(E62*105.5%,0)</f>
        <v>346</v>
      </c>
      <c r="H62" s="194">
        <f t="shared" ref="H62:J62" si="19">ROUND(G62*105.2%,0)</f>
        <v>364</v>
      </c>
      <c r="I62" s="194">
        <f t="shared" si="19"/>
        <v>383</v>
      </c>
      <c r="J62" s="194">
        <f t="shared" si="19"/>
        <v>403</v>
      </c>
    </row>
    <row r="63" spans="1:10" ht="37.5">
      <c r="A63" s="103" t="s">
        <v>249</v>
      </c>
      <c r="B63" s="96">
        <f>'ІІІ. Рух грош. коштів'!B47</f>
        <v>3320</v>
      </c>
      <c r="C63" s="180">
        <f>'ІІІ. Рух грош. коштів'!C47</f>
        <v>-12855</v>
      </c>
      <c r="D63" s="180">
        <f>'ІІІ. Рух грош. коштів'!D47</f>
        <v>-2500</v>
      </c>
      <c r="E63" s="180">
        <f>'ІІІ. Рух грош. коштів'!I47</f>
        <v>0</v>
      </c>
      <c r="F63" s="180">
        <f>'ІІІ. Рух грош. коштів'!E47</f>
        <v>-9645</v>
      </c>
      <c r="G63" s="194">
        <f t="shared" ref="G63:G65" si="20">ROUND(E63*105.5%,0)</f>
        <v>0</v>
      </c>
      <c r="H63" s="194">
        <f t="shared" ref="H63:I63" si="21">ROUND(G63*105.2%,0)</f>
        <v>0</v>
      </c>
      <c r="I63" s="194">
        <f t="shared" si="21"/>
        <v>0</v>
      </c>
      <c r="J63" s="194">
        <f>ROUND(I63*105.2%,0)+100</f>
        <v>100</v>
      </c>
    </row>
    <row r="64" spans="1:10" ht="37.5">
      <c r="A64" s="103" t="s">
        <v>160</v>
      </c>
      <c r="B64" s="96">
        <f>'ІІІ. Рух грош. коштів'!B75</f>
        <v>3580</v>
      </c>
      <c r="C64" s="180">
        <f>'ІІІ. Рух грош. коштів'!C75</f>
        <v>12824</v>
      </c>
      <c r="D64" s="180">
        <f>'ІІІ. Рух грош. коштів'!D75</f>
        <v>2000</v>
      </c>
      <c r="E64" s="180">
        <f>'ІІІ. Рух грош. коштів'!I75</f>
        <v>-229</v>
      </c>
      <c r="F64" s="180">
        <f>'ІІІ. Рух грош. коштів'!E75</f>
        <v>9620</v>
      </c>
      <c r="G64" s="194">
        <f t="shared" si="20"/>
        <v>-242</v>
      </c>
      <c r="H64" s="194">
        <f t="shared" ref="H64:J64" si="22">ROUND(G64*105.2%,0)</f>
        <v>-255</v>
      </c>
      <c r="I64" s="194">
        <f t="shared" si="22"/>
        <v>-268</v>
      </c>
      <c r="J64" s="194">
        <f t="shared" si="22"/>
        <v>-282</v>
      </c>
    </row>
    <row r="65" spans="1:10" ht="37.5">
      <c r="A65" s="103" t="s">
        <v>184</v>
      </c>
      <c r="B65" s="96">
        <f>'ІІІ. Рух грош. коштів'!B78</f>
        <v>3610</v>
      </c>
      <c r="C65" s="180">
        <f>'ІІІ. Рух грош. коштів'!C78</f>
        <v>0</v>
      </c>
      <c r="D65" s="180">
        <f>'ІІІ. Рух грош. коштів'!D78</f>
        <v>0</v>
      </c>
      <c r="E65" s="180">
        <f>'ІІІ. Рух грош. коштів'!I78</f>
        <v>0</v>
      </c>
      <c r="F65" s="180">
        <f>'ІІІ. Рух грош. коштів'!E78</f>
        <v>0</v>
      </c>
      <c r="G65" s="194">
        <f t="shared" si="20"/>
        <v>0</v>
      </c>
      <c r="H65" s="194">
        <f t="shared" ref="H65:J65" si="23">ROUND(G65*105.2%,0)</f>
        <v>0</v>
      </c>
      <c r="I65" s="194">
        <f t="shared" si="23"/>
        <v>0</v>
      </c>
      <c r="J65" s="194">
        <f t="shared" si="23"/>
        <v>0</v>
      </c>
    </row>
    <row r="66" spans="1:10" ht="20.100000000000001" customHeight="1">
      <c r="A66" s="105" t="s">
        <v>161</v>
      </c>
      <c r="B66" s="96">
        <f>'ІІІ. Рух грош. коштів'!B79</f>
        <v>3620</v>
      </c>
      <c r="C66" s="180">
        <f>'ІІІ. Рух грош. коштів'!C79</f>
        <v>746.73999999999978</v>
      </c>
      <c r="D66" s="180">
        <f>'ІІІ. Рух грош. коштів'!D79</f>
        <v>600.68000000000006</v>
      </c>
      <c r="E66" s="180">
        <f>'ІІІ. Рух грош. коштів'!I79</f>
        <v>1716.2269139500008</v>
      </c>
      <c r="F66" s="180">
        <f>'ІІІ. Рух грош. коштів'!E79</f>
        <v>1617.7200000000003</v>
      </c>
      <c r="G66" s="180">
        <f>SUM(G61:G65)</f>
        <v>1820.2269139500008</v>
      </c>
      <c r="H66" s="180">
        <f>SUM(H61:H65)</f>
        <v>1929.2269139500008</v>
      </c>
      <c r="I66" s="180">
        <f>SUM(I61:I65)</f>
        <v>2044.2269139500008</v>
      </c>
      <c r="J66" s="180">
        <f>SUM(J61:J65)</f>
        <v>2265.2269139500008</v>
      </c>
    </row>
    <row r="67" spans="1:10" ht="24.95" customHeight="1">
      <c r="A67" s="324" t="s">
        <v>228</v>
      </c>
      <c r="B67" s="325"/>
      <c r="C67" s="325"/>
      <c r="D67" s="325"/>
      <c r="E67" s="325"/>
      <c r="F67" s="325"/>
      <c r="G67" s="325"/>
      <c r="H67" s="325"/>
      <c r="I67" s="325"/>
      <c r="J67" s="326"/>
    </row>
    <row r="68" spans="1:10" ht="20.100000000000001" customHeight="1">
      <c r="A68" s="103" t="s">
        <v>227</v>
      </c>
      <c r="B68" s="96">
        <f>'IV. Кап. інвестиції'!B6</f>
        <v>4000</v>
      </c>
      <c r="C68" s="180">
        <f>'IV. Кап. інвестиції'!C6</f>
        <v>10713</v>
      </c>
      <c r="D68" s="180">
        <f>'IV. Кап. інвестиції'!D6</f>
        <v>2083</v>
      </c>
      <c r="E68" s="180">
        <f>'IV. Кап. інвестиції'!I6</f>
        <v>0</v>
      </c>
      <c r="F68" s="180">
        <f>'IV. Кап. інвестиції'!E6</f>
        <v>8038</v>
      </c>
      <c r="G68" s="194">
        <f t="shared" ref="G68" si="24">ROUND(E68*105.5%,0)</f>
        <v>0</v>
      </c>
      <c r="H68" s="194">
        <f t="shared" ref="H68:J68" si="25">ROUND(G68*105.2%,0)</f>
        <v>0</v>
      </c>
      <c r="I68" s="194">
        <f t="shared" si="25"/>
        <v>0</v>
      </c>
      <c r="J68" s="194">
        <f t="shared" si="25"/>
        <v>0</v>
      </c>
    </row>
    <row r="69" spans="1:10" ht="24.95" customHeight="1">
      <c r="A69" s="320" t="s">
        <v>231</v>
      </c>
      <c r="B69" s="320"/>
      <c r="C69" s="320"/>
      <c r="D69" s="320"/>
      <c r="E69" s="320"/>
      <c r="F69" s="320"/>
      <c r="G69" s="320"/>
      <c r="H69" s="320"/>
      <c r="I69" s="320"/>
      <c r="J69" s="320"/>
    </row>
    <row r="70" spans="1:10" ht="20.100000000000001" customHeight="1">
      <c r="A70" s="103" t="s">
        <v>187</v>
      </c>
      <c r="B70" s="96">
        <f>' V. Коефіцієнти'!B9</f>
        <v>5020</v>
      </c>
      <c r="C70" s="186">
        <f>' V. Коефіцієнти'!D9</f>
        <v>1.2334081013326296E-3</v>
      </c>
      <c r="D70" s="186">
        <v>4.0000000000000001E-3</v>
      </c>
      <c r="E70" s="186">
        <f>' V. Коефіцієнти'!G9</f>
        <v>2.033226284793666E-3</v>
      </c>
      <c r="F70" s="186">
        <f>' V. Коефіцієнти'!F9</f>
        <v>2.2068804118886027E-3</v>
      </c>
      <c r="G70" s="99" t="s">
        <v>240</v>
      </c>
      <c r="H70" s="99" t="s">
        <v>240</v>
      </c>
      <c r="I70" s="99" t="s">
        <v>240</v>
      </c>
      <c r="J70" s="99" t="s">
        <v>240</v>
      </c>
    </row>
    <row r="71" spans="1:10" ht="37.5">
      <c r="A71" s="103" t="s">
        <v>183</v>
      </c>
      <c r="B71" s="96">
        <f>' V. Коефіцієнти'!B10</f>
        <v>5030</v>
      </c>
      <c r="C71" s="186">
        <f>' V. Коефіцієнти'!D10</f>
        <v>7.7001647446457988E-2</v>
      </c>
      <c r="D71" s="186">
        <v>0.121</v>
      </c>
      <c r="E71" s="186">
        <f>' V. Коефіцієнти'!G10</f>
        <v>3.4386324070428756E-2</v>
      </c>
      <c r="F71" s="186">
        <f>' V. Коефіцієнти'!F10</f>
        <v>3.148580968280467E-2</v>
      </c>
      <c r="G71" s="99" t="s">
        <v>240</v>
      </c>
      <c r="H71" s="99" t="s">
        <v>240</v>
      </c>
      <c r="I71" s="99" t="s">
        <v>240</v>
      </c>
      <c r="J71" s="99" t="s">
        <v>240</v>
      </c>
    </row>
    <row r="72" spans="1:10" ht="20.100000000000001" customHeight="1">
      <c r="A72" s="103" t="s">
        <v>247</v>
      </c>
      <c r="B72" s="96">
        <f>' V. Коефіцієнти'!B14</f>
        <v>5110</v>
      </c>
      <c r="C72" s="186">
        <f>' V. Коефіцієнти'!D14</f>
        <v>1.6278695558892942E-2</v>
      </c>
      <c r="D72" s="186">
        <v>3.3000000000000002E-2</v>
      </c>
      <c r="E72" s="186">
        <f>' V. Коефіцієнти'!G14</f>
        <v>6.284487186560625E-2</v>
      </c>
      <c r="F72" s="186">
        <f>' V. Коефіцієнти'!F14</f>
        <v>7.5374355102554427E-2</v>
      </c>
      <c r="G72" s="99" t="s">
        <v>240</v>
      </c>
      <c r="H72" s="99" t="s">
        <v>240</v>
      </c>
      <c r="I72" s="99" t="s">
        <v>240</v>
      </c>
      <c r="J72" s="99" t="s">
        <v>240</v>
      </c>
    </row>
    <row r="73" spans="1:10" ht="24.95" customHeight="1">
      <c r="A73" s="321" t="s">
        <v>230</v>
      </c>
      <c r="B73" s="321"/>
      <c r="C73" s="321"/>
      <c r="D73" s="321"/>
      <c r="E73" s="321"/>
      <c r="F73" s="321"/>
      <c r="G73" s="321"/>
      <c r="H73" s="321"/>
      <c r="I73" s="321"/>
      <c r="J73" s="321"/>
    </row>
    <row r="74" spans="1:10" ht="20.100000000000001" customHeight="1">
      <c r="A74" s="103" t="s">
        <v>162</v>
      </c>
      <c r="B74" s="96">
        <v>6000</v>
      </c>
      <c r="C74" s="223">
        <v>35130</v>
      </c>
      <c r="D74" s="223">
        <v>17182</v>
      </c>
      <c r="E74" s="223">
        <f>F74+'IV. Кап. інвестиції'!I6-'I. Фін результат'!I102</f>
        <v>15099</v>
      </c>
      <c r="F74" s="223">
        <v>15392</v>
      </c>
      <c r="G74" s="106" t="s">
        <v>240</v>
      </c>
      <c r="H74" s="106" t="s">
        <v>240</v>
      </c>
      <c r="I74" s="106" t="s">
        <v>240</v>
      </c>
      <c r="J74" s="106" t="s">
        <v>240</v>
      </c>
    </row>
    <row r="75" spans="1:10" ht="20.100000000000001" customHeight="1">
      <c r="A75" s="103" t="s">
        <v>163</v>
      </c>
      <c r="B75" s="96">
        <v>6010</v>
      </c>
      <c r="C75" s="223">
        <v>2765</v>
      </c>
      <c r="D75" s="223">
        <v>1369</v>
      </c>
      <c r="E75" s="223">
        <f>E83+E80-E74</f>
        <v>1872.506913950001</v>
      </c>
      <c r="F75" s="223">
        <v>1700</v>
      </c>
      <c r="G75" s="106" t="s">
        <v>240</v>
      </c>
      <c r="H75" s="106" t="s">
        <v>240</v>
      </c>
      <c r="I75" s="106" t="s">
        <v>240</v>
      </c>
      <c r="J75" s="106" t="s">
        <v>240</v>
      </c>
    </row>
    <row r="76" spans="1:10" ht="37.5">
      <c r="A76" s="103" t="s">
        <v>274</v>
      </c>
      <c r="B76" s="96">
        <v>6020</v>
      </c>
      <c r="C76" s="223">
        <f>'ІІІ. Рух грош. коштів'!C79</f>
        <v>746.73999999999978</v>
      </c>
      <c r="D76" s="223">
        <f>'ІІІ. Рух грош. коштів'!D79</f>
        <v>600.68000000000006</v>
      </c>
      <c r="E76" s="223">
        <f>'ІІІ. Рух грош. коштів'!I79</f>
        <v>1716.2269139500008</v>
      </c>
      <c r="F76" s="223">
        <f>'ІІІ. Рух грош. коштів'!E79</f>
        <v>1617.7200000000003</v>
      </c>
      <c r="G76" s="106" t="s">
        <v>240</v>
      </c>
      <c r="H76" s="106" t="s">
        <v>240</v>
      </c>
      <c r="I76" s="106" t="s">
        <v>240</v>
      </c>
      <c r="J76" s="106" t="s">
        <v>240</v>
      </c>
    </row>
    <row r="77" spans="1:10" s="5" customFormat="1" ht="20.100000000000001" customHeight="1">
      <c r="A77" s="105" t="s">
        <v>278</v>
      </c>
      <c r="B77" s="96">
        <v>6030</v>
      </c>
      <c r="C77" s="223">
        <f>C74+C75</f>
        <v>37895</v>
      </c>
      <c r="D77" s="223">
        <f>D74+D75</f>
        <v>18551</v>
      </c>
      <c r="E77" s="223">
        <f>E74+E75</f>
        <v>16971.506913950001</v>
      </c>
      <c r="F77" s="223">
        <f>F74+F75</f>
        <v>17092</v>
      </c>
      <c r="G77" s="106" t="s">
        <v>240</v>
      </c>
      <c r="H77" s="106" t="s">
        <v>240</v>
      </c>
      <c r="I77" s="106" t="s">
        <v>240</v>
      </c>
      <c r="J77" s="106" t="s">
        <v>240</v>
      </c>
    </row>
    <row r="78" spans="1:10" ht="37.5">
      <c r="A78" s="103" t="s">
        <v>185</v>
      </c>
      <c r="B78" s="96">
        <v>6040</v>
      </c>
      <c r="C78" s="223">
        <v>0</v>
      </c>
      <c r="D78" s="223">
        <v>11820</v>
      </c>
      <c r="E78" s="223">
        <v>11820</v>
      </c>
      <c r="F78" s="223">
        <v>11820</v>
      </c>
      <c r="G78" s="106" t="s">
        <v>240</v>
      </c>
      <c r="H78" s="106" t="s">
        <v>240</v>
      </c>
      <c r="I78" s="106" t="s">
        <v>240</v>
      </c>
      <c r="J78" s="106" t="s">
        <v>240</v>
      </c>
    </row>
    <row r="79" spans="1:10" ht="20.100000000000001" customHeight="1">
      <c r="A79" s="103" t="s">
        <v>186</v>
      </c>
      <c r="B79" s="96">
        <v>6050</v>
      </c>
      <c r="C79" s="223">
        <v>37288</v>
      </c>
      <c r="D79" s="223">
        <v>4148</v>
      </c>
      <c r="E79" s="223">
        <v>4148</v>
      </c>
      <c r="F79" s="223">
        <v>4074</v>
      </c>
      <c r="G79" s="106" t="s">
        <v>240</v>
      </c>
      <c r="H79" s="106" t="s">
        <v>240</v>
      </c>
      <c r="I79" s="106" t="s">
        <v>240</v>
      </c>
      <c r="J79" s="106" t="s">
        <v>240</v>
      </c>
    </row>
    <row r="80" spans="1:10" s="5" customFormat="1" ht="37.5">
      <c r="A80" s="105" t="s">
        <v>277</v>
      </c>
      <c r="B80" s="96">
        <v>6060</v>
      </c>
      <c r="C80" s="223">
        <f>SUM(C78:C79)</f>
        <v>37288</v>
      </c>
      <c r="D80" s="223">
        <f>SUM(D78:D79)</f>
        <v>15968</v>
      </c>
      <c r="E80" s="223">
        <f>SUM(E78:E79)</f>
        <v>15968</v>
      </c>
      <c r="F80" s="223">
        <f>SUM(F78:F79)</f>
        <v>15894</v>
      </c>
      <c r="G80" s="106" t="s">
        <v>240</v>
      </c>
      <c r="H80" s="106" t="s">
        <v>240</v>
      </c>
      <c r="I80" s="106" t="s">
        <v>240</v>
      </c>
      <c r="J80" s="106" t="s">
        <v>240</v>
      </c>
    </row>
    <row r="81" spans="1:10" ht="44.25" customHeight="1">
      <c r="A81" s="103" t="s">
        <v>275</v>
      </c>
      <c r="B81" s="96">
        <v>6070</v>
      </c>
      <c r="C81" s="223">
        <v>0</v>
      </c>
      <c r="D81" s="223">
        <v>0</v>
      </c>
      <c r="E81" s="223">
        <v>0</v>
      </c>
      <c r="F81" s="223">
        <v>0</v>
      </c>
      <c r="G81" s="106" t="s">
        <v>240</v>
      </c>
      <c r="H81" s="106" t="s">
        <v>240</v>
      </c>
      <c r="I81" s="106" t="s">
        <v>240</v>
      </c>
      <c r="J81" s="106" t="s">
        <v>240</v>
      </c>
    </row>
    <row r="82" spans="1:10" ht="20.100000000000001" customHeight="1">
      <c r="A82" s="103" t="s">
        <v>276</v>
      </c>
      <c r="B82" s="96">
        <v>6080</v>
      </c>
      <c r="C82" s="223">
        <v>0</v>
      </c>
      <c r="D82" s="223">
        <v>0</v>
      </c>
      <c r="E82" s="223">
        <v>0</v>
      </c>
      <c r="F82" s="223">
        <v>0</v>
      </c>
      <c r="G82" s="106" t="s">
        <v>240</v>
      </c>
      <c r="H82" s="106" t="s">
        <v>240</v>
      </c>
      <c r="I82" s="106" t="s">
        <v>240</v>
      </c>
      <c r="J82" s="106" t="s">
        <v>240</v>
      </c>
    </row>
    <row r="83" spans="1:10" s="5" customFormat="1" ht="20.100000000000001" customHeight="1">
      <c r="A83" s="105" t="s">
        <v>164</v>
      </c>
      <c r="B83" s="96">
        <v>6090</v>
      </c>
      <c r="C83" s="223">
        <v>607</v>
      </c>
      <c r="D83" s="223">
        <v>2583</v>
      </c>
      <c r="E83" s="223">
        <f>F83+'I. Фін результат'!I80-'ІІ. Розр. з бюджетом'!I19+'ІІІ. Рух грош. коштів'!I46</f>
        <v>1003.5069139500006</v>
      </c>
      <c r="F83" s="223">
        <v>1198</v>
      </c>
      <c r="G83" s="106" t="s">
        <v>240</v>
      </c>
      <c r="H83" s="106" t="s">
        <v>240</v>
      </c>
      <c r="I83" s="106" t="s">
        <v>240</v>
      </c>
      <c r="J83" s="106" t="s">
        <v>240</v>
      </c>
    </row>
    <row r="84" spans="1:10" s="5" customFormat="1" ht="48" customHeight="1">
      <c r="A84" s="195"/>
      <c r="B84" s="196"/>
      <c r="C84" s="197"/>
      <c r="D84" s="198"/>
      <c r="E84" s="198"/>
      <c r="F84" s="198"/>
      <c r="G84" s="199"/>
      <c r="H84" s="199"/>
      <c r="I84" s="199"/>
      <c r="J84" s="199"/>
    </row>
    <row r="85" spans="1:10" ht="24.95" customHeight="1">
      <c r="A85" s="200"/>
      <c r="B85" s="196"/>
      <c r="C85" s="199"/>
      <c r="D85" s="201"/>
      <c r="E85" s="201"/>
      <c r="F85" s="201"/>
      <c r="G85" s="201"/>
      <c r="H85" s="201"/>
      <c r="I85" s="201"/>
      <c r="J85" s="201"/>
    </row>
    <row r="86" spans="1:10" ht="26.25" customHeight="1">
      <c r="A86" s="202" t="s">
        <v>403</v>
      </c>
      <c r="B86" s="203"/>
      <c r="C86" s="311" t="s">
        <v>404</v>
      </c>
      <c r="D86" s="312"/>
      <c r="E86" s="204"/>
      <c r="F86" s="204"/>
      <c r="G86" s="313" t="s">
        <v>402</v>
      </c>
      <c r="H86" s="313"/>
      <c r="I86" s="313"/>
      <c r="J86" s="191"/>
    </row>
    <row r="87" spans="1:10" s="1" customFormat="1" ht="21" customHeight="1">
      <c r="A87" s="205" t="s">
        <v>380</v>
      </c>
      <c r="B87" s="191"/>
      <c r="C87" s="338" t="s">
        <v>84</v>
      </c>
      <c r="D87" s="338"/>
      <c r="E87" s="192"/>
      <c r="F87" s="192"/>
      <c r="G87" s="339" t="s">
        <v>115</v>
      </c>
      <c r="H87" s="339"/>
      <c r="I87" s="339"/>
      <c r="J87" s="206">
        <v>1</v>
      </c>
    </row>
    <row r="89" spans="1:10">
      <c r="A89" s="50"/>
    </row>
    <row r="90" spans="1:10">
      <c r="A90" s="50"/>
    </row>
    <row r="91" spans="1:10">
      <c r="A91" s="50"/>
    </row>
    <row r="92" spans="1:10" s="25" customFormat="1">
      <c r="A92" s="50"/>
      <c r="E92" s="2"/>
      <c r="F92" s="2"/>
      <c r="G92" s="2"/>
      <c r="H92" s="2"/>
      <c r="I92" s="2"/>
      <c r="J92" s="2"/>
    </row>
    <row r="93" spans="1:10" s="25" customFormat="1">
      <c r="A93" s="50"/>
      <c r="E93" s="2"/>
      <c r="F93" s="2"/>
      <c r="G93" s="2"/>
      <c r="H93" s="2"/>
      <c r="I93" s="2"/>
      <c r="J93" s="2"/>
    </row>
    <row r="94" spans="1:10" s="25" customFormat="1">
      <c r="A94" s="50"/>
      <c r="E94" s="2"/>
      <c r="F94" s="2"/>
      <c r="G94" s="2"/>
      <c r="H94" s="2"/>
      <c r="I94" s="2"/>
      <c r="J94" s="2"/>
    </row>
    <row r="95" spans="1:10" s="25" customFormat="1">
      <c r="A95" s="50"/>
      <c r="E95" s="2"/>
      <c r="F95" s="2"/>
      <c r="G95" s="2"/>
      <c r="H95" s="2"/>
      <c r="I95" s="2"/>
      <c r="J95" s="2"/>
    </row>
    <row r="96" spans="1:10" s="25" customFormat="1">
      <c r="A96" s="50"/>
      <c r="E96" s="2"/>
      <c r="F96" s="2"/>
      <c r="G96" s="2"/>
      <c r="H96" s="2"/>
      <c r="I96" s="2"/>
      <c r="J96" s="2"/>
    </row>
    <row r="97" spans="1:10" s="25" customFormat="1">
      <c r="A97" s="50"/>
      <c r="E97" s="2"/>
      <c r="F97" s="2"/>
      <c r="G97" s="2"/>
      <c r="H97" s="2"/>
      <c r="I97" s="2"/>
      <c r="J97" s="2"/>
    </row>
    <row r="98" spans="1:10" s="25" customFormat="1">
      <c r="A98" s="50"/>
      <c r="E98" s="2"/>
      <c r="F98" s="2"/>
      <c r="G98" s="2"/>
      <c r="H98" s="2"/>
      <c r="I98" s="2"/>
      <c r="J98" s="2"/>
    </row>
    <row r="99" spans="1:10" s="25" customFormat="1">
      <c r="A99" s="50"/>
      <c r="E99" s="2"/>
      <c r="F99" s="2"/>
      <c r="G99" s="2"/>
      <c r="H99" s="2"/>
      <c r="I99" s="2"/>
      <c r="J99" s="2"/>
    </row>
    <row r="100" spans="1:10" s="25" customFormat="1">
      <c r="A100" s="50"/>
      <c r="E100" s="2"/>
      <c r="F100" s="2"/>
      <c r="G100" s="2"/>
      <c r="H100" s="2"/>
      <c r="I100" s="2"/>
      <c r="J100" s="2"/>
    </row>
    <row r="101" spans="1:10" s="25" customFormat="1">
      <c r="A101" s="50"/>
      <c r="E101" s="2"/>
      <c r="F101" s="2"/>
      <c r="G101" s="2"/>
      <c r="H101" s="2"/>
      <c r="I101" s="2"/>
      <c r="J101" s="2"/>
    </row>
    <row r="102" spans="1:10" s="25" customFormat="1">
      <c r="A102" s="50"/>
      <c r="E102" s="2"/>
      <c r="F102" s="2"/>
      <c r="G102" s="2"/>
      <c r="H102" s="2"/>
      <c r="I102" s="2"/>
      <c r="J102" s="2"/>
    </row>
    <row r="103" spans="1:10" s="25" customFormat="1">
      <c r="A103" s="50"/>
      <c r="E103" s="2"/>
      <c r="F103" s="2"/>
      <c r="G103" s="2"/>
      <c r="H103" s="2"/>
      <c r="I103" s="2"/>
      <c r="J103" s="2"/>
    </row>
    <row r="104" spans="1:10" s="25" customFormat="1">
      <c r="A104" s="50"/>
      <c r="E104" s="2"/>
      <c r="F104" s="2"/>
      <c r="G104" s="2"/>
      <c r="H104" s="2"/>
      <c r="I104" s="2"/>
      <c r="J104" s="2"/>
    </row>
    <row r="105" spans="1:10" s="25" customFormat="1">
      <c r="A105" s="50"/>
      <c r="E105" s="2"/>
      <c r="F105" s="2"/>
      <c r="G105" s="2"/>
      <c r="H105" s="2"/>
      <c r="I105" s="2"/>
      <c r="J105" s="2"/>
    </row>
    <row r="106" spans="1:10" s="25" customFormat="1">
      <c r="A106" s="50"/>
      <c r="E106" s="2"/>
      <c r="F106" s="2"/>
      <c r="G106" s="2"/>
      <c r="H106" s="2"/>
      <c r="I106" s="2"/>
      <c r="J106" s="2"/>
    </row>
    <row r="107" spans="1:10" s="25" customFormat="1">
      <c r="A107" s="50"/>
      <c r="E107" s="2"/>
      <c r="F107" s="2"/>
      <c r="G107" s="2"/>
      <c r="H107" s="2"/>
      <c r="I107" s="2"/>
      <c r="J107" s="2"/>
    </row>
    <row r="108" spans="1:10" s="25" customFormat="1">
      <c r="A108" s="50"/>
      <c r="E108" s="2"/>
      <c r="F108" s="2"/>
      <c r="G108" s="2"/>
      <c r="H108" s="2"/>
      <c r="I108" s="2"/>
      <c r="J108" s="2"/>
    </row>
    <row r="109" spans="1:10" s="25" customFormat="1">
      <c r="A109" s="50"/>
      <c r="E109" s="2"/>
      <c r="F109" s="2"/>
      <c r="G109" s="2"/>
      <c r="H109" s="2"/>
      <c r="I109" s="2"/>
      <c r="J109" s="2"/>
    </row>
    <row r="110" spans="1:10" s="25" customFormat="1">
      <c r="A110" s="50"/>
      <c r="E110" s="2"/>
      <c r="F110" s="2"/>
      <c r="G110" s="2"/>
      <c r="H110" s="2"/>
      <c r="I110" s="2"/>
      <c r="J110" s="2"/>
    </row>
    <row r="111" spans="1:10" s="25" customFormat="1">
      <c r="A111" s="50"/>
      <c r="E111" s="2"/>
      <c r="F111" s="2"/>
      <c r="G111" s="2"/>
      <c r="H111" s="2"/>
      <c r="I111" s="2"/>
      <c r="J111" s="2"/>
    </row>
    <row r="112" spans="1:10" s="25" customFormat="1">
      <c r="A112" s="50"/>
      <c r="E112" s="2"/>
      <c r="F112" s="2"/>
      <c r="G112" s="2"/>
      <c r="H112" s="2"/>
      <c r="I112" s="2"/>
      <c r="J112" s="2"/>
    </row>
    <row r="113" spans="1:10" s="25" customFormat="1">
      <c r="A113" s="50"/>
      <c r="E113" s="2"/>
      <c r="F113" s="2"/>
      <c r="G113" s="2"/>
      <c r="H113" s="2"/>
      <c r="I113" s="2"/>
      <c r="J113" s="2"/>
    </row>
    <row r="114" spans="1:10" s="25" customFormat="1">
      <c r="A114" s="50"/>
      <c r="E114" s="2"/>
      <c r="F114" s="2"/>
      <c r="G114" s="2"/>
      <c r="H114" s="2"/>
      <c r="I114" s="2"/>
      <c r="J114" s="2"/>
    </row>
    <row r="115" spans="1:10" s="25" customFormat="1">
      <c r="A115" s="50"/>
      <c r="E115" s="2"/>
      <c r="F115" s="2"/>
      <c r="G115" s="2"/>
      <c r="H115" s="2"/>
      <c r="I115" s="2"/>
      <c r="J115" s="2"/>
    </row>
    <row r="116" spans="1:10" s="25" customFormat="1">
      <c r="A116" s="50"/>
      <c r="E116" s="2"/>
      <c r="F116" s="2"/>
      <c r="G116" s="2"/>
      <c r="H116" s="2"/>
      <c r="I116" s="2"/>
      <c r="J116" s="2"/>
    </row>
    <row r="117" spans="1:10" s="25" customFormat="1">
      <c r="A117" s="50"/>
      <c r="E117" s="2"/>
      <c r="F117" s="2"/>
      <c r="G117" s="2"/>
      <c r="H117" s="2"/>
      <c r="I117" s="2"/>
      <c r="J117" s="2"/>
    </row>
    <row r="118" spans="1:10" s="25" customFormat="1">
      <c r="A118" s="50"/>
      <c r="E118" s="2"/>
      <c r="F118" s="2"/>
      <c r="G118" s="2"/>
      <c r="H118" s="2"/>
      <c r="I118" s="2"/>
      <c r="J118" s="2"/>
    </row>
    <row r="119" spans="1:10" s="25" customFormat="1">
      <c r="A119" s="50"/>
      <c r="E119" s="2"/>
      <c r="F119" s="2"/>
      <c r="G119" s="2"/>
      <c r="H119" s="2"/>
      <c r="I119" s="2"/>
      <c r="J119" s="2"/>
    </row>
    <row r="120" spans="1:10" s="25" customFormat="1">
      <c r="A120" s="50"/>
      <c r="E120" s="2"/>
      <c r="F120" s="2"/>
      <c r="G120" s="2"/>
      <c r="H120" s="2"/>
      <c r="I120" s="2"/>
      <c r="J120" s="2"/>
    </row>
    <row r="121" spans="1:10" s="25" customFormat="1">
      <c r="A121" s="50"/>
      <c r="E121" s="2"/>
      <c r="F121" s="2"/>
      <c r="G121" s="2"/>
      <c r="H121" s="2"/>
      <c r="I121" s="2"/>
      <c r="J121" s="2"/>
    </row>
    <row r="122" spans="1:10" s="25" customFormat="1">
      <c r="A122" s="50"/>
      <c r="E122" s="2"/>
      <c r="F122" s="2"/>
      <c r="G122" s="2"/>
      <c r="H122" s="2"/>
      <c r="I122" s="2"/>
      <c r="J122" s="2"/>
    </row>
    <row r="123" spans="1:10" s="25" customFormat="1">
      <c r="A123" s="50"/>
      <c r="E123" s="2"/>
      <c r="F123" s="2"/>
      <c r="G123" s="2"/>
      <c r="H123" s="2"/>
      <c r="I123" s="2"/>
      <c r="J123" s="2"/>
    </row>
    <row r="124" spans="1:10" s="25" customFormat="1">
      <c r="A124" s="50"/>
      <c r="E124" s="2"/>
      <c r="F124" s="2"/>
      <c r="G124" s="2"/>
      <c r="H124" s="2"/>
      <c r="I124" s="2"/>
      <c r="J124" s="2"/>
    </row>
    <row r="125" spans="1:10" s="25" customFormat="1">
      <c r="A125" s="50"/>
      <c r="E125" s="2"/>
      <c r="F125" s="2"/>
      <c r="G125" s="2"/>
      <c r="H125" s="2"/>
      <c r="I125" s="2"/>
      <c r="J125" s="2"/>
    </row>
    <row r="126" spans="1:10" s="25" customFormat="1">
      <c r="A126" s="50"/>
      <c r="E126" s="2"/>
      <c r="F126" s="2"/>
      <c r="G126" s="2"/>
      <c r="H126" s="2"/>
      <c r="I126" s="2"/>
      <c r="J126" s="2"/>
    </row>
    <row r="127" spans="1:10" s="25" customFormat="1">
      <c r="A127" s="50"/>
      <c r="E127" s="2"/>
      <c r="F127" s="2"/>
      <c r="G127" s="2"/>
      <c r="H127" s="2"/>
      <c r="I127" s="2"/>
      <c r="J127" s="2"/>
    </row>
    <row r="128" spans="1:10" s="25" customFormat="1">
      <c r="A128" s="50"/>
      <c r="E128" s="2"/>
      <c r="F128" s="2"/>
      <c r="G128" s="2"/>
      <c r="H128" s="2"/>
      <c r="I128" s="2"/>
      <c r="J128" s="2"/>
    </row>
    <row r="129" spans="1:10" s="25" customFormat="1">
      <c r="A129" s="50"/>
      <c r="E129" s="2"/>
      <c r="F129" s="2"/>
      <c r="G129" s="2"/>
      <c r="H129" s="2"/>
      <c r="I129" s="2"/>
      <c r="J129" s="2"/>
    </row>
    <row r="130" spans="1:10" s="25" customFormat="1">
      <c r="A130" s="50"/>
      <c r="E130" s="2"/>
      <c r="F130" s="2"/>
      <c r="G130" s="2"/>
      <c r="H130" s="2"/>
      <c r="I130" s="2"/>
      <c r="J130" s="2"/>
    </row>
    <row r="131" spans="1:10" s="25" customFormat="1">
      <c r="A131" s="50"/>
      <c r="E131" s="2"/>
      <c r="F131" s="2"/>
      <c r="G131" s="2"/>
      <c r="H131" s="2"/>
      <c r="I131" s="2"/>
      <c r="J131" s="2"/>
    </row>
    <row r="132" spans="1:10" s="25" customFormat="1">
      <c r="A132" s="50"/>
      <c r="E132" s="2"/>
      <c r="F132" s="2"/>
      <c r="G132" s="2"/>
      <c r="H132" s="2"/>
      <c r="I132" s="2"/>
      <c r="J132" s="2"/>
    </row>
    <row r="133" spans="1:10" s="25" customFormat="1">
      <c r="A133" s="50"/>
      <c r="E133" s="2"/>
      <c r="F133" s="2"/>
      <c r="G133" s="2"/>
      <c r="H133" s="2"/>
      <c r="I133" s="2"/>
      <c r="J133" s="2"/>
    </row>
    <row r="134" spans="1:10" s="25" customFormat="1">
      <c r="A134" s="50"/>
      <c r="E134" s="2"/>
      <c r="F134" s="2"/>
      <c r="G134" s="2"/>
      <c r="H134" s="2"/>
      <c r="I134" s="2"/>
      <c r="J134" s="2"/>
    </row>
    <row r="135" spans="1:10" s="25" customFormat="1">
      <c r="A135" s="50"/>
      <c r="E135" s="2"/>
      <c r="F135" s="2"/>
      <c r="G135" s="2"/>
      <c r="H135" s="2"/>
      <c r="I135" s="2"/>
      <c r="J135" s="2"/>
    </row>
    <row r="136" spans="1:10" s="25" customFormat="1">
      <c r="A136" s="50"/>
      <c r="E136" s="2"/>
      <c r="F136" s="2"/>
      <c r="G136" s="2"/>
      <c r="H136" s="2"/>
      <c r="I136" s="2"/>
      <c r="J136" s="2"/>
    </row>
    <row r="137" spans="1:10" s="25" customFormat="1">
      <c r="A137" s="50"/>
      <c r="E137" s="2"/>
      <c r="F137" s="2"/>
      <c r="G137" s="2"/>
      <c r="H137" s="2"/>
      <c r="I137" s="2"/>
      <c r="J137" s="2"/>
    </row>
    <row r="138" spans="1:10" s="25" customFormat="1">
      <c r="A138" s="50"/>
      <c r="E138" s="2"/>
      <c r="F138" s="2"/>
      <c r="G138" s="2"/>
      <c r="H138" s="2"/>
      <c r="I138" s="2"/>
      <c r="J138" s="2"/>
    </row>
    <row r="139" spans="1:10" s="25" customFormat="1">
      <c r="A139" s="50"/>
      <c r="E139" s="2"/>
      <c r="F139" s="2"/>
      <c r="G139" s="2"/>
      <c r="H139" s="2"/>
      <c r="I139" s="2"/>
      <c r="J139" s="2"/>
    </row>
    <row r="140" spans="1:10" s="25" customFormat="1">
      <c r="A140" s="50"/>
      <c r="E140" s="2"/>
      <c r="F140" s="2"/>
      <c r="G140" s="2"/>
      <c r="H140" s="2"/>
      <c r="I140" s="2"/>
      <c r="J140" s="2"/>
    </row>
    <row r="141" spans="1:10" s="25" customFormat="1">
      <c r="A141" s="50"/>
      <c r="E141" s="2"/>
      <c r="F141" s="2"/>
      <c r="G141" s="2"/>
      <c r="H141" s="2"/>
      <c r="I141" s="2"/>
      <c r="J141" s="2"/>
    </row>
    <row r="142" spans="1:10" s="25" customFormat="1">
      <c r="A142" s="50"/>
      <c r="E142" s="2"/>
      <c r="F142" s="2"/>
      <c r="G142" s="2"/>
      <c r="H142" s="2"/>
      <c r="I142" s="2"/>
      <c r="J142" s="2"/>
    </row>
    <row r="143" spans="1:10" s="25" customFormat="1">
      <c r="A143" s="50"/>
      <c r="E143" s="2"/>
      <c r="F143" s="2"/>
      <c r="G143" s="2"/>
      <c r="H143" s="2"/>
      <c r="I143" s="2"/>
      <c r="J143" s="2"/>
    </row>
    <row r="144" spans="1:10" s="25" customFormat="1">
      <c r="A144" s="50"/>
      <c r="E144" s="2"/>
      <c r="F144" s="2"/>
      <c r="G144" s="2"/>
      <c r="H144" s="2"/>
      <c r="I144" s="2"/>
      <c r="J144" s="2"/>
    </row>
    <row r="145" spans="1:10" s="25" customFormat="1">
      <c r="A145" s="50"/>
      <c r="E145" s="2"/>
      <c r="F145" s="2"/>
      <c r="G145" s="2"/>
      <c r="H145" s="2"/>
      <c r="I145" s="2"/>
      <c r="J145" s="2"/>
    </row>
    <row r="146" spans="1:10" s="25" customFormat="1">
      <c r="A146" s="50"/>
      <c r="E146" s="2"/>
      <c r="F146" s="2"/>
      <c r="G146" s="2"/>
      <c r="H146" s="2"/>
      <c r="I146" s="2"/>
      <c r="J146" s="2"/>
    </row>
    <row r="147" spans="1:10" s="25" customFormat="1">
      <c r="A147" s="50"/>
      <c r="E147" s="2"/>
      <c r="F147" s="2"/>
      <c r="G147" s="2"/>
      <c r="H147" s="2"/>
      <c r="I147" s="2"/>
      <c r="J147" s="2"/>
    </row>
    <row r="148" spans="1:10" s="25" customFormat="1">
      <c r="A148" s="50"/>
      <c r="E148" s="2"/>
      <c r="F148" s="2"/>
      <c r="G148" s="2"/>
      <c r="H148" s="2"/>
      <c r="I148" s="2"/>
      <c r="J148" s="2"/>
    </row>
    <row r="149" spans="1:10" s="25" customFormat="1">
      <c r="A149" s="50"/>
      <c r="E149" s="2"/>
      <c r="F149" s="2"/>
      <c r="G149" s="2"/>
      <c r="H149" s="2"/>
      <c r="I149" s="2"/>
      <c r="J149" s="2"/>
    </row>
    <row r="150" spans="1:10" s="25" customFormat="1">
      <c r="A150" s="50"/>
      <c r="E150" s="2"/>
      <c r="F150" s="2"/>
      <c r="G150" s="2"/>
      <c r="H150" s="2"/>
      <c r="I150" s="2"/>
      <c r="J150" s="2"/>
    </row>
    <row r="151" spans="1:10" s="25" customFormat="1">
      <c r="A151" s="50"/>
      <c r="E151" s="2"/>
      <c r="F151" s="2"/>
      <c r="G151" s="2"/>
      <c r="H151" s="2"/>
      <c r="I151" s="2"/>
      <c r="J151" s="2"/>
    </row>
    <row r="152" spans="1:10" s="25" customFormat="1">
      <c r="A152" s="50"/>
      <c r="E152" s="2"/>
      <c r="F152" s="2"/>
      <c r="G152" s="2"/>
      <c r="H152" s="2"/>
      <c r="I152" s="2"/>
      <c r="J152" s="2"/>
    </row>
    <row r="153" spans="1:10" s="25" customFormat="1">
      <c r="A153" s="50"/>
      <c r="E153" s="2"/>
      <c r="F153" s="2"/>
      <c r="G153" s="2"/>
      <c r="H153" s="2"/>
      <c r="I153" s="2"/>
      <c r="J153" s="2"/>
    </row>
    <row r="154" spans="1:10" s="25" customFormat="1">
      <c r="A154" s="50"/>
      <c r="E154" s="2"/>
      <c r="F154" s="2"/>
      <c r="G154" s="2"/>
      <c r="H154" s="2"/>
      <c r="I154" s="2"/>
      <c r="J154" s="2"/>
    </row>
    <row r="155" spans="1:10" s="25" customFormat="1">
      <c r="A155" s="50"/>
      <c r="E155" s="2"/>
      <c r="F155" s="2"/>
      <c r="G155" s="2"/>
      <c r="H155" s="2"/>
      <c r="I155" s="2"/>
      <c r="J155" s="2"/>
    </row>
    <row r="156" spans="1:10" s="25" customFormat="1">
      <c r="A156" s="50"/>
      <c r="E156" s="2"/>
      <c r="F156" s="2"/>
      <c r="G156" s="2"/>
      <c r="H156" s="2"/>
      <c r="I156" s="2"/>
      <c r="J156" s="2"/>
    </row>
    <row r="157" spans="1:10" s="25" customFormat="1">
      <c r="A157" s="50"/>
      <c r="E157" s="2"/>
      <c r="F157" s="2"/>
      <c r="G157" s="2"/>
      <c r="H157" s="2"/>
      <c r="I157" s="2"/>
      <c r="J157" s="2"/>
    </row>
    <row r="158" spans="1:10" s="25" customFormat="1">
      <c r="A158" s="50"/>
      <c r="E158" s="2"/>
      <c r="F158" s="2"/>
      <c r="G158" s="2"/>
      <c r="H158" s="2"/>
      <c r="I158" s="2"/>
      <c r="J158" s="2"/>
    </row>
    <row r="159" spans="1:10" s="25" customFormat="1">
      <c r="A159" s="50"/>
      <c r="E159" s="2"/>
      <c r="F159" s="2"/>
      <c r="G159" s="2"/>
      <c r="H159" s="2"/>
      <c r="I159" s="2"/>
      <c r="J159" s="2"/>
    </row>
    <row r="160" spans="1:10" s="25" customFormat="1">
      <c r="A160" s="50"/>
      <c r="E160" s="2"/>
      <c r="F160" s="2"/>
      <c r="G160" s="2"/>
      <c r="H160" s="2"/>
      <c r="I160" s="2"/>
      <c r="J160" s="2"/>
    </row>
    <row r="161" spans="1:10" s="25" customFormat="1">
      <c r="A161" s="50"/>
      <c r="E161" s="2"/>
      <c r="F161" s="2"/>
      <c r="G161" s="2"/>
      <c r="H161" s="2"/>
      <c r="I161" s="2"/>
      <c r="J161" s="2"/>
    </row>
    <row r="162" spans="1:10" s="25" customFormat="1">
      <c r="A162" s="50"/>
      <c r="E162" s="2"/>
      <c r="F162" s="2"/>
      <c r="G162" s="2"/>
      <c r="H162" s="2"/>
      <c r="I162" s="2"/>
      <c r="J162" s="2"/>
    </row>
    <row r="163" spans="1:10" s="25" customFormat="1">
      <c r="A163" s="50"/>
      <c r="E163" s="2"/>
      <c r="F163" s="2"/>
      <c r="G163" s="2"/>
      <c r="H163" s="2"/>
      <c r="I163" s="2"/>
      <c r="J163" s="2"/>
    </row>
    <row r="164" spans="1:10" s="25" customFormat="1">
      <c r="A164" s="50"/>
      <c r="E164" s="2"/>
      <c r="F164" s="2"/>
      <c r="G164" s="2"/>
      <c r="H164" s="2"/>
      <c r="I164" s="2"/>
      <c r="J164" s="2"/>
    </row>
    <row r="165" spans="1:10" s="25" customFormat="1">
      <c r="A165" s="50"/>
      <c r="E165" s="2"/>
      <c r="F165" s="2"/>
      <c r="G165" s="2"/>
      <c r="H165" s="2"/>
      <c r="I165" s="2"/>
      <c r="J165" s="2"/>
    </row>
    <row r="166" spans="1:10" s="25" customFormat="1">
      <c r="A166" s="50"/>
      <c r="E166" s="2"/>
      <c r="F166" s="2"/>
      <c r="G166" s="2"/>
      <c r="H166" s="2"/>
      <c r="I166" s="2"/>
      <c r="J166" s="2"/>
    </row>
    <row r="167" spans="1:10" s="25" customFormat="1">
      <c r="A167" s="50"/>
      <c r="E167" s="2"/>
      <c r="F167" s="2"/>
      <c r="G167" s="2"/>
      <c r="H167" s="2"/>
      <c r="I167" s="2"/>
      <c r="J167" s="2"/>
    </row>
    <row r="168" spans="1:10" s="25" customFormat="1">
      <c r="A168" s="50"/>
      <c r="E168" s="2"/>
      <c r="F168" s="2"/>
      <c r="G168" s="2"/>
      <c r="H168" s="2"/>
      <c r="I168" s="2"/>
      <c r="J168" s="2"/>
    </row>
    <row r="169" spans="1:10" s="25" customFormat="1">
      <c r="A169" s="50"/>
      <c r="E169" s="2"/>
      <c r="F169" s="2"/>
      <c r="G169" s="2"/>
      <c r="H169" s="2"/>
      <c r="I169" s="2"/>
      <c r="J169" s="2"/>
    </row>
    <row r="170" spans="1:10" s="25" customFormat="1">
      <c r="A170" s="50"/>
      <c r="E170" s="2"/>
      <c r="F170" s="2"/>
      <c r="G170" s="2"/>
      <c r="H170" s="2"/>
      <c r="I170" s="2"/>
      <c r="J170" s="2"/>
    </row>
    <row r="171" spans="1:10" s="25" customFormat="1">
      <c r="A171" s="50"/>
      <c r="E171" s="2"/>
      <c r="F171" s="2"/>
      <c r="G171" s="2"/>
      <c r="H171" s="2"/>
      <c r="I171" s="2"/>
      <c r="J171" s="2"/>
    </row>
    <row r="172" spans="1:10" s="25" customFormat="1">
      <c r="A172" s="50"/>
      <c r="E172" s="2"/>
      <c r="F172" s="2"/>
      <c r="G172" s="2"/>
      <c r="H172" s="2"/>
      <c r="I172" s="2"/>
      <c r="J172" s="2"/>
    </row>
    <row r="173" spans="1:10" s="25" customFormat="1">
      <c r="A173" s="50"/>
      <c r="E173" s="2"/>
      <c r="F173" s="2"/>
      <c r="G173" s="2"/>
      <c r="H173" s="2"/>
      <c r="I173" s="2"/>
      <c r="J173" s="2"/>
    </row>
    <row r="174" spans="1:10" s="25" customFormat="1">
      <c r="A174" s="50"/>
      <c r="E174" s="2"/>
      <c r="F174" s="2"/>
      <c r="G174" s="2"/>
      <c r="H174" s="2"/>
      <c r="I174" s="2"/>
      <c r="J174" s="2"/>
    </row>
    <row r="175" spans="1:10" s="25" customFormat="1">
      <c r="A175" s="50"/>
      <c r="E175" s="2"/>
      <c r="F175" s="2"/>
      <c r="G175" s="2"/>
      <c r="H175" s="2"/>
      <c r="I175" s="2"/>
      <c r="J175" s="2"/>
    </row>
    <row r="176" spans="1:10" s="25" customFormat="1">
      <c r="A176" s="50"/>
      <c r="E176" s="2"/>
      <c r="F176" s="2"/>
      <c r="G176" s="2"/>
      <c r="H176" s="2"/>
      <c r="I176" s="2"/>
      <c r="J176" s="2"/>
    </row>
    <row r="177" spans="1:10" s="25" customFormat="1">
      <c r="A177" s="50"/>
      <c r="E177" s="2"/>
      <c r="F177" s="2"/>
      <c r="G177" s="2"/>
      <c r="H177" s="2"/>
      <c r="I177" s="2"/>
      <c r="J177" s="2"/>
    </row>
    <row r="178" spans="1:10" s="25" customFormat="1">
      <c r="A178" s="50"/>
      <c r="E178" s="2"/>
      <c r="F178" s="2"/>
      <c r="G178" s="2"/>
      <c r="H178" s="2"/>
      <c r="I178" s="2"/>
      <c r="J178" s="2"/>
    </row>
    <row r="179" spans="1:10" s="25" customFormat="1">
      <c r="A179" s="50"/>
      <c r="E179" s="2"/>
      <c r="F179" s="2"/>
      <c r="G179" s="2"/>
      <c r="H179" s="2"/>
      <c r="I179" s="2"/>
      <c r="J179" s="2"/>
    </row>
    <row r="180" spans="1:10" s="25" customFormat="1">
      <c r="A180" s="50"/>
      <c r="E180" s="2"/>
      <c r="F180" s="2"/>
      <c r="G180" s="2"/>
      <c r="H180" s="2"/>
      <c r="I180" s="2"/>
      <c r="J180" s="2"/>
    </row>
    <row r="181" spans="1:10" s="25" customFormat="1">
      <c r="A181" s="50"/>
      <c r="E181" s="2"/>
      <c r="F181" s="2"/>
      <c r="G181" s="2"/>
      <c r="H181" s="2"/>
      <c r="I181" s="2"/>
      <c r="J181" s="2"/>
    </row>
    <row r="182" spans="1:10" s="25" customFormat="1">
      <c r="A182" s="50"/>
      <c r="E182" s="2"/>
      <c r="F182" s="2"/>
      <c r="G182" s="2"/>
      <c r="H182" s="2"/>
      <c r="I182" s="2"/>
      <c r="J182" s="2"/>
    </row>
    <row r="183" spans="1:10" s="25" customFormat="1">
      <c r="A183" s="50"/>
      <c r="E183" s="2"/>
      <c r="F183" s="2"/>
      <c r="G183" s="2"/>
      <c r="H183" s="2"/>
      <c r="I183" s="2"/>
      <c r="J183" s="2"/>
    </row>
    <row r="184" spans="1:10" s="25" customFormat="1">
      <c r="A184" s="50"/>
      <c r="E184" s="2"/>
      <c r="F184" s="2"/>
      <c r="G184" s="2"/>
      <c r="H184" s="2"/>
      <c r="I184" s="2"/>
      <c r="J184" s="2"/>
    </row>
    <row r="185" spans="1:10" s="25" customFormat="1">
      <c r="A185" s="50"/>
      <c r="E185" s="2"/>
      <c r="F185" s="2"/>
      <c r="G185" s="2"/>
      <c r="H185" s="2"/>
      <c r="I185" s="2"/>
      <c r="J185" s="2"/>
    </row>
    <row r="186" spans="1:10" s="25" customFormat="1">
      <c r="A186" s="50"/>
      <c r="E186" s="2"/>
      <c r="F186" s="2"/>
      <c r="G186" s="2"/>
      <c r="H186" s="2"/>
      <c r="I186" s="2"/>
      <c r="J186" s="2"/>
    </row>
    <row r="187" spans="1:10" s="25" customFormat="1">
      <c r="A187" s="50"/>
      <c r="E187" s="2"/>
      <c r="F187" s="2"/>
      <c r="G187" s="2"/>
      <c r="H187" s="2"/>
      <c r="I187" s="2"/>
      <c r="J187" s="2"/>
    </row>
    <row r="188" spans="1:10" s="25" customFormat="1">
      <c r="A188" s="50"/>
      <c r="E188" s="2"/>
      <c r="F188" s="2"/>
      <c r="G188" s="2"/>
      <c r="H188" s="2"/>
      <c r="I188" s="2"/>
      <c r="J188" s="2"/>
    </row>
    <row r="189" spans="1:10" s="25" customFormat="1">
      <c r="A189" s="50"/>
      <c r="E189" s="2"/>
      <c r="F189" s="2"/>
      <c r="G189" s="2"/>
      <c r="H189" s="2"/>
      <c r="I189" s="2"/>
      <c r="J189" s="2"/>
    </row>
    <row r="190" spans="1:10" s="25" customFormat="1">
      <c r="A190" s="50"/>
      <c r="E190" s="2"/>
      <c r="F190" s="2"/>
      <c r="G190" s="2"/>
      <c r="H190" s="2"/>
      <c r="I190" s="2"/>
      <c r="J190" s="2"/>
    </row>
    <row r="191" spans="1:10" s="25" customFormat="1">
      <c r="A191" s="50"/>
      <c r="E191" s="2"/>
      <c r="F191" s="2"/>
      <c r="G191" s="2"/>
      <c r="H191" s="2"/>
      <c r="I191" s="2"/>
      <c r="J191" s="2"/>
    </row>
    <row r="192" spans="1:10" s="25" customFormat="1">
      <c r="A192" s="50"/>
      <c r="E192" s="2"/>
      <c r="F192" s="2"/>
      <c r="G192" s="2"/>
      <c r="H192" s="2"/>
      <c r="I192" s="2"/>
      <c r="J192" s="2"/>
    </row>
    <row r="193" spans="1:10" s="25" customFormat="1">
      <c r="A193" s="50"/>
      <c r="E193" s="2"/>
      <c r="F193" s="2"/>
      <c r="G193" s="2"/>
      <c r="H193" s="2"/>
      <c r="I193" s="2"/>
      <c r="J193" s="2"/>
    </row>
    <row r="194" spans="1:10" s="25" customFormat="1">
      <c r="A194" s="50"/>
      <c r="E194" s="2"/>
      <c r="F194" s="2"/>
      <c r="G194" s="2"/>
      <c r="H194" s="2"/>
      <c r="I194" s="2"/>
      <c r="J194" s="2"/>
    </row>
    <row r="195" spans="1:10" s="25" customFormat="1">
      <c r="A195" s="50"/>
      <c r="E195" s="2"/>
      <c r="F195" s="2"/>
      <c r="G195" s="2"/>
      <c r="H195" s="2"/>
      <c r="I195" s="2"/>
      <c r="J195" s="2"/>
    </row>
    <row r="196" spans="1:10" s="25" customFormat="1">
      <c r="A196" s="50"/>
      <c r="E196" s="2"/>
      <c r="F196" s="2"/>
      <c r="G196" s="2"/>
      <c r="H196" s="2"/>
      <c r="I196" s="2"/>
      <c r="J196" s="2"/>
    </row>
    <row r="197" spans="1:10" s="25" customFormat="1">
      <c r="A197" s="50"/>
      <c r="E197" s="2"/>
      <c r="F197" s="2"/>
      <c r="G197" s="2"/>
      <c r="H197" s="2"/>
      <c r="I197" s="2"/>
      <c r="J197" s="2"/>
    </row>
    <row r="198" spans="1:10" s="25" customFormat="1">
      <c r="A198" s="50"/>
      <c r="E198" s="2"/>
      <c r="F198" s="2"/>
      <c r="G198" s="2"/>
      <c r="H198" s="2"/>
      <c r="I198" s="2"/>
      <c r="J198" s="2"/>
    </row>
    <row r="199" spans="1:10" s="25" customFormat="1">
      <c r="A199" s="50"/>
      <c r="E199" s="2"/>
      <c r="F199" s="2"/>
      <c r="G199" s="2"/>
      <c r="H199" s="2"/>
      <c r="I199" s="2"/>
      <c r="J199" s="2"/>
    </row>
    <row r="200" spans="1:10" s="25" customFormat="1">
      <c r="A200" s="50"/>
      <c r="E200" s="2"/>
      <c r="F200" s="2"/>
      <c r="G200" s="2"/>
      <c r="H200" s="2"/>
      <c r="I200" s="2"/>
      <c r="J200" s="2"/>
    </row>
    <row r="201" spans="1:10" s="25" customFormat="1">
      <c r="A201" s="50"/>
      <c r="E201" s="2"/>
      <c r="F201" s="2"/>
      <c r="G201" s="2"/>
      <c r="H201" s="2"/>
      <c r="I201" s="2"/>
      <c r="J201" s="2"/>
    </row>
    <row r="202" spans="1:10" s="25" customFormat="1">
      <c r="A202" s="50"/>
      <c r="E202" s="2"/>
      <c r="F202" s="2"/>
      <c r="G202" s="2"/>
      <c r="H202" s="2"/>
      <c r="I202" s="2"/>
      <c r="J202" s="2"/>
    </row>
    <row r="203" spans="1:10" s="25" customFormat="1">
      <c r="A203" s="50"/>
      <c r="E203" s="2"/>
      <c r="F203" s="2"/>
      <c r="G203" s="2"/>
      <c r="H203" s="2"/>
      <c r="I203" s="2"/>
      <c r="J203" s="2"/>
    </row>
    <row r="204" spans="1:10" s="25" customFormat="1">
      <c r="A204" s="50"/>
      <c r="E204" s="2"/>
      <c r="F204" s="2"/>
      <c r="G204" s="2"/>
      <c r="H204" s="2"/>
      <c r="I204" s="2"/>
      <c r="J204" s="2"/>
    </row>
    <row r="205" spans="1:10" s="25" customFormat="1">
      <c r="A205" s="50"/>
      <c r="E205" s="2"/>
      <c r="F205" s="2"/>
      <c r="G205" s="2"/>
      <c r="H205" s="2"/>
      <c r="I205" s="2"/>
      <c r="J205" s="2"/>
    </row>
    <row r="206" spans="1:10" s="25" customFormat="1">
      <c r="A206" s="50"/>
      <c r="E206" s="2"/>
      <c r="F206" s="2"/>
      <c r="G206" s="2"/>
      <c r="H206" s="2"/>
      <c r="I206" s="2"/>
      <c r="J206" s="2"/>
    </row>
    <row r="207" spans="1:10" s="25" customFormat="1">
      <c r="A207" s="50"/>
      <c r="E207" s="2"/>
      <c r="F207" s="2"/>
      <c r="G207" s="2"/>
      <c r="H207" s="2"/>
      <c r="I207" s="2"/>
      <c r="J207" s="2"/>
    </row>
    <row r="208" spans="1:10" s="25" customFormat="1">
      <c r="A208" s="50"/>
      <c r="E208" s="2"/>
      <c r="F208" s="2"/>
      <c r="G208" s="2"/>
      <c r="H208" s="2"/>
      <c r="I208" s="2"/>
      <c r="J208" s="2"/>
    </row>
    <row r="209" spans="1:10" s="25" customFormat="1">
      <c r="A209" s="50"/>
      <c r="E209" s="2"/>
      <c r="F209" s="2"/>
      <c r="G209" s="2"/>
      <c r="H209" s="2"/>
      <c r="I209" s="2"/>
      <c r="J209" s="2"/>
    </row>
    <row r="210" spans="1:10" s="25" customFormat="1">
      <c r="A210" s="50"/>
      <c r="E210" s="2"/>
      <c r="F210" s="2"/>
      <c r="G210" s="2"/>
      <c r="H210" s="2"/>
      <c r="I210" s="2"/>
      <c r="J210" s="2"/>
    </row>
    <row r="211" spans="1:10" s="25" customFormat="1">
      <c r="A211" s="50"/>
      <c r="E211" s="2"/>
      <c r="F211" s="2"/>
      <c r="G211" s="2"/>
      <c r="H211" s="2"/>
      <c r="I211" s="2"/>
      <c r="J211" s="2"/>
    </row>
    <row r="212" spans="1:10" s="25" customFormat="1">
      <c r="A212" s="50"/>
      <c r="E212" s="2"/>
      <c r="F212" s="2"/>
      <c r="G212" s="2"/>
      <c r="H212" s="2"/>
      <c r="I212" s="2"/>
      <c r="J212" s="2"/>
    </row>
    <row r="213" spans="1:10" s="25" customFormat="1">
      <c r="A213" s="50"/>
      <c r="E213" s="2"/>
      <c r="F213" s="2"/>
      <c r="G213" s="2"/>
      <c r="H213" s="2"/>
      <c r="I213" s="2"/>
      <c r="J213" s="2"/>
    </row>
    <row r="214" spans="1:10" s="25" customFormat="1">
      <c r="A214" s="50"/>
      <c r="E214" s="2"/>
      <c r="F214" s="2"/>
      <c r="G214" s="2"/>
      <c r="H214" s="2"/>
      <c r="I214" s="2"/>
      <c r="J214" s="2"/>
    </row>
    <row r="215" spans="1:10" s="25" customFormat="1">
      <c r="A215" s="50"/>
      <c r="E215" s="2"/>
      <c r="F215" s="2"/>
      <c r="G215" s="2"/>
      <c r="H215" s="2"/>
      <c r="I215" s="2"/>
      <c r="J215" s="2"/>
    </row>
    <row r="216" spans="1:10" s="25" customFormat="1">
      <c r="A216" s="50"/>
      <c r="E216" s="2"/>
      <c r="F216" s="2"/>
      <c r="G216" s="2"/>
      <c r="H216" s="2"/>
      <c r="I216" s="2"/>
      <c r="J216" s="2"/>
    </row>
    <row r="217" spans="1:10" s="25" customFormat="1">
      <c r="A217" s="50"/>
      <c r="E217" s="2"/>
      <c r="F217" s="2"/>
      <c r="G217" s="2"/>
      <c r="H217" s="2"/>
      <c r="I217" s="2"/>
      <c r="J217" s="2"/>
    </row>
    <row r="218" spans="1:10" s="25" customFormat="1">
      <c r="A218" s="50"/>
      <c r="E218" s="2"/>
      <c r="F218" s="2"/>
      <c r="G218" s="2"/>
      <c r="H218" s="2"/>
      <c r="I218" s="2"/>
      <c r="J218" s="2"/>
    </row>
    <row r="219" spans="1:10" s="25" customFormat="1">
      <c r="A219" s="50"/>
      <c r="E219" s="2"/>
      <c r="F219" s="2"/>
      <c r="G219" s="2"/>
      <c r="H219" s="2"/>
      <c r="I219" s="2"/>
      <c r="J219" s="2"/>
    </row>
    <row r="220" spans="1:10" s="25" customFormat="1">
      <c r="A220" s="50"/>
      <c r="E220" s="2"/>
      <c r="F220" s="2"/>
      <c r="G220" s="2"/>
      <c r="H220" s="2"/>
      <c r="I220" s="2"/>
      <c r="J220" s="2"/>
    </row>
    <row r="221" spans="1:10" s="25" customFormat="1">
      <c r="A221" s="50"/>
      <c r="E221" s="2"/>
      <c r="F221" s="2"/>
      <c r="G221" s="2"/>
      <c r="H221" s="2"/>
      <c r="I221" s="2"/>
      <c r="J221" s="2"/>
    </row>
    <row r="222" spans="1:10" s="25" customFormat="1">
      <c r="A222" s="50"/>
      <c r="E222" s="2"/>
      <c r="F222" s="2"/>
      <c r="G222" s="2"/>
      <c r="H222" s="2"/>
      <c r="I222" s="2"/>
      <c r="J222" s="2"/>
    </row>
    <row r="223" spans="1:10" s="25" customFormat="1">
      <c r="A223" s="50"/>
      <c r="E223" s="2"/>
      <c r="F223" s="2"/>
      <c r="G223" s="2"/>
      <c r="H223" s="2"/>
      <c r="I223" s="2"/>
      <c r="J223" s="2"/>
    </row>
    <row r="224" spans="1:10" s="25" customFormat="1">
      <c r="A224" s="50"/>
      <c r="E224" s="2"/>
      <c r="F224" s="2"/>
      <c r="G224" s="2"/>
      <c r="H224" s="2"/>
      <c r="I224" s="2"/>
      <c r="J224" s="2"/>
    </row>
    <row r="225" spans="1:10" s="25" customFormat="1">
      <c r="A225" s="50"/>
      <c r="E225" s="2"/>
      <c r="F225" s="2"/>
      <c r="G225" s="2"/>
      <c r="H225" s="2"/>
      <c r="I225" s="2"/>
      <c r="J225" s="2"/>
    </row>
    <row r="226" spans="1:10" s="25" customFormat="1">
      <c r="A226" s="50"/>
      <c r="E226" s="2"/>
      <c r="F226" s="2"/>
      <c r="G226" s="2"/>
      <c r="H226" s="2"/>
      <c r="I226" s="2"/>
      <c r="J226" s="2"/>
    </row>
    <row r="227" spans="1:10" s="25" customFormat="1">
      <c r="A227" s="50"/>
      <c r="E227" s="2"/>
      <c r="F227" s="2"/>
      <c r="G227" s="2"/>
      <c r="H227" s="2"/>
      <c r="I227" s="2"/>
      <c r="J227" s="2"/>
    </row>
    <row r="228" spans="1:10" s="25" customFormat="1">
      <c r="A228" s="50"/>
      <c r="E228" s="2"/>
      <c r="F228" s="2"/>
      <c r="G228" s="2"/>
      <c r="H228" s="2"/>
      <c r="I228" s="2"/>
      <c r="J228" s="2"/>
    </row>
    <row r="229" spans="1:10" s="25" customFormat="1">
      <c r="A229" s="50"/>
      <c r="E229" s="2"/>
      <c r="F229" s="2"/>
      <c r="G229" s="2"/>
      <c r="H229" s="2"/>
      <c r="I229" s="2"/>
      <c r="J229" s="2"/>
    </row>
    <row r="230" spans="1:10" s="25" customFormat="1">
      <c r="A230" s="50"/>
      <c r="E230" s="2"/>
      <c r="F230" s="2"/>
      <c r="G230" s="2"/>
      <c r="H230" s="2"/>
      <c r="I230" s="2"/>
      <c r="J230" s="2"/>
    </row>
    <row r="231" spans="1:10" s="25" customFormat="1">
      <c r="A231" s="50"/>
      <c r="E231" s="2"/>
      <c r="F231" s="2"/>
      <c r="G231" s="2"/>
      <c r="H231" s="2"/>
      <c r="I231" s="2"/>
      <c r="J231" s="2"/>
    </row>
    <row r="232" spans="1:10" s="25" customFormat="1">
      <c r="A232" s="50"/>
      <c r="E232" s="2"/>
      <c r="F232" s="2"/>
      <c r="G232" s="2"/>
      <c r="H232" s="2"/>
      <c r="I232" s="2"/>
      <c r="J232" s="2"/>
    </row>
    <row r="233" spans="1:10" s="25" customFormat="1">
      <c r="A233" s="50"/>
      <c r="E233" s="2"/>
      <c r="F233" s="2"/>
      <c r="G233" s="2"/>
      <c r="H233" s="2"/>
      <c r="I233" s="2"/>
      <c r="J233" s="2"/>
    </row>
    <row r="234" spans="1:10" s="25" customFormat="1">
      <c r="A234" s="50"/>
      <c r="E234" s="2"/>
      <c r="F234" s="2"/>
      <c r="G234" s="2"/>
      <c r="H234" s="2"/>
      <c r="I234" s="2"/>
      <c r="J234" s="2"/>
    </row>
    <row r="235" spans="1:10" s="25" customFormat="1">
      <c r="A235" s="50"/>
      <c r="E235" s="2"/>
      <c r="F235" s="2"/>
      <c r="G235" s="2"/>
      <c r="H235" s="2"/>
      <c r="I235" s="2"/>
      <c r="J235" s="2"/>
    </row>
    <row r="236" spans="1:10" s="25" customFormat="1">
      <c r="A236" s="50"/>
      <c r="E236" s="2"/>
      <c r="F236" s="2"/>
      <c r="G236" s="2"/>
      <c r="H236" s="2"/>
      <c r="I236" s="2"/>
      <c r="J236" s="2"/>
    </row>
    <row r="237" spans="1:10" s="25" customFormat="1">
      <c r="A237" s="50"/>
      <c r="E237" s="2"/>
      <c r="F237" s="2"/>
      <c r="G237" s="2"/>
      <c r="H237" s="2"/>
      <c r="I237" s="2"/>
      <c r="J237" s="2"/>
    </row>
    <row r="238" spans="1:10" s="25" customFormat="1">
      <c r="A238" s="50"/>
      <c r="E238" s="2"/>
      <c r="F238" s="2"/>
      <c r="G238" s="2"/>
      <c r="H238" s="2"/>
      <c r="I238" s="2"/>
      <c r="J238" s="2"/>
    </row>
    <row r="239" spans="1:10" s="25" customFormat="1">
      <c r="A239" s="50"/>
      <c r="E239" s="2"/>
      <c r="F239" s="2"/>
      <c r="G239" s="2"/>
      <c r="H239" s="2"/>
      <c r="I239" s="2"/>
      <c r="J239" s="2"/>
    </row>
    <row r="240" spans="1:10" s="25" customFormat="1">
      <c r="A240" s="50"/>
      <c r="E240" s="2"/>
      <c r="F240" s="2"/>
      <c r="G240" s="2"/>
      <c r="H240" s="2"/>
      <c r="I240" s="2"/>
      <c r="J240" s="2"/>
    </row>
    <row r="241" spans="1:10" s="25" customFormat="1">
      <c r="A241" s="50"/>
      <c r="E241" s="2"/>
      <c r="F241" s="2"/>
      <c r="G241" s="2"/>
      <c r="H241" s="2"/>
      <c r="I241" s="2"/>
      <c r="J241" s="2"/>
    </row>
    <row r="242" spans="1:10" s="25" customFormat="1">
      <c r="A242" s="50"/>
      <c r="E242" s="2"/>
      <c r="F242" s="2"/>
      <c r="G242" s="2"/>
      <c r="H242" s="2"/>
      <c r="I242" s="2"/>
      <c r="J242" s="2"/>
    </row>
    <row r="243" spans="1:10" s="25" customFormat="1">
      <c r="A243" s="50"/>
      <c r="E243" s="2"/>
      <c r="F243" s="2"/>
      <c r="G243" s="2"/>
      <c r="H243" s="2"/>
      <c r="I243" s="2"/>
      <c r="J243" s="2"/>
    </row>
    <row r="244" spans="1:10" s="25" customFormat="1">
      <c r="A244" s="50"/>
      <c r="E244" s="2"/>
      <c r="F244" s="2"/>
      <c r="G244" s="2"/>
      <c r="H244" s="2"/>
      <c r="I244" s="2"/>
      <c r="J244" s="2"/>
    </row>
    <row r="245" spans="1:10" s="25" customFormat="1">
      <c r="A245" s="50"/>
      <c r="E245" s="2"/>
      <c r="F245" s="2"/>
      <c r="G245" s="2"/>
      <c r="H245" s="2"/>
      <c r="I245" s="2"/>
      <c r="J245" s="2"/>
    </row>
    <row r="246" spans="1:10" s="25" customFormat="1">
      <c r="A246" s="50"/>
      <c r="E246" s="2"/>
      <c r="F246" s="2"/>
      <c r="G246" s="2"/>
      <c r="H246" s="2"/>
      <c r="I246" s="2"/>
      <c r="J246" s="2"/>
    </row>
    <row r="247" spans="1:10" s="25" customFormat="1">
      <c r="A247" s="50"/>
      <c r="E247" s="2"/>
      <c r="F247" s="2"/>
      <c r="G247" s="2"/>
      <c r="H247" s="2"/>
      <c r="I247" s="2"/>
      <c r="J247" s="2"/>
    </row>
    <row r="248" spans="1:10" s="25" customFormat="1">
      <c r="A248" s="50"/>
      <c r="E248" s="2"/>
      <c r="F248" s="2"/>
      <c r="G248" s="2"/>
      <c r="H248" s="2"/>
      <c r="I248" s="2"/>
      <c r="J248" s="2"/>
    </row>
    <row r="249" spans="1:10" s="25" customFormat="1">
      <c r="A249" s="50"/>
      <c r="E249" s="2"/>
      <c r="F249" s="2"/>
      <c r="G249" s="2"/>
      <c r="H249" s="2"/>
      <c r="I249" s="2"/>
      <c r="J249" s="2"/>
    </row>
    <row r="250" spans="1:10" s="25" customFormat="1">
      <c r="A250" s="50"/>
      <c r="E250" s="2"/>
      <c r="F250" s="2"/>
      <c r="G250" s="2"/>
      <c r="H250" s="2"/>
      <c r="I250" s="2"/>
      <c r="J250" s="2"/>
    </row>
    <row r="251" spans="1:10" s="25" customFormat="1">
      <c r="A251" s="50"/>
      <c r="E251" s="2"/>
      <c r="F251" s="2"/>
      <c r="G251" s="2"/>
      <c r="H251" s="2"/>
      <c r="I251" s="2"/>
      <c r="J251" s="2"/>
    </row>
    <row r="252" spans="1:10" s="25" customFormat="1">
      <c r="A252" s="50"/>
      <c r="E252" s="2"/>
      <c r="F252" s="2"/>
      <c r="G252" s="2"/>
      <c r="H252" s="2"/>
      <c r="I252" s="2"/>
      <c r="J252" s="2"/>
    </row>
    <row r="253" spans="1:10" s="25" customFormat="1">
      <c r="A253" s="50"/>
      <c r="E253" s="2"/>
      <c r="F253" s="2"/>
      <c r="G253" s="2"/>
      <c r="H253" s="2"/>
      <c r="I253" s="2"/>
      <c r="J253" s="2"/>
    </row>
    <row r="254" spans="1:10" s="25" customFormat="1">
      <c r="A254" s="50"/>
      <c r="E254" s="2"/>
      <c r="F254" s="2"/>
      <c r="G254" s="2"/>
      <c r="H254" s="2"/>
      <c r="I254" s="2"/>
      <c r="J254" s="2"/>
    </row>
    <row r="255" spans="1:10" s="25" customFormat="1">
      <c r="A255" s="50"/>
      <c r="E255" s="2"/>
      <c r="F255" s="2"/>
      <c r="G255" s="2"/>
      <c r="H255" s="2"/>
      <c r="I255" s="2"/>
      <c r="J255" s="2"/>
    </row>
    <row r="256" spans="1:10" s="25" customFormat="1">
      <c r="A256" s="50"/>
      <c r="E256" s="2"/>
      <c r="F256" s="2"/>
      <c r="G256" s="2"/>
      <c r="H256" s="2"/>
      <c r="I256" s="2"/>
      <c r="J256" s="2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5" showPageBreaks="1" printArea="1" view="pageBreakPreview" topLeftCell="A34">
      <selection activeCell="D81" sqref="D81"/>
      <pageMargins left="0.78740157480314965" right="0.39370078740157483" top="0.59055118110236227" bottom="0.59055118110236227" header="0.39370078740157483" footer="0.19685039370078741"/>
      <pageSetup paperSize="9" scale="50" orientation="portrait" r:id="rId1"/>
      <headerFooter alignWithMargins="0"/>
    </customSheetView>
    <customSheetView guid="{43DCEB14-ADF8-4168-9283-6542A71D3CF7}" scale="75" showPageBreaks="1" printArea="1" view="pageBreakPreview" topLeftCell="A65">
      <selection activeCell="F84" sqref="F84"/>
      <pageMargins left="0.78740157480314965" right="0.39370078740157483" top="0.59055118110236227" bottom="0.59055118110236227" header="0.39370078740157483" footer="0.19685039370078741"/>
      <pageSetup paperSize="9" scale="50" orientation="portrait" r:id="rId2"/>
      <headerFooter alignWithMargins="0"/>
    </customSheetView>
  </customSheetViews>
  <mergeCells count="46">
    <mergeCell ref="C87:D87"/>
    <mergeCell ref="G87:I87"/>
    <mergeCell ref="B23:D23"/>
    <mergeCell ref="G23:I23"/>
    <mergeCell ref="E9:K9"/>
    <mergeCell ref="E11:K11"/>
    <mergeCell ref="B15:D15"/>
    <mergeCell ref="B16:D16"/>
    <mergeCell ref="B17:D17"/>
    <mergeCell ref="B18:D18"/>
    <mergeCell ref="B20:D20"/>
    <mergeCell ref="A73:J73"/>
    <mergeCell ref="A53:J53"/>
    <mergeCell ref="A24:D24"/>
    <mergeCell ref="B26:D26"/>
    <mergeCell ref="F34:F35"/>
    <mergeCell ref="C34:C35"/>
    <mergeCell ref="B19:H19"/>
    <mergeCell ref="B21:D21"/>
    <mergeCell ref="A22:D22"/>
    <mergeCell ref="G22:I22"/>
    <mergeCell ref="A32:J32"/>
    <mergeCell ref="A30:J30"/>
    <mergeCell ref="B27:D27"/>
    <mergeCell ref="A2:B2"/>
    <mergeCell ref="A3:B3"/>
    <mergeCell ref="A5:B5"/>
    <mergeCell ref="G5:H5"/>
    <mergeCell ref="E2:K4"/>
    <mergeCell ref="A4:B4"/>
    <mergeCell ref="A6:B7"/>
    <mergeCell ref="E6:K6"/>
    <mergeCell ref="E7:K7"/>
    <mergeCell ref="E8:K8"/>
    <mergeCell ref="C86:D86"/>
    <mergeCell ref="G86:I86"/>
    <mergeCell ref="A34:A35"/>
    <mergeCell ref="B34:B35"/>
    <mergeCell ref="E34:E35"/>
    <mergeCell ref="G34:J34"/>
    <mergeCell ref="A37:J37"/>
    <mergeCell ref="A69:J69"/>
    <mergeCell ref="A60:J60"/>
    <mergeCell ref="D34:D35"/>
    <mergeCell ref="A67:J67"/>
    <mergeCell ref="B25:E25"/>
  </mergeCells>
  <phoneticPr fontId="3" type="noConversion"/>
  <pageMargins left="0.78740157480314965" right="0.39370078740157483" top="0.59055118110236227" bottom="0.59055118110236227" header="0.39370078740157483" footer="0.19685039370078741"/>
  <pageSetup paperSize="9" scale="50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N335"/>
  <sheetViews>
    <sheetView tabSelected="1" view="pageBreakPreview" zoomScale="90" zoomScaleNormal="65" zoomScaleSheetLayoutView="90" workbookViewId="0">
      <selection activeCell="J51" sqref="J51"/>
    </sheetView>
  </sheetViews>
  <sheetFormatPr defaultColWidth="9.140625" defaultRowHeight="18.75"/>
  <cols>
    <col min="1" max="1" width="48.42578125" style="2" customWidth="1"/>
    <col min="2" max="2" width="14.85546875" style="25" customWidth="1"/>
    <col min="3" max="3" width="13.42578125" style="25" customWidth="1"/>
    <col min="4" max="4" width="13.7109375" style="25" customWidth="1"/>
    <col min="5" max="5" width="15.5703125" style="248" customWidth="1"/>
    <col min="6" max="6" width="13" style="2" customWidth="1"/>
    <col min="7" max="7" width="13.85546875" style="2" customWidth="1"/>
    <col min="8" max="9" width="13.140625" style="2" customWidth="1"/>
    <col min="10" max="10" width="21" style="2" customWidth="1"/>
    <col min="11" max="12" width="11.5703125" style="2" customWidth="1"/>
    <col min="13" max="13" width="12.7109375" style="2" customWidth="1"/>
    <col min="14" max="14" width="12" style="2" customWidth="1"/>
    <col min="15" max="16384" width="9.140625" style="2"/>
  </cols>
  <sheetData>
    <row r="1" spans="1:14">
      <c r="A1" s="343" t="s">
        <v>369</v>
      </c>
      <c r="B1" s="343"/>
      <c r="C1" s="343"/>
      <c r="D1" s="343"/>
      <c r="E1" s="343"/>
      <c r="F1" s="343"/>
      <c r="G1" s="343"/>
      <c r="H1" s="343"/>
      <c r="I1" s="343"/>
      <c r="J1" s="343"/>
    </row>
    <row r="2" spans="1:14">
      <c r="A2" s="42"/>
      <c r="B2" s="53"/>
      <c r="C2" s="42"/>
      <c r="D2" s="42"/>
      <c r="E2" s="239"/>
      <c r="F2" s="42"/>
      <c r="G2" s="42"/>
      <c r="H2" s="42"/>
      <c r="I2" s="42"/>
    </row>
    <row r="3" spans="1:14" ht="36" customHeight="1">
      <c r="A3" s="350" t="s">
        <v>272</v>
      </c>
      <c r="B3" s="346" t="s">
        <v>18</v>
      </c>
      <c r="C3" s="351" t="s">
        <v>31</v>
      </c>
      <c r="D3" s="356" t="s">
        <v>39</v>
      </c>
      <c r="E3" s="355" t="s">
        <v>181</v>
      </c>
      <c r="F3" s="346" t="s">
        <v>364</v>
      </c>
      <c r="G3" s="346"/>
      <c r="H3" s="346"/>
      <c r="I3" s="346"/>
      <c r="J3" s="346" t="s">
        <v>250</v>
      </c>
    </row>
    <row r="4" spans="1:14" ht="46.5" customHeight="1">
      <c r="A4" s="350"/>
      <c r="B4" s="346"/>
      <c r="C4" s="351"/>
      <c r="D4" s="356"/>
      <c r="E4" s="355"/>
      <c r="F4" s="13" t="s">
        <v>365</v>
      </c>
      <c r="G4" s="13" t="s">
        <v>366</v>
      </c>
      <c r="H4" s="13" t="s">
        <v>367</v>
      </c>
      <c r="I4" s="13" t="s">
        <v>86</v>
      </c>
      <c r="J4" s="346"/>
    </row>
    <row r="5" spans="1:14" ht="23.25" customHeight="1">
      <c r="A5" s="6">
        <v>1</v>
      </c>
      <c r="B5" s="7">
        <v>2</v>
      </c>
      <c r="C5" s="7">
        <v>3</v>
      </c>
      <c r="D5" s="7">
        <v>4</v>
      </c>
      <c r="E5" s="240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</row>
    <row r="6" spans="1:14" s="5" customFormat="1" ht="20.100000000000001" customHeight="1">
      <c r="A6" s="347" t="s">
        <v>279</v>
      </c>
      <c r="B6" s="348"/>
      <c r="C6" s="348"/>
      <c r="D6" s="348"/>
      <c r="E6" s="348"/>
      <c r="F6" s="348"/>
      <c r="G6" s="348"/>
      <c r="H6" s="348"/>
      <c r="I6" s="348"/>
      <c r="J6" s="349"/>
    </row>
    <row r="7" spans="1:14" s="5" customFormat="1" ht="42" customHeight="1">
      <c r="A7" s="72" t="s">
        <v>121</v>
      </c>
      <c r="B7" s="9">
        <v>1000</v>
      </c>
      <c r="C7" s="226">
        <f>C8</f>
        <v>1866</v>
      </c>
      <c r="D7" s="226">
        <f t="shared" ref="D7:I7" si="0">D8</f>
        <v>1835</v>
      </c>
      <c r="E7" s="226">
        <f t="shared" si="0"/>
        <v>1810</v>
      </c>
      <c r="F7" s="226">
        <f t="shared" si="0"/>
        <v>190</v>
      </c>
      <c r="G7" s="226">
        <f t="shared" si="0"/>
        <v>1232</v>
      </c>
      <c r="H7" s="226">
        <f t="shared" si="0"/>
        <v>1580</v>
      </c>
      <c r="I7" s="226">
        <f t="shared" si="0"/>
        <v>1830</v>
      </c>
      <c r="J7" s="141"/>
    </row>
    <row r="8" spans="1:14" s="5" customFormat="1" ht="24.75" customHeight="1">
      <c r="A8" s="72" t="s">
        <v>408</v>
      </c>
      <c r="B8" s="6" t="s">
        <v>382</v>
      </c>
      <c r="C8" s="168">
        <v>1866</v>
      </c>
      <c r="D8" s="168">
        <v>1835</v>
      </c>
      <c r="E8" s="224">
        <v>1810</v>
      </c>
      <c r="F8" s="168">
        <v>190</v>
      </c>
      <c r="G8" s="168">
        <v>1232</v>
      </c>
      <c r="H8" s="168">
        <v>1580</v>
      </c>
      <c r="I8" s="168">
        <v>1830</v>
      </c>
      <c r="J8" s="141"/>
    </row>
    <row r="9" spans="1:14" ht="40.5" customHeight="1">
      <c r="A9" s="72" t="s">
        <v>139</v>
      </c>
      <c r="B9" s="9">
        <v>1010</v>
      </c>
      <c r="C9" s="169">
        <f t="shared" ref="C9:I9" si="1">SUM(C10:C17)</f>
        <v>5164</v>
      </c>
      <c r="D9" s="169">
        <f t="shared" si="1"/>
        <v>5943</v>
      </c>
      <c r="E9" s="250">
        <f t="shared" si="1"/>
        <v>5943</v>
      </c>
      <c r="F9" s="169">
        <f t="shared" si="1"/>
        <v>1293.6346308749999</v>
      </c>
      <c r="G9" s="169">
        <f t="shared" si="1"/>
        <v>2689.2692617499997</v>
      </c>
      <c r="H9" s="169">
        <f t="shared" si="1"/>
        <v>4025.9038926249996</v>
      </c>
      <c r="I9" s="169">
        <f t="shared" si="1"/>
        <v>5325.5385234999994</v>
      </c>
      <c r="J9" s="140"/>
    </row>
    <row r="10" spans="1:14" s="1" customFormat="1" ht="20.100000000000001" customHeight="1">
      <c r="A10" s="72" t="s">
        <v>305</v>
      </c>
      <c r="B10" s="7">
        <v>1011</v>
      </c>
      <c r="C10" s="168"/>
      <c r="D10" s="168"/>
      <c r="E10" s="224"/>
      <c r="F10" s="171"/>
      <c r="G10" s="171"/>
      <c r="H10" s="171"/>
      <c r="I10" s="171"/>
      <c r="J10" s="140"/>
    </row>
    <row r="11" spans="1:14" s="1" customFormat="1" ht="20.100000000000001" customHeight="1">
      <c r="A11" s="72" t="s">
        <v>68</v>
      </c>
      <c r="B11" s="7">
        <v>1012</v>
      </c>
      <c r="C11" s="224">
        <v>121</v>
      </c>
      <c r="D11" s="224">
        <v>159</v>
      </c>
      <c r="E11" s="224">
        <v>159</v>
      </c>
      <c r="F11" s="224">
        <v>44</v>
      </c>
      <c r="G11" s="224">
        <v>88</v>
      </c>
      <c r="H11" s="224">
        <v>132</v>
      </c>
      <c r="I11" s="224">
        <v>177</v>
      </c>
      <c r="J11" s="140"/>
    </row>
    <row r="12" spans="1:14" s="1" customFormat="1" ht="20.100000000000001" customHeight="1">
      <c r="A12" s="72" t="s">
        <v>67</v>
      </c>
      <c r="B12" s="7">
        <v>1013</v>
      </c>
      <c r="C12" s="168">
        <v>781</v>
      </c>
      <c r="D12" s="168">
        <v>769</v>
      </c>
      <c r="E12" s="224">
        <v>769</v>
      </c>
      <c r="F12" s="224">
        <v>240</v>
      </c>
      <c r="G12" s="224">
        <v>480</v>
      </c>
      <c r="H12" s="224">
        <v>720</v>
      </c>
      <c r="I12" s="224">
        <v>958</v>
      </c>
      <c r="J12" s="140"/>
    </row>
    <row r="13" spans="1:14" s="1" customFormat="1" ht="20.100000000000001" customHeight="1">
      <c r="A13" s="72" t="s">
        <v>42</v>
      </c>
      <c r="B13" s="7">
        <v>1014</v>
      </c>
      <c r="C13" s="168">
        <v>1666</v>
      </c>
      <c r="D13" s="168">
        <v>3534</v>
      </c>
      <c r="E13" s="224">
        <v>3534</v>
      </c>
      <c r="F13" s="224">
        <f t="shared" ref="F13:I14" si="2">K13</f>
        <v>774.63639999999987</v>
      </c>
      <c r="G13" s="224">
        <f t="shared" si="2"/>
        <v>1549.2727999999997</v>
      </c>
      <c r="H13" s="224">
        <f t="shared" si="2"/>
        <v>2323.9091999999996</v>
      </c>
      <c r="I13" s="224">
        <f t="shared" si="2"/>
        <v>3098.5455999999995</v>
      </c>
      <c r="J13" s="140"/>
      <c r="K13" s="296">
        <f>штатка!V39/1000</f>
        <v>774.63639999999987</v>
      </c>
      <c r="L13" s="296">
        <f>штатка!W39/1000</f>
        <v>1549.2727999999997</v>
      </c>
      <c r="M13" s="296">
        <f>штатка!X39/1000</f>
        <v>2323.9091999999996</v>
      </c>
      <c r="N13" s="296">
        <f>штатка!Y39/1000</f>
        <v>3098.5455999999995</v>
      </c>
    </row>
    <row r="14" spans="1:14" s="1" customFormat="1" ht="20.100000000000001" customHeight="1">
      <c r="A14" s="72" t="s">
        <v>43</v>
      </c>
      <c r="B14" s="7">
        <v>1015</v>
      </c>
      <c r="C14" s="168">
        <v>364</v>
      </c>
      <c r="D14" s="168">
        <v>749</v>
      </c>
      <c r="E14" s="224">
        <v>749</v>
      </c>
      <c r="F14" s="224">
        <f t="shared" si="2"/>
        <v>160.99823087499999</v>
      </c>
      <c r="G14" s="224">
        <f t="shared" si="2"/>
        <v>321.99646174999998</v>
      </c>
      <c r="H14" s="224">
        <f t="shared" si="2"/>
        <v>482.99469262499997</v>
      </c>
      <c r="I14" s="224">
        <f t="shared" si="2"/>
        <v>643.99292349999996</v>
      </c>
      <c r="J14" s="140"/>
      <c r="K14" s="296">
        <f>штатка!V40/1000</f>
        <v>160.99823087499999</v>
      </c>
      <c r="L14" s="296">
        <f>штатка!W40/1000</f>
        <v>321.99646174999998</v>
      </c>
      <c r="M14" s="296">
        <f>штатка!X40/1000</f>
        <v>482.99469262499997</v>
      </c>
      <c r="N14" s="296">
        <f>штатка!Y40/1000</f>
        <v>643.99292349999996</v>
      </c>
    </row>
    <row r="15" spans="1:14" s="1" customFormat="1" ht="76.5" customHeight="1">
      <c r="A15" s="72" t="s">
        <v>262</v>
      </c>
      <c r="B15" s="7">
        <v>1016</v>
      </c>
      <c r="C15" s="168">
        <v>1929</v>
      </c>
      <c r="D15" s="168">
        <v>295</v>
      </c>
      <c r="E15" s="224">
        <v>295</v>
      </c>
      <c r="F15" s="224"/>
      <c r="G15" s="224"/>
      <c r="H15" s="224"/>
      <c r="I15" s="224"/>
      <c r="J15" s="267"/>
    </row>
    <row r="16" spans="1:14" s="1" customFormat="1" ht="37.5" customHeight="1">
      <c r="A16" s="72" t="s">
        <v>66</v>
      </c>
      <c r="B16" s="7">
        <v>1017</v>
      </c>
      <c r="C16" s="168">
        <v>237</v>
      </c>
      <c r="D16" s="168">
        <v>268</v>
      </c>
      <c r="E16" s="224">
        <v>268</v>
      </c>
      <c r="F16" s="224">
        <v>29</v>
      </c>
      <c r="G16" s="224">
        <v>160</v>
      </c>
      <c r="H16" s="224">
        <v>232</v>
      </c>
      <c r="I16" s="224">
        <v>268</v>
      </c>
      <c r="J16" s="140"/>
    </row>
    <row r="17" spans="1:14" s="1" customFormat="1" ht="20.100000000000001" customHeight="1">
      <c r="A17" s="72" t="s">
        <v>137</v>
      </c>
      <c r="B17" s="7">
        <v>1018</v>
      </c>
      <c r="C17" s="168">
        <v>66</v>
      </c>
      <c r="D17" s="168">
        <v>169</v>
      </c>
      <c r="E17" s="224">
        <v>169</v>
      </c>
      <c r="F17" s="168">
        <v>45</v>
      </c>
      <c r="G17" s="168">
        <v>90</v>
      </c>
      <c r="H17" s="168">
        <v>135</v>
      </c>
      <c r="I17" s="168">
        <v>180</v>
      </c>
      <c r="J17" s="140"/>
    </row>
    <row r="18" spans="1:14" s="1" customFormat="1" ht="20.100000000000001" customHeight="1">
      <c r="A18" s="72" t="s">
        <v>409</v>
      </c>
      <c r="B18" s="7" t="s">
        <v>385</v>
      </c>
      <c r="C18" s="168">
        <v>66</v>
      </c>
      <c r="D18" s="168">
        <v>169</v>
      </c>
      <c r="E18" s="224">
        <v>169</v>
      </c>
      <c r="F18" s="168">
        <v>45</v>
      </c>
      <c r="G18" s="168">
        <v>90</v>
      </c>
      <c r="H18" s="168">
        <v>135</v>
      </c>
      <c r="I18" s="168">
        <v>180</v>
      </c>
      <c r="J18" s="140"/>
    </row>
    <row r="19" spans="1:14" s="5" customFormat="1" ht="20.100000000000001" customHeight="1">
      <c r="A19" s="159" t="s">
        <v>23</v>
      </c>
      <c r="B19" s="11">
        <v>1020</v>
      </c>
      <c r="C19" s="170">
        <f t="shared" ref="C19:I19" si="3">C7-C9</f>
        <v>-3298</v>
      </c>
      <c r="D19" s="170">
        <f t="shared" si="3"/>
        <v>-4108</v>
      </c>
      <c r="E19" s="251">
        <f t="shared" si="3"/>
        <v>-4133</v>
      </c>
      <c r="F19" s="170">
        <f t="shared" si="3"/>
        <v>-1103.6346308749999</v>
      </c>
      <c r="G19" s="170">
        <f t="shared" si="3"/>
        <v>-1457.2692617499997</v>
      </c>
      <c r="H19" s="170">
        <f t="shared" si="3"/>
        <v>-2445.9038926249996</v>
      </c>
      <c r="I19" s="170">
        <f t="shared" si="3"/>
        <v>-3495.5385234999994</v>
      </c>
      <c r="J19" s="141"/>
    </row>
    <row r="20" spans="1:14" ht="37.5">
      <c r="A20" s="72" t="s">
        <v>233</v>
      </c>
      <c r="B20" s="9">
        <v>1030</v>
      </c>
      <c r="C20" s="168">
        <v>5078</v>
      </c>
      <c r="D20" s="168">
        <f t="shared" ref="D20:I20" si="4">D22</f>
        <v>7990</v>
      </c>
      <c r="E20" s="224">
        <f t="shared" si="4"/>
        <v>5735</v>
      </c>
      <c r="F20" s="168">
        <f t="shared" si="4"/>
        <v>1650</v>
      </c>
      <c r="G20" s="168">
        <f t="shared" si="4"/>
        <v>2875</v>
      </c>
      <c r="H20" s="168">
        <f t="shared" si="4"/>
        <v>4313</v>
      </c>
      <c r="I20" s="168">
        <f t="shared" si="4"/>
        <v>5751</v>
      </c>
      <c r="J20" s="140"/>
    </row>
    <row r="21" spans="1:14">
      <c r="A21" s="72" t="s">
        <v>386</v>
      </c>
      <c r="B21" s="6" t="s">
        <v>387</v>
      </c>
      <c r="C21" s="168"/>
      <c r="D21" s="168"/>
      <c r="E21" s="224"/>
      <c r="F21" s="168"/>
      <c r="G21" s="168"/>
      <c r="H21" s="168"/>
      <c r="I21" s="168"/>
      <c r="J21" s="140"/>
    </row>
    <row r="22" spans="1:14">
      <c r="A22" s="225" t="s">
        <v>391</v>
      </c>
      <c r="B22" s="6" t="s">
        <v>390</v>
      </c>
      <c r="C22" s="168">
        <v>5078</v>
      </c>
      <c r="D22" s="168">
        <v>7990</v>
      </c>
      <c r="E22" s="224">
        <v>5735</v>
      </c>
      <c r="F22" s="224">
        <v>1650</v>
      </c>
      <c r="G22" s="224">
        <v>2875</v>
      </c>
      <c r="H22" s="224">
        <v>4313</v>
      </c>
      <c r="I22" s="224">
        <v>5751</v>
      </c>
      <c r="J22" s="140"/>
    </row>
    <row r="23" spans="1:14" ht="20.100000000000001" customHeight="1">
      <c r="A23" s="72" t="s">
        <v>234</v>
      </c>
      <c r="B23" s="9">
        <v>1031</v>
      </c>
      <c r="C23" s="168"/>
      <c r="D23" s="168"/>
      <c r="E23" s="224"/>
      <c r="F23" s="171"/>
      <c r="G23" s="171"/>
      <c r="H23" s="171"/>
      <c r="I23" s="171"/>
      <c r="J23" s="140"/>
    </row>
    <row r="24" spans="1:14" ht="20.100000000000001" customHeight="1">
      <c r="A24" s="72" t="s">
        <v>241</v>
      </c>
      <c r="B24" s="9">
        <v>1040</v>
      </c>
      <c r="C24" s="169">
        <f t="shared" ref="C24:I24" si="5">SUM(C25:C46)</f>
        <v>2940</v>
      </c>
      <c r="D24" s="169">
        <f t="shared" si="5"/>
        <v>1639</v>
      </c>
      <c r="E24" s="250">
        <f t="shared" si="5"/>
        <v>1644</v>
      </c>
      <c r="F24" s="169">
        <f t="shared" si="5"/>
        <v>508.7386406375</v>
      </c>
      <c r="G24" s="169">
        <f t="shared" si="5"/>
        <v>1029.477281275</v>
      </c>
      <c r="H24" s="169">
        <f t="shared" si="5"/>
        <v>1563.2159219125001</v>
      </c>
      <c r="I24" s="169">
        <f t="shared" si="5"/>
        <v>2153.95456255</v>
      </c>
      <c r="J24" s="140"/>
    </row>
    <row r="25" spans="1:14" ht="37.5">
      <c r="A25" s="72" t="s">
        <v>120</v>
      </c>
      <c r="B25" s="9">
        <v>1041</v>
      </c>
      <c r="C25" s="224">
        <v>159</v>
      </c>
      <c r="D25" s="224">
        <v>184</v>
      </c>
      <c r="E25" s="224">
        <v>184</v>
      </c>
      <c r="F25" s="224">
        <v>34</v>
      </c>
      <c r="G25" s="224">
        <v>67</v>
      </c>
      <c r="H25" s="224">
        <v>119</v>
      </c>
      <c r="I25" s="224">
        <v>202</v>
      </c>
      <c r="J25" s="140"/>
    </row>
    <row r="26" spans="1:14" ht="20.100000000000001" customHeight="1">
      <c r="A26" s="72" t="s">
        <v>223</v>
      </c>
      <c r="B26" s="9">
        <v>1042</v>
      </c>
      <c r="C26" s="168"/>
      <c r="D26" s="168"/>
      <c r="E26" s="224"/>
      <c r="F26" s="168"/>
      <c r="G26" s="168"/>
      <c r="H26" s="168"/>
      <c r="I26" s="168"/>
      <c r="J26" s="140"/>
    </row>
    <row r="27" spans="1:14" ht="20.100000000000001" customHeight="1">
      <c r="A27" s="72" t="s">
        <v>65</v>
      </c>
      <c r="B27" s="9">
        <v>1043</v>
      </c>
      <c r="C27" s="168"/>
      <c r="D27" s="168"/>
      <c r="E27" s="224"/>
      <c r="F27" s="168"/>
      <c r="G27" s="168"/>
      <c r="H27" s="168"/>
      <c r="I27" s="168"/>
      <c r="J27" s="140"/>
    </row>
    <row r="28" spans="1:14" ht="20.100000000000001" customHeight="1">
      <c r="A28" s="72" t="s">
        <v>21</v>
      </c>
      <c r="B28" s="9">
        <v>1044</v>
      </c>
      <c r="C28" s="168"/>
      <c r="D28" s="168"/>
      <c r="E28" s="224"/>
      <c r="F28" s="168"/>
      <c r="G28" s="168"/>
      <c r="H28" s="168"/>
      <c r="I28" s="168"/>
      <c r="J28" s="140"/>
    </row>
    <row r="29" spans="1:14" ht="20.100000000000001" customHeight="1">
      <c r="A29" s="72" t="s">
        <v>22</v>
      </c>
      <c r="B29" s="9">
        <v>1045</v>
      </c>
      <c r="C29" s="168"/>
      <c r="D29" s="168"/>
      <c r="E29" s="224"/>
      <c r="F29" s="168"/>
      <c r="G29" s="168"/>
      <c r="H29" s="168"/>
      <c r="I29" s="168"/>
      <c r="J29" s="140"/>
    </row>
    <row r="30" spans="1:14" s="1" customFormat="1" ht="20.100000000000001" customHeight="1">
      <c r="A30" s="72" t="s">
        <v>40</v>
      </c>
      <c r="B30" s="9">
        <v>1046</v>
      </c>
      <c r="C30" s="168">
        <v>27</v>
      </c>
      <c r="D30" s="168">
        <v>32</v>
      </c>
      <c r="E30" s="224">
        <v>27</v>
      </c>
      <c r="F30" s="168">
        <v>3</v>
      </c>
      <c r="G30" s="168">
        <v>20</v>
      </c>
      <c r="H30" s="168">
        <v>24</v>
      </c>
      <c r="I30" s="168">
        <v>32</v>
      </c>
      <c r="J30" s="140"/>
    </row>
    <row r="31" spans="1:14" s="1" customFormat="1" ht="20.100000000000001" customHeight="1">
      <c r="A31" s="72" t="s">
        <v>41</v>
      </c>
      <c r="B31" s="9">
        <v>1047</v>
      </c>
      <c r="C31" s="168">
        <v>6</v>
      </c>
      <c r="D31" s="168">
        <v>9</v>
      </c>
      <c r="E31" s="224">
        <v>6</v>
      </c>
      <c r="F31" s="168">
        <v>2</v>
      </c>
      <c r="G31" s="168">
        <v>3</v>
      </c>
      <c r="H31" s="168">
        <v>6</v>
      </c>
      <c r="I31" s="168">
        <v>9</v>
      </c>
      <c r="J31" s="140"/>
    </row>
    <row r="32" spans="1:14" s="1" customFormat="1" ht="20.100000000000001" customHeight="1">
      <c r="A32" s="72" t="s">
        <v>42</v>
      </c>
      <c r="B32" s="9">
        <v>1048</v>
      </c>
      <c r="C32" s="299">
        <v>2166</v>
      </c>
      <c r="D32" s="263">
        <v>1016</v>
      </c>
      <c r="E32" s="224">
        <v>1016</v>
      </c>
      <c r="F32" s="224">
        <f t="shared" ref="F32:I33" si="6">K32</f>
        <v>354.32465000000002</v>
      </c>
      <c r="G32" s="224">
        <f t="shared" si="6"/>
        <v>708.64930000000004</v>
      </c>
      <c r="H32" s="224">
        <f t="shared" si="6"/>
        <v>1062.9739500000001</v>
      </c>
      <c r="I32" s="168">
        <f t="shared" si="6"/>
        <v>1417.2986000000001</v>
      </c>
      <c r="J32" s="140"/>
      <c r="K32" s="296">
        <f>штатка!V42/1000</f>
        <v>354.32465000000002</v>
      </c>
      <c r="L32" s="296">
        <f>штатка!W42/1000</f>
        <v>708.64930000000004</v>
      </c>
      <c r="M32" s="296">
        <f>штатка!X42/1000</f>
        <v>1062.9739500000001</v>
      </c>
      <c r="N32" s="296">
        <f>штатка!Y42/1000</f>
        <v>1417.2986000000001</v>
      </c>
    </row>
    <row r="33" spans="1:14" s="1" customFormat="1" ht="20.100000000000001" customHeight="1">
      <c r="A33" s="72" t="s">
        <v>43</v>
      </c>
      <c r="B33" s="9">
        <v>1049</v>
      </c>
      <c r="C33" s="299">
        <v>470</v>
      </c>
      <c r="D33" s="263">
        <v>203</v>
      </c>
      <c r="E33" s="224">
        <v>203</v>
      </c>
      <c r="F33" s="224">
        <f t="shared" si="6"/>
        <v>72.413990637500007</v>
      </c>
      <c r="G33" s="224">
        <f t="shared" si="6"/>
        <v>144.82798127500001</v>
      </c>
      <c r="H33" s="224">
        <f t="shared" si="6"/>
        <v>217.24197191249999</v>
      </c>
      <c r="I33" s="168">
        <f t="shared" si="6"/>
        <v>289.65596255000003</v>
      </c>
      <c r="J33" s="140"/>
      <c r="K33" s="296">
        <f>штатка!V43/1000</f>
        <v>72.413990637500007</v>
      </c>
      <c r="L33" s="296">
        <f>штатка!W43/1000</f>
        <v>144.82798127500001</v>
      </c>
      <c r="M33" s="296">
        <f>штатка!X43/1000</f>
        <v>217.24197191249999</v>
      </c>
      <c r="N33" s="296">
        <f>штатка!Y43/1000</f>
        <v>289.65596255000003</v>
      </c>
    </row>
    <row r="34" spans="1:14" s="1" customFormat="1" ht="56.25">
      <c r="A34" s="72" t="s">
        <v>44</v>
      </c>
      <c r="B34" s="9">
        <v>1050</v>
      </c>
      <c r="C34" s="168"/>
      <c r="D34" s="168"/>
      <c r="E34" s="224"/>
      <c r="F34" s="298"/>
      <c r="G34" s="298"/>
      <c r="H34" s="298"/>
      <c r="I34" s="171"/>
      <c r="J34" s="140"/>
    </row>
    <row r="35" spans="1:14" s="1" customFormat="1" ht="56.25">
      <c r="A35" s="72" t="s">
        <v>45</v>
      </c>
      <c r="B35" s="9">
        <v>1051</v>
      </c>
      <c r="C35" s="168"/>
      <c r="D35" s="168"/>
      <c r="E35" s="224"/>
      <c r="F35" s="171"/>
      <c r="G35" s="171"/>
      <c r="H35" s="171"/>
      <c r="I35" s="171"/>
      <c r="J35" s="140"/>
    </row>
    <row r="36" spans="1:14" s="1" customFormat="1" ht="37.5">
      <c r="A36" s="72" t="s">
        <v>46</v>
      </c>
      <c r="B36" s="9">
        <v>1052</v>
      </c>
      <c r="C36" s="168"/>
      <c r="D36" s="168"/>
      <c r="E36" s="224"/>
      <c r="F36" s="171"/>
      <c r="G36" s="171"/>
      <c r="H36" s="171"/>
      <c r="I36" s="171"/>
      <c r="J36" s="140"/>
    </row>
    <row r="37" spans="1:14" s="1" customFormat="1" ht="37.5">
      <c r="A37" s="72" t="s">
        <v>47</v>
      </c>
      <c r="B37" s="9">
        <v>1053</v>
      </c>
      <c r="C37" s="168"/>
      <c r="D37" s="168"/>
      <c r="E37" s="224"/>
      <c r="F37" s="171"/>
      <c r="G37" s="171"/>
      <c r="H37" s="171"/>
      <c r="I37" s="171"/>
      <c r="J37" s="140"/>
    </row>
    <row r="38" spans="1:14" s="1" customFormat="1" ht="20.100000000000001" customHeight="1">
      <c r="A38" s="72" t="s">
        <v>48</v>
      </c>
      <c r="B38" s="9">
        <v>1054</v>
      </c>
      <c r="C38" s="168">
        <v>64</v>
      </c>
      <c r="D38" s="168">
        <v>64</v>
      </c>
      <c r="E38" s="224">
        <v>64</v>
      </c>
      <c r="F38" s="168">
        <v>5</v>
      </c>
      <c r="G38" s="168">
        <v>10</v>
      </c>
      <c r="H38" s="168">
        <v>15</v>
      </c>
      <c r="I38" s="168">
        <v>40</v>
      </c>
      <c r="J38" s="140"/>
    </row>
    <row r="39" spans="1:14" s="1" customFormat="1" ht="20.100000000000001" customHeight="1">
      <c r="A39" s="72" t="s">
        <v>69</v>
      </c>
      <c r="B39" s="9">
        <v>1055</v>
      </c>
      <c r="C39" s="168">
        <v>16</v>
      </c>
      <c r="D39" s="168">
        <v>12</v>
      </c>
      <c r="E39" s="224">
        <v>16</v>
      </c>
      <c r="F39" s="168">
        <v>5</v>
      </c>
      <c r="G39" s="168">
        <v>10</v>
      </c>
      <c r="H39" s="168">
        <v>20</v>
      </c>
      <c r="I39" s="168">
        <v>30</v>
      </c>
      <c r="J39" s="140"/>
    </row>
    <row r="40" spans="1:14" s="1" customFormat="1" ht="20.100000000000001" customHeight="1">
      <c r="A40" s="72" t="s">
        <v>49</v>
      </c>
      <c r="B40" s="9">
        <v>1056</v>
      </c>
      <c r="C40" s="168"/>
      <c r="D40" s="168"/>
      <c r="E40" s="224"/>
      <c r="F40" s="171"/>
      <c r="G40" s="171"/>
      <c r="H40" s="171"/>
      <c r="I40" s="171"/>
      <c r="J40" s="140"/>
    </row>
    <row r="41" spans="1:14" s="1" customFormat="1" ht="20.100000000000001" customHeight="1">
      <c r="A41" s="72" t="s">
        <v>50</v>
      </c>
      <c r="B41" s="9">
        <v>1057</v>
      </c>
      <c r="C41" s="168"/>
      <c r="D41" s="168"/>
      <c r="E41" s="224"/>
      <c r="F41" s="171"/>
      <c r="G41" s="171"/>
      <c r="H41" s="171"/>
      <c r="I41" s="171"/>
      <c r="J41" s="140"/>
    </row>
    <row r="42" spans="1:14" s="1" customFormat="1" ht="37.5">
      <c r="A42" s="72" t="s">
        <v>51</v>
      </c>
      <c r="B42" s="9">
        <v>1058</v>
      </c>
      <c r="C42" s="168">
        <v>32</v>
      </c>
      <c r="D42" s="168">
        <v>65</v>
      </c>
      <c r="E42" s="224">
        <v>50</v>
      </c>
      <c r="F42" s="168">
        <v>20</v>
      </c>
      <c r="G42" s="168">
        <v>40</v>
      </c>
      <c r="H42" s="168">
        <v>60</v>
      </c>
      <c r="I42" s="168">
        <v>80</v>
      </c>
      <c r="J42" s="140"/>
    </row>
    <row r="43" spans="1:14" s="1" customFormat="1" ht="37.5">
      <c r="A43" s="72" t="s">
        <v>52</v>
      </c>
      <c r="B43" s="9">
        <v>1059</v>
      </c>
      <c r="C43" s="168"/>
      <c r="D43" s="168"/>
      <c r="E43" s="224"/>
      <c r="F43" s="171"/>
      <c r="G43" s="171"/>
      <c r="H43" s="171"/>
      <c r="I43" s="171"/>
      <c r="J43" s="140"/>
    </row>
    <row r="44" spans="1:14" s="1" customFormat="1" ht="75">
      <c r="A44" s="72" t="s">
        <v>82</v>
      </c>
      <c r="B44" s="9">
        <v>1060</v>
      </c>
      <c r="C44" s="168"/>
      <c r="D44" s="168"/>
      <c r="E44" s="224"/>
      <c r="F44" s="171"/>
      <c r="G44" s="171"/>
      <c r="H44" s="171"/>
      <c r="I44" s="171"/>
      <c r="J44" s="140"/>
    </row>
    <row r="45" spans="1:14" s="1" customFormat="1" ht="20.25" customHeight="1">
      <c r="A45" s="72" t="s">
        <v>53</v>
      </c>
      <c r="B45" s="9">
        <v>1061</v>
      </c>
      <c r="C45" s="168"/>
      <c r="D45" s="168"/>
      <c r="E45" s="224"/>
      <c r="F45" s="171"/>
      <c r="G45" s="171"/>
      <c r="H45" s="171"/>
      <c r="I45" s="171"/>
      <c r="J45" s="140"/>
    </row>
    <row r="46" spans="1:14" s="1" customFormat="1" ht="42" customHeight="1">
      <c r="A46" s="72" t="s">
        <v>392</v>
      </c>
      <c r="B46" s="9">
        <v>1062</v>
      </c>
      <c r="C46" s="168">
        <v>0</v>
      </c>
      <c r="D46" s="168">
        <f>D47+D48</f>
        <v>54</v>
      </c>
      <c r="E46" s="168">
        <f t="shared" ref="E46:I46" si="7">E47+E48</f>
        <v>78</v>
      </c>
      <c r="F46" s="168">
        <f t="shared" si="7"/>
        <v>13</v>
      </c>
      <c r="G46" s="168">
        <f t="shared" si="7"/>
        <v>26</v>
      </c>
      <c r="H46" s="168">
        <f t="shared" si="7"/>
        <v>39</v>
      </c>
      <c r="I46" s="168">
        <f t="shared" si="7"/>
        <v>54</v>
      </c>
      <c r="J46" s="140"/>
    </row>
    <row r="47" spans="1:14" s="1" customFormat="1">
      <c r="A47" s="72" t="s">
        <v>407</v>
      </c>
      <c r="B47" s="6" t="s">
        <v>383</v>
      </c>
      <c r="C47" s="168">
        <v>0</v>
      </c>
      <c r="D47" s="168">
        <v>42</v>
      </c>
      <c r="E47" s="224">
        <v>10</v>
      </c>
      <c r="F47" s="168">
        <v>10</v>
      </c>
      <c r="G47" s="168">
        <v>20</v>
      </c>
      <c r="H47" s="168">
        <v>30</v>
      </c>
      <c r="I47" s="168">
        <v>42</v>
      </c>
      <c r="J47" s="140"/>
    </row>
    <row r="48" spans="1:14" s="1" customFormat="1">
      <c r="A48" s="160" t="s">
        <v>384</v>
      </c>
      <c r="B48" s="305" t="s">
        <v>546</v>
      </c>
      <c r="C48" s="168">
        <v>70</v>
      </c>
      <c r="D48" s="168">
        <v>12</v>
      </c>
      <c r="E48" s="224">
        <v>68</v>
      </c>
      <c r="F48" s="168">
        <v>3</v>
      </c>
      <c r="G48" s="168">
        <v>6</v>
      </c>
      <c r="H48" s="168">
        <v>9</v>
      </c>
      <c r="I48" s="168">
        <v>12</v>
      </c>
      <c r="J48" s="306"/>
    </row>
    <row r="49" spans="1:10" ht="20.100000000000001" customHeight="1">
      <c r="A49" s="72" t="s">
        <v>242</v>
      </c>
      <c r="B49" s="9">
        <v>1070</v>
      </c>
      <c r="C49" s="169">
        <f>SUM(C50:C55)</f>
        <v>0</v>
      </c>
      <c r="D49" s="169">
        <f t="shared" ref="D49:I49" si="8">SUM(D50:D55)</f>
        <v>0</v>
      </c>
      <c r="E49" s="250">
        <f t="shared" si="8"/>
        <v>0</v>
      </c>
      <c r="F49" s="169">
        <f t="shared" si="8"/>
        <v>0</v>
      </c>
      <c r="G49" s="169">
        <f t="shared" si="8"/>
        <v>0</v>
      </c>
      <c r="H49" s="169">
        <f t="shared" si="8"/>
        <v>0</v>
      </c>
      <c r="I49" s="169">
        <f t="shared" si="8"/>
        <v>0</v>
      </c>
      <c r="J49" s="140"/>
    </row>
    <row r="50" spans="1:10" s="1" customFormat="1" ht="20.100000000000001" customHeight="1">
      <c r="A50" s="72" t="s">
        <v>201</v>
      </c>
      <c r="B50" s="9">
        <v>1071</v>
      </c>
      <c r="C50" s="168"/>
      <c r="D50" s="168"/>
      <c r="E50" s="224"/>
      <c r="F50" s="168"/>
      <c r="G50" s="168"/>
      <c r="H50" s="168"/>
      <c r="I50" s="168"/>
      <c r="J50" s="140"/>
    </row>
    <row r="51" spans="1:10" s="1" customFormat="1" ht="20.100000000000001" customHeight="1">
      <c r="A51" s="72" t="s">
        <v>202</v>
      </c>
      <c r="B51" s="9">
        <v>1072</v>
      </c>
      <c r="C51" s="168"/>
      <c r="D51" s="168"/>
      <c r="E51" s="224"/>
      <c r="F51" s="168"/>
      <c r="G51" s="168"/>
      <c r="H51" s="168"/>
      <c r="I51" s="168"/>
      <c r="J51" s="140"/>
    </row>
    <row r="52" spans="1:10" s="1" customFormat="1" ht="20.100000000000001" customHeight="1">
      <c r="A52" s="72" t="s">
        <v>42</v>
      </c>
      <c r="B52" s="9">
        <v>1073</v>
      </c>
      <c r="C52" s="168"/>
      <c r="D52" s="168"/>
      <c r="E52" s="224"/>
      <c r="F52" s="168"/>
      <c r="G52" s="168"/>
      <c r="H52" s="168"/>
      <c r="I52" s="168"/>
      <c r="J52" s="140"/>
    </row>
    <row r="53" spans="1:10" s="1" customFormat="1" ht="37.5">
      <c r="A53" s="72" t="s">
        <v>66</v>
      </c>
      <c r="B53" s="9">
        <v>1074</v>
      </c>
      <c r="C53" s="168"/>
      <c r="D53" s="168"/>
      <c r="E53" s="224"/>
      <c r="F53" s="168"/>
      <c r="G53" s="168"/>
      <c r="H53" s="168"/>
      <c r="I53" s="168"/>
      <c r="J53" s="140"/>
    </row>
    <row r="54" spans="1:10" s="1" customFormat="1" ht="20.100000000000001" customHeight="1">
      <c r="A54" s="72" t="s">
        <v>85</v>
      </c>
      <c r="B54" s="9">
        <v>1075</v>
      </c>
      <c r="C54" s="168"/>
      <c r="D54" s="168"/>
      <c r="E54" s="224"/>
      <c r="F54" s="168"/>
      <c r="G54" s="168"/>
      <c r="H54" s="168"/>
      <c r="I54" s="168"/>
      <c r="J54" s="140"/>
    </row>
    <row r="55" spans="1:10" s="1" customFormat="1" ht="20.100000000000001" customHeight="1">
      <c r="A55" s="72" t="s">
        <v>138</v>
      </c>
      <c r="B55" s="9">
        <v>1076</v>
      </c>
      <c r="C55" s="168"/>
      <c r="D55" s="168"/>
      <c r="E55" s="224"/>
      <c r="F55" s="168"/>
      <c r="G55" s="168"/>
      <c r="H55" s="168"/>
      <c r="I55" s="168"/>
      <c r="J55" s="140"/>
    </row>
    <row r="56" spans="1:10" s="1" customFormat="1" ht="37.5">
      <c r="A56" s="160" t="s">
        <v>87</v>
      </c>
      <c r="B56" s="9">
        <v>1080</v>
      </c>
      <c r="C56" s="169">
        <f>SUM(C57:C61)</f>
        <v>192</v>
      </c>
      <c r="D56" s="169">
        <f t="shared" ref="D56:I56" si="9">SUM(D57:D61)</f>
        <v>2169</v>
      </c>
      <c r="E56" s="250">
        <f t="shared" si="9"/>
        <v>436</v>
      </c>
      <c r="F56" s="169">
        <f t="shared" si="9"/>
        <v>5</v>
      </c>
      <c r="G56" s="169">
        <f t="shared" si="9"/>
        <v>42</v>
      </c>
      <c r="H56" s="169">
        <f t="shared" si="9"/>
        <v>52</v>
      </c>
      <c r="I56" s="169">
        <f t="shared" si="9"/>
        <v>59</v>
      </c>
      <c r="J56" s="140"/>
    </row>
    <row r="57" spans="1:10" s="1" customFormat="1" ht="20.100000000000001" customHeight="1">
      <c r="A57" s="72" t="s">
        <v>76</v>
      </c>
      <c r="B57" s="161">
        <v>1081</v>
      </c>
      <c r="C57" s="168"/>
      <c r="D57" s="168"/>
      <c r="E57" s="224"/>
      <c r="F57" s="168"/>
      <c r="G57" s="168"/>
      <c r="H57" s="168"/>
      <c r="I57" s="168"/>
      <c r="J57" s="140"/>
    </row>
    <row r="58" spans="1:10" s="1" customFormat="1" ht="37.5">
      <c r="A58" s="72" t="s">
        <v>54</v>
      </c>
      <c r="B58" s="161">
        <v>1082</v>
      </c>
      <c r="C58" s="168"/>
      <c r="D58" s="168"/>
      <c r="E58" s="224"/>
      <c r="F58" s="168"/>
      <c r="G58" s="168"/>
      <c r="H58" s="168"/>
      <c r="I58" s="168"/>
      <c r="J58" s="140"/>
    </row>
    <row r="59" spans="1:10" s="1" customFormat="1" ht="37.5">
      <c r="A59" s="72" t="s">
        <v>64</v>
      </c>
      <c r="B59" s="161">
        <v>1083</v>
      </c>
      <c r="C59" s="168"/>
      <c r="D59" s="168"/>
      <c r="E59" s="224"/>
      <c r="F59" s="168"/>
      <c r="G59" s="168"/>
      <c r="H59" s="168"/>
      <c r="I59" s="168"/>
      <c r="J59" s="140"/>
    </row>
    <row r="60" spans="1:10" s="1" customFormat="1" ht="20.100000000000001" customHeight="1">
      <c r="A60" s="72" t="s">
        <v>234</v>
      </c>
      <c r="B60" s="161">
        <v>1084</v>
      </c>
      <c r="C60" s="168"/>
      <c r="D60" s="168"/>
      <c r="E60" s="224"/>
      <c r="F60" s="168"/>
      <c r="G60" s="168"/>
      <c r="H60" s="168"/>
      <c r="I60" s="168"/>
      <c r="J60" s="140"/>
    </row>
    <row r="61" spans="1:10" s="1" customFormat="1" ht="20.100000000000001" customHeight="1">
      <c r="A61" s="72" t="s">
        <v>263</v>
      </c>
      <c r="B61" s="161">
        <v>1085</v>
      </c>
      <c r="C61" s="168">
        <v>192</v>
      </c>
      <c r="D61" s="168">
        <f>D62+D63+D64</f>
        <v>2169</v>
      </c>
      <c r="E61" s="168">
        <f>E62+E63+E64</f>
        <v>436</v>
      </c>
      <c r="F61" s="168">
        <f>F62+F63+F64</f>
        <v>5</v>
      </c>
      <c r="G61" s="168">
        <f>G62+G63+G64</f>
        <v>42</v>
      </c>
      <c r="H61" s="168">
        <f>H62+H63+H64</f>
        <v>52</v>
      </c>
      <c r="I61" s="168">
        <f>I62+I63+I64</f>
        <v>59</v>
      </c>
      <c r="J61" s="140"/>
    </row>
    <row r="62" spans="1:10" s="1" customFormat="1" ht="20.100000000000001" customHeight="1">
      <c r="A62" s="160" t="s">
        <v>395</v>
      </c>
      <c r="B62" s="6" t="s">
        <v>393</v>
      </c>
      <c r="C62" s="168">
        <v>74</v>
      </c>
      <c r="D62" s="168">
        <v>2089</v>
      </c>
      <c r="E62" s="224">
        <v>356</v>
      </c>
      <c r="F62" s="168"/>
      <c r="G62" s="168">
        <v>27</v>
      </c>
      <c r="H62" s="168">
        <v>27</v>
      </c>
      <c r="I62" s="168">
        <v>27</v>
      </c>
      <c r="J62" s="267"/>
    </row>
    <row r="63" spans="1:10" s="1" customFormat="1" ht="20.100000000000001" customHeight="1">
      <c r="A63" s="160" t="s">
        <v>396</v>
      </c>
      <c r="B63" s="6" t="s">
        <v>394</v>
      </c>
      <c r="C63" s="168">
        <v>48</v>
      </c>
      <c r="D63" s="168">
        <v>80</v>
      </c>
      <c r="E63" s="224">
        <v>80</v>
      </c>
      <c r="F63" s="168">
        <v>5</v>
      </c>
      <c r="G63" s="168">
        <v>15</v>
      </c>
      <c r="H63" s="168">
        <v>25</v>
      </c>
      <c r="I63" s="168">
        <v>32</v>
      </c>
      <c r="J63" s="140"/>
    </row>
    <row r="64" spans="1:10" s="1" customFormat="1" ht="20.100000000000001" customHeight="1">
      <c r="A64" s="160"/>
      <c r="B64" s="6"/>
      <c r="C64" s="168"/>
      <c r="D64" s="168"/>
      <c r="E64" s="224"/>
      <c r="F64" s="168"/>
      <c r="G64" s="168"/>
      <c r="H64" s="168"/>
      <c r="I64" s="168"/>
      <c r="J64" s="140"/>
    </row>
    <row r="65" spans="1:10" s="5" customFormat="1" ht="37.5">
      <c r="A65" s="159" t="s">
        <v>4</v>
      </c>
      <c r="B65" s="11">
        <v>1100</v>
      </c>
      <c r="C65" s="169">
        <f t="shared" ref="C65:I65" si="10">C19+C20-C24-C49-C56</f>
        <v>-1352</v>
      </c>
      <c r="D65" s="169">
        <f t="shared" si="10"/>
        <v>74</v>
      </c>
      <c r="E65" s="250">
        <f t="shared" si="10"/>
        <v>-478</v>
      </c>
      <c r="F65" s="169">
        <f t="shared" si="10"/>
        <v>32.626728487500145</v>
      </c>
      <c r="G65" s="169">
        <f t="shared" si="10"/>
        <v>346.25345697500029</v>
      </c>
      <c r="H65" s="169">
        <f t="shared" si="10"/>
        <v>251.88018546250032</v>
      </c>
      <c r="I65" s="169">
        <f t="shared" si="10"/>
        <v>42.50691395000058</v>
      </c>
      <c r="J65" s="141"/>
    </row>
    <row r="66" spans="1:10" ht="21.75" customHeight="1">
      <c r="A66" s="72" t="s">
        <v>122</v>
      </c>
      <c r="B66" s="9">
        <v>1110</v>
      </c>
      <c r="C66" s="168"/>
      <c r="D66" s="168"/>
      <c r="E66" s="224"/>
      <c r="F66" s="168"/>
      <c r="G66" s="168"/>
      <c r="H66" s="168"/>
      <c r="I66" s="168"/>
      <c r="J66" s="140"/>
    </row>
    <row r="67" spans="1:10" ht="20.100000000000001" customHeight="1">
      <c r="A67" s="72" t="s">
        <v>123</v>
      </c>
      <c r="B67" s="9">
        <v>1120</v>
      </c>
      <c r="C67" s="168"/>
      <c r="D67" s="168"/>
      <c r="E67" s="224"/>
      <c r="F67" s="168"/>
      <c r="G67" s="168"/>
      <c r="H67" s="168"/>
      <c r="I67" s="168"/>
      <c r="J67" s="140"/>
    </row>
    <row r="68" spans="1:10" ht="37.5">
      <c r="A68" s="72" t="s">
        <v>125</v>
      </c>
      <c r="B68" s="9">
        <v>1130</v>
      </c>
      <c r="C68" s="168"/>
      <c r="D68" s="168"/>
      <c r="E68" s="224"/>
      <c r="F68" s="168"/>
      <c r="G68" s="168"/>
      <c r="H68" s="168"/>
      <c r="I68" s="168"/>
      <c r="J68" s="140"/>
    </row>
    <row r="69" spans="1:10" ht="20.100000000000001" customHeight="1">
      <c r="A69" s="72" t="s">
        <v>124</v>
      </c>
      <c r="B69" s="9">
        <v>1140</v>
      </c>
      <c r="C69" s="168"/>
      <c r="D69" s="168"/>
      <c r="E69" s="224"/>
      <c r="F69" s="168"/>
      <c r="G69" s="168"/>
      <c r="H69" s="168"/>
      <c r="I69" s="168"/>
      <c r="J69" s="140"/>
    </row>
    <row r="70" spans="1:10" ht="37.5">
      <c r="A70" s="225" t="s">
        <v>235</v>
      </c>
      <c r="B70" s="9">
        <v>1150</v>
      </c>
      <c r="C70" s="168">
        <f>C71+C72</f>
        <v>1409</v>
      </c>
      <c r="D70" s="224"/>
      <c r="E70" s="224">
        <f>E71+E72</f>
        <v>524</v>
      </c>
      <c r="F70" s="168"/>
      <c r="G70" s="168"/>
      <c r="H70" s="168"/>
      <c r="I70" s="168"/>
      <c r="J70" s="140"/>
    </row>
    <row r="71" spans="1:10">
      <c r="A71" s="72" t="s">
        <v>410</v>
      </c>
      <c r="B71" s="6" t="s">
        <v>411</v>
      </c>
      <c r="C71" s="224">
        <v>1065</v>
      </c>
      <c r="D71" s="168"/>
      <c r="E71" s="224"/>
      <c r="F71" s="168"/>
      <c r="G71" s="168"/>
      <c r="H71" s="168"/>
      <c r="I71" s="168"/>
      <c r="J71" s="140"/>
    </row>
    <row r="72" spans="1:10" ht="56.25">
      <c r="A72" s="262" t="s">
        <v>475</v>
      </c>
      <c r="B72" s="6" t="s">
        <v>426</v>
      </c>
      <c r="C72" s="168">
        <v>344</v>
      </c>
      <c r="D72" s="168"/>
      <c r="E72" s="224">
        <v>524</v>
      </c>
      <c r="F72" s="168"/>
      <c r="G72" s="168"/>
      <c r="H72" s="168"/>
      <c r="I72" s="168"/>
      <c r="J72" s="140"/>
    </row>
    <row r="73" spans="1:10" ht="20.100000000000001" customHeight="1">
      <c r="A73" s="72" t="s">
        <v>234</v>
      </c>
      <c r="B73" s="9">
        <v>1151</v>
      </c>
      <c r="C73" s="168"/>
      <c r="D73" s="168"/>
      <c r="E73" s="224"/>
      <c r="F73" s="168"/>
      <c r="G73" s="168"/>
      <c r="H73" s="168"/>
      <c r="I73" s="168"/>
      <c r="J73" s="140"/>
    </row>
    <row r="74" spans="1:10" ht="37.5">
      <c r="A74" s="72" t="s">
        <v>236</v>
      </c>
      <c r="B74" s="9">
        <v>1160</v>
      </c>
      <c r="C74" s="168"/>
      <c r="D74" s="168"/>
      <c r="E74" s="224"/>
      <c r="F74" s="168"/>
      <c r="G74" s="168"/>
      <c r="H74" s="168"/>
      <c r="I74" s="168"/>
      <c r="J74" s="140"/>
    </row>
    <row r="75" spans="1:10" ht="20.100000000000001" customHeight="1">
      <c r="A75" s="72" t="s">
        <v>234</v>
      </c>
      <c r="B75" s="9">
        <v>1161</v>
      </c>
      <c r="C75" s="168"/>
      <c r="D75" s="168"/>
      <c r="E75" s="224"/>
      <c r="F75" s="168"/>
      <c r="G75" s="168"/>
      <c r="H75" s="168"/>
      <c r="I75" s="168"/>
      <c r="J75" s="140"/>
    </row>
    <row r="76" spans="1:10" s="5" customFormat="1" ht="37.5">
      <c r="A76" s="159" t="s">
        <v>106</v>
      </c>
      <c r="B76" s="11">
        <v>1170</v>
      </c>
      <c r="C76" s="169">
        <f>C65+C66+C67+C70-C69-C68-C74</f>
        <v>57</v>
      </c>
      <c r="D76" s="169">
        <f t="shared" ref="D76:I76" si="11">D65+D66+D67+D70-D69-D68-D74</f>
        <v>74</v>
      </c>
      <c r="E76" s="250">
        <f t="shared" si="11"/>
        <v>46</v>
      </c>
      <c r="F76" s="169">
        <f t="shared" si="11"/>
        <v>32.626728487500145</v>
      </c>
      <c r="G76" s="169">
        <f t="shared" si="11"/>
        <v>346.25345697500029</v>
      </c>
      <c r="H76" s="169">
        <f t="shared" si="11"/>
        <v>251.88018546250032</v>
      </c>
      <c r="I76" s="169">
        <f t="shared" si="11"/>
        <v>42.50691395000058</v>
      </c>
      <c r="J76" s="141"/>
    </row>
    <row r="77" spans="1:10" ht="20.100000000000001" customHeight="1">
      <c r="A77" s="72" t="s">
        <v>152</v>
      </c>
      <c r="B77" s="9">
        <v>1180</v>
      </c>
      <c r="C77" s="168">
        <f>C76*18%</f>
        <v>10.26</v>
      </c>
      <c r="D77" s="168">
        <f>D76*18%</f>
        <v>13.32</v>
      </c>
      <c r="E77" s="224">
        <f>E76*18%</f>
        <v>8.2799999999999994</v>
      </c>
      <c r="F77" s="168"/>
      <c r="G77" s="168"/>
      <c r="H77" s="224"/>
      <c r="I77" s="168">
        <f>ROUND(I76*18%,0)</f>
        <v>8</v>
      </c>
      <c r="J77" s="216"/>
    </row>
    <row r="78" spans="1:10" ht="37.5">
      <c r="A78" s="72" t="s">
        <v>153</v>
      </c>
      <c r="B78" s="9">
        <v>1190</v>
      </c>
      <c r="C78" s="168"/>
      <c r="D78" s="168"/>
      <c r="E78" s="224"/>
      <c r="F78" s="168"/>
      <c r="G78" s="168"/>
      <c r="H78" s="168"/>
      <c r="I78" s="168"/>
      <c r="J78" s="140"/>
    </row>
    <row r="79" spans="1:10" s="5" customFormat="1" ht="37.5">
      <c r="A79" s="159" t="s">
        <v>107</v>
      </c>
      <c r="B79" s="11">
        <v>1200</v>
      </c>
      <c r="C79" s="169">
        <f t="shared" ref="C79:I79" si="12">C76-C77-C78</f>
        <v>46.74</v>
      </c>
      <c r="D79" s="169">
        <f t="shared" si="12"/>
        <v>60.68</v>
      </c>
      <c r="E79" s="250">
        <f t="shared" si="12"/>
        <v>37.72</v>
      </c>
      <c r="F79" s="304">
        <f t="shared" si="12"/>
        <v>32.626728487500145</v>
      </c>
      <c r="G79" s="250">
        <f t="shared" si="12"/>
        <v>346.25345697500029</v>
      </c>
      <c r="H79" s="250">
        <f t="shared" si="12"/>
        <v>251.88018546250032</v>
      </c>
      <c r="I79" s="169">
        <f t="shared" si="12"/>
        <v>34.50691395000058</v>
      </c>
      <c r="J79" s="141"/>
    </row>
    <row r="80" spans="1:10" ht="20.100000000000001" customHeight="1">
      <c r="A80" s="72" t="s">
        <v>24</v>
      </c>
      <c r="B80" s="6">
        <v>1201</v>
      </c>
      <c r="C80" s="169">
        <f>SUMIF(C79,"&gt;0")</f>
        <v>46.74</v>
      </c>
      <c r="D80" s="169">
        <f t="shared" ref="D80:I80" si="13">SUMIF(D79,"&gt;0")</f>
        <v>60.68</v>
      </c>
      <c r="E80" s="250">
        <f t="shared" si="13"/>
        <v>37.72</v>
      </c>
      <c r="F80" s="169">
        <f t="shared" si="13"/>
        <v>32.626728487500145</v>
      </c>
      <c r="G80" s="169">
        <f t="shared" si="13"/>
        <v>346.25345697500029</v>
      </c>
      <c r="H80" s="169">
        <f t="shared" si="13"/>
        <v>251.88018546250032</v>
      </c>
      <c r="I80" s="169">
        <f t="shared" si="13"/>
        <v>34.50691395000058</v>
      </c>
      <c r="J80" s="140"/>
    </row>
    <row r="81" spans="1:10" ht="20.100000000000001" customHeight="1">
      <c r="A81" s="72" t="s">
        <v>25</v>
      </c>
      <c r="B81" s="6">
        <v>1202</v>
      </c>
      <c r="C81" s="169">
        <f>SUMIF(C79,"&lt;0")</f>
        <v>0</v>
      </c>
      <c r="D81" s="169">
        <f t="shared" ref="D81:I81" si="14">SUMIF(D79,"&lt;0")</f>
        <v>0</v>
      </c>
      <c r="E81" s="250">
        <f t="shared" si="14"/>
        <v>0</v>
      </c>
      <c r="F81" s="169">
        <f t="shared" si="14"/>
        <v>0</v>
      </c>
      <c r="G81" s="169">
        <f t="shared" si="14"/>
        <v>0</v>
      </c>
      <c r="H81" s="169">
        <f t="shared" si="14"/>
        <v>0</v>
      </c>
      <c r="I81" s="169">
        <f t="shared" si="14"/>
        <v>0</v>
      </c>
      <c r="J81" s="140"/>
    </row>
    <row r="82" spans="1:10" ht="19.5" customHeight="1">
      <c r="A82" s="72" t="s">
        <v>264</v>
      </c>
      <c r="B82" s="9">
        <v>1210</v>
      </c>
      <c r="C82" s="168"/>
      <c r="D82" s="168"/>
      <c r="E82" s="224"/>
      <c r="F82" s="168"/>
      <c r="G82" s="168"/>
      <c r="H82" s="168"/>
      <c r="I82" s="168"/>
      <c r="J82" s="140"/>
    </row>
    <row r="83" spans="1:10" s="5" customFormat="1" ht="20.100000000000001" customHeight="1">
      <c r="A83" s="347" t="s">
        <v>306</v>
      </c>
      <c r="B83" s="348"/>
      <c r="C83" s="348"/>
      <c r="D83" s="348"/>
      <c r="E83" s="348"/>
      <c r="F83" s="348"/>
      <c r="G83" s="348"/>
      <c r="H83" s="348"/>
      <c r="I83" s="348"/>
      <c r="J83" s="349"/>
    </row>
    <row r="84" spans="1:10" ht="42.75" customHeight="1">
      <c r="A84" s="71" t="s">
        <v>286</v>
      </c>
      <c r="B84" s="6">
        <v>1300</v>
      </c>
      <c r="C84" s="169">
        <f t="shared" ref="C84:I84" si="15">C20-C56</f>
        <v>4886</v>
      </c>
      <c r="D84" s="169">
        <f t="shared" si="15"/>
        <v>5821</v>
      </c>
      <c r="E84" s="250">
        <f t="shared" si="15"/>
        <v>5299</v>
      </c>
      <c r="F84" s="169">
        <f t="shared" si="15"/>
        <v>1645</v>
      </c>
      <c r="G84" s="169">
        <f t="shared" si="15"/>
        <v>2833</v>
      </c>
      <c r="H84" s="169">
        <f t="shared" si="15"/>
        <v>4261</v>
      </c>
      <c r="I84" s="169">
        <f t="shared" si="15"/>
        <v>5692</v>
      </c>
      <c r="J84" s="140"/>
    </row>
    <row r="85" spans="1:10" ht="75">
      <c r="A85" s="72" t="s">
        <v>280</v>
      </c>
      <c r="B85" s="6">
        <v>1310</v>
      </c>
      <c r="C85" s="169">
        <f t="shared" ref="C85:I85" si="16">C66+C67-C68-C69</f>
        <v>0</v>
      </c>
      <c r="D85" s="169">
        <f t="shared" si="16"/>
        <v>0</v>
      </c>
      <c r="E85" s="250">
        <f t="shared" si="16"/>
        <v>0</v>
      </c>
      <c r="F85" s="169">
        <f t="shared" si="16"/>
        <v>0</v>
      </c>
      <c r="G85" s="169">
        <f t="shared" si="16"/>
        <v>0</v>
      </c>
      <c r="H85" s="169">
        <f t="shared" si="16"/>
        <v>0</v>
      </c>
      <c r="I85" s="169">
        <f t="shared" si="16"/>
        <v>0</v>
      </c>
      <c r="J85" s="140"/>
    </row>
    <row r="86" spans="1:10" ht="42.75" customHeight="1">
      <c r="A86" s="71" t="s">
        <v>281</v>
      </c>
      <c r="B86" s="6">
        <v>1320</v>
      </c>
      <c r="C86" s="169">
        <f>C70-C74</f>
        <v>1409</v>
      </c>
      <c r="D86" s="169">
        <f t="shared" ref="D86:I86" si="17">D70-D74</f>
        <v>0</v>
      </c>
      <c r="E86" s="250">
        <f t="shared" si="17"/>
        <v>524</v>
      </c>
      <c r="F86" s="169">
        <f t="shared" si="17"/>
        <v>0</v>
      </c>
      <c r="G86" s="169">
        <f t="shared" si="17"/>
        <v>0</v>
      </c>
      <c r="H86" s="169">
        <f t="shared" si="17"/>
        <v>0</v>
      </c>
      <c r="I86" s="169">
        <f t="shared" si="17"/>
        <v>0</v>
      </c>
      <c r="J86" s="140"/>
    </row>
    <row r="87" spans="1:10" ht="56.25">
      <c r="A87" s="8" t="s">
        <v>362</v>
      </c>
      <c r="B87" s="9">
        <v>1330</v>
      </c>
      <c r="C87" s="169">
        <f>C7+C20+C66+C67+C70</f>
        <v>8353</v>
      </c>
      <c r="D87" s="169">
        <f>D7+D20+D66+D67+D70</f>
        <v>9825</v>
      </c>
      <c r="E87" s="250">
        <f>E7+E20+E66+E67+E70</f>
        <v>8069</v>
      </c>
      <c r="F87" s="169">
        <f>F7+F20+F66+F67+F70</f>
        <v>1840</v>
      </c>
      <c r="G87" s="169">
        <f>G7+G20+G66+G67+G70</f>
        <v>4107</v>
      </c>
      <c r="H87" s="169">
        <f>H7+H20+H66+H67+H70</f>
        <v>5893</v>
      </c>
      <c r="I87" s="169">
        <f>I7+I20+I66+I67+I70</f>
        <v>7581</v>
      </c>
      <c r="J87" s="140"/>
    </row>
    <row r="88" spans="1:10" ht="75">
      <c r="A88" s="8" t="s">
        <v>363</v>
      </c>
      <c r="B88" s="9">
        <v>1340</v>
      </c>
      <c r="C88" s="169">
        <f>C9+C24+C49+C56+C68+C69+C74+C77+C78</f>
        <v>8306.26</v>
      </c>
      <c r="D88" s="169">
        <f>D9+D24+D49+D56+D68+D69+D74+D77+D78</f>
        <v>9764.32</v>
      </c>
      <c r="E88" s="250">
        <f>E9+E24+E49+E56+E68+E69+E74+E77+E78</f>
        <v>8031.28</v>
      </c>
      <c r="F88" s="169">
        <f>F9+F24+F49+F56+F68+F69+F74+F77+F78</f>
        <v>1807.3732715124997</v>
      </c>
      <c r="G88" s="169">
        <f>G9+G24+G49+G56+G68+G69+G74+G77+G78</f>
        <v>3760.7465430249995</v>
      </c>
      <c r="H88" s="169">
        <f>H9+H24+H49+H56+H68+H69+H74+H77+H78</f>
        <v>5641.1198145375001</v>
      </c>
      <c r="I88" s="169">
        <f>I9+I24+I49+I56+I68+I69+I74+I77+I78</f>
        <v>7546.493086049999</v>
      </c>
      <c r="J88" s="140"/>
    </row>
    <row r="89" spans="1:10" ht="20.100000000000001" customHeight="1">
      <c r="A89" s="347" t="s">
        <v>182</v>
      </c>
      <c r="B89" s="348"/>
      <c r="C89" s="348"/>
      <c r="D89" s="348"/>
      <c r="E89" s="348"/>
      <c r="F89" s="348"/>
      <c r="G89" s="348"/>
      <c r="H89" s="348"/>
      <c r="I89" s="348"/>
      <c r="J89" s="349"/>
    </row>
    <row r="90" spans="1:10" ht="37.5">
      <c r="A90" s="8" t="s">
        <v>282</v>
      </c>
      <c r="B90" s="9">
        <v>1400</v>
      </c>
      <c r="C90" s="169">
        <f>C65</f>
        <v>-1352</v>
      </c>
      <c r="D90" s="169">
        <f t="shared" ref="D90:I90" si="18">D65</f>
        <v>74</v>
      </c>
      <c r="E90" s="250">
        <f t="shared" si="18"/>
        <v>-478</v>
      </c>
      <c r="F90" s="169">
        <f t="shared" si="18"/>
        <v>32.626728487500145</v>
      </c>
      <c r="G90" s="169">
        <f t="shared" si="18"/>
        <v>346.25345697500029</v>
      </c>
      <c r="H90" s="169">
        <f t="shared" si="18"/>
        <v>251.88018546250032</v>
      </c>
      <c r="I90" s="169">
        <f t="shared" si="18"/>
        <v>42.50691395000058</v>
      </c>
      <c r="J90" s="140"/>
    </row>
    <row r="91" spans="1:10">
      <c r="A91" s="8" t="s">
        <v>283</v>
      </c>
      <c r="B91" s="9">
        <v>1401</v>
      </c>
      <c r="C91" s="169">
        <f>C102</f>
        <v>268</v>
      </c>
      <c r="D91" s="169">
        <f t="shared" ref="D91:I91" si="19">D102</f>
        <v>293</v>
      </c>
      <c r="E91" s="250">
        <f t="shared" si="19"/>
        <v>299</v>
      </c>
      <c r="F91" s="169">
        <f t="shared" si="19"/>
        <v>36</v>
      </c>
      <c r="G91" s="169">
        <f t="shared" si="19"/>
        <v>175</v>
      </c>
      <c r="H91" s="169">
        <f t="shared" si="19"/>
        <v>254</v>
      </c>
      <c r="I91" s="169">
        <f t="shared" si="19"/>
        <v>293</v>
      </c>
      <c r="J91" s="140"/>
    </row>
    <row r="92" spans="1:10" ht="23.25" customHeight="1">
      <c r="A92" s="8" t="s">
        <v>284</v>
      </c>
      <c r="B92" s="9">
        <v>1402</v>
      </c>
      <c r="C92" s="169">
        <f>C23</f>
        <v>0</v>
      </c>
      <c r="D92" s="169">
        <f t="shared" ref="D92:I92" si="20">D23</f>
        <v>0</v>
      </c>
      <c r="E92" s="250">
        <f t="shared" si="20"/>
        <v>0</v>
      </c>
      <c r="F92" s="169">
        <f t="shared" si="20"/>
        <v>0</v>
      </c>
      <c r="G92" s="169">
        <f t="shared" si="20"/>
        <v>0</v>
      </c>
      <c r="H92" s="169">
        <f t="shared" si="20"/>
        <v>0</v>
      </c>
      <c r="I92" s="169">
        <f t="shared" si="20"/>
        <v>0</v>
      </c>
      <c r="J92" s="140"/>
    </row>
    <row r="93" spans="1:10" ht="21.75" customHeight="1">
      <c r="A93" s="8" t="s">
        <v>285</v>
      </c>
      <c r="B93" s="9">
        <v>1403</v>
      </c>
      <c r="C93" s="169">
        <f>C60</f>
        <v>0</v>
      </c>
      <c r="D93" s="169">
        <f t="shared" ref="D93:I93" si="21">D60</f>
        <v>0</v>
      </c>
      <c r="E93" s="250">
        <f t="shared" si="21"/>
        <v>0</v>
      </c>
      <c r="F93" s="169">
        <f t="shared" si="21"/>
        <v>0</v>
      </c>
      <c r="G93" s="169">
        <f t="shared" si="21"/>
        <v>0</v>
      </c>
      <c r="H93" s="169">
        <f t="shared" si="21"/>
        <v>0</v>
      </c>
      <c r="I93" s="169">
        <f t="shared" si="21"/>
        <v>0</v>
      </c>
      <c r="J93" s="140"/>
    </row>
    <row r="94" spans="1:10" ht="19.5" customHeight="1">
      <c r="A94" s="8" t="s">
        <v>348</v>
      </c>
      <c r="B94" s="9">
        <v>1404</v>
      </c>
      <c r="C94" s="168"/>
      <c r="D94" s="168"/>
      <c r="E94" s="224"/>
      <c r="F94" s="168"/>
      <c r="G94" s="168"/>
      <c r="H94" s="168"/>
      <c r="I94" s="168"/>
      <c r="J94" s="140"/>
    </row>
    <row r="95" spans="1:10" s="5" customFormat="1" ht="20.100000000000001" customHeight="1">
      <c r="A95" s="10" t="s">
        <v>156</v>
      </c>
      <c r="B95" s="73">
        <v>1410</v>
      </c>
      <c r="C95" s="170">
        <f>C90+C91-C92+C93</f>
        <v>-1084</v>
      </c>
      <c r="D95" s="170">
        <f t="shared" ref="D95:I95" si="22">D90+D91-D92+D93</f>
        <v>367</v>
      </c>
      <c r="E95" s="251">
        <f t="shared" si="22"/>
        <v>-179</v>
      </c>
      <c r="F95" s="170">
        <f t="shared" si="22"/>
        <v>68.626728487500145</v>
      </c>
      <c r="G95" s="170">
        <f t="shared" si="22"/>
        <v>521.25345697500029</v>
      </c>
      <c r="H95" s="170">
        <f t="shared" si="22"/>
        <v>505.88018546250032</v>
      </c>
      <c r="I95" s="170">
        <f t="shared" si="22"/>
        <v>335.50691395000058</v>
      </c>
      <c r="J95" s="141"/>
    </row>
    <row r="96" spans="1:10" ht="20.100000000000001" customHeight="1">
      <c r="A96" s="347" t="s">
        <v>251</v>
      </c>
      <c r="B96" s="348"/>
      <c r="C96" s="348"/>
      <c r="D96" s="348"/>
      <c r="E96" s="348"/>
      <c r="F96" s="348"/>
      <c r="G96" s="348"/>
      <c r="H96" s="348"/>
      <c r="I96" s="348"/>
      <c r="J96" s="349"/>
    </row>
    <row r="97" spans="1:14" ht="20.100000000000001" customHeight="1">
      <c r="A97" s="8" t="s">
        <v>307</v>
      </c>
      <c r="B97" s="74">
        <v>1500</v>
      </c>
      <c r="C97" s="168">
        <f t="shared" ref="C97" si="23">C98+C99</f>
        <v>1030</v>
      </c>
      <c r="D97" s="168">
        <v>1087</v>
      </c>
      <c r="E97" s="168">
        <f t="shared" ref="E97" si="24">E98+E99</f>
        <v>1087</v>
      </c>
      <c r="F97" s="168">
        <f t="shared" ref="F97:I97" si="25">F98+F99</f>
        <v>311</v>
      </c>
      <c r="G97" s="168">
        <f t="shared" si="25"/>
        <v>620</v>
      </c>
      <c r="H97" s="168">
        <f t="shared" si="25"/>
        <v>949</v>
      </c>
      <c r="I97" s="168">
        <f t="shared" si="25"/>
        <v>1312</v>
      </c>
      <c r="J97" s="140"/>
    </row>
    <row r="98" spans="1:14" ht="20.100000000000001" customHeight="1">
      <c r="A98" s="8" t="s">
        <v>305</v>
      </c>
      <c r="B98" s="7">
        <v>1501</v>
      </c>
      <c r="C98" s="168">
        <f t="shared" ref="C98:E98" si="26">C10</f>
        <v>0</v>
      </c>
      <c r="D98" s="168">
        <f t="shared" si="26"/>
        <v>0</v>
      </c>
      <c r="E98" s="168">
        <f t="shared" si="26"/>
        <v>0</v>
      </c>
      <c r="F98" s="168">
        <f t="shared" ref="F98:I98" si="27">F10</f>
        <v>0</v>
      </c>
      <c r="G98" s="168">
        <f t="shared" si="27"/>
        <v>0</v>
      </c>
      <c r="H98" s="168">
        <f t="shared" si="27"/>
        <v>0</v>
      </c>
      <c r="I98" s="168">
        <f t="shared" si="27"/>
        <v>0</v>
      </c>
      <c r="J98" s="140"/>
    </row>
    <row r="99" spans="1:14">
      <c r="A99" s="8" t="s">
        <v>28</v>
      </c>
      <c r="B99" s="7">
        <v>1502</v>
      </c>
      <c r="C99" s="168">
        <v>1030</v>
      </c>
      <c r="D99" s="168">
        <v>1087</v>
      </c>
      <c r="E99" s="224">
        <v>1087</v>
      </c>
      <c r="F99" s="224">
        <f>F11+F12+27</f>
        <v>311</v>
      </c>
      <c r="G99" s="224">
        <f>G11+G12+52</f>
        <v>620</v>
      </c>
      <c r="H99" s="224">
        <f>H11+H12+97</f>
        <v>949</v>
      </c>
      <c r="I99" s="224">
        <f>I11+I12+177</f>
        <v>1312</v>
      </c>
      <c r="J99" s="264"/>
    </row>
    <row r="100" spans="1:14" ht="20.100000000000001" customHeight="1">
      <c r="A100" s="8" t="s">
        <v>5</v>
      </c>
      <c r="B100" s="74">
        <v>1510</v>
      </c>
      <c r="C100" s="168">
        <f>C13+C32+C52</f>
        <v>3832</v>
      </c>
      <c r="D100" s="168">
        <v>4550</v>
      </c>
      <c r="E100" s="224">
        <f>E13+E32</f>
        <v>4550</v>
      </c>
      <c r="F100" s="224">
        <f>F13+F32</f>
        <v>1128.9610499999999</v>
      </c>
      <c r="G100" s="224">
        <f>G13+G32</f>
        <v>2257.9220999999998</v>
      </c>
      <c r="H100" s="224">
        <f>H13+H32</f>
        <v>3386.8831499999997</v>
      </c>
      <c r="I100" s="224">
        <f>I13+I32</f>
        <v>4515.8441999999995</v>
      </c>
      <c r="J100" s="140"/>
      <c r="K100" s="297">
        <f>штатка!V48/1000</f>
        <v>1128.9610499999999</v>
      </c>
      <c r="L100" s="297">
        <f>штатка!W48/1000</f>
        <v>2257.9220999999998</v>
      </c>
      <c r="M100" s="297">
        <f>штатка!X48/1000</f>
        <v>3386.8831499999997</v>
      </c>
      <c r="N100" s="297">
        <f>штатка!Y48/1000</f>
        <v>4515.8441999999995</v>
      </c>
    </row>
    <row r="101" spans="1:14" ht="20.100000000000001" customHeight="1">
      <c r="A101" s="8" t="s">
        <v>6</v>
      </c>
      <c r="B101" s="74">
        <v>1520</v>
      </c>
      <c r="C101" s="168">
        <f>C14+C33</f>
        <v>834</v>
      </c>
      <c r="D101" s="168">
        <v>952</v>
      </c>
      <c r="E101" s="224">
        <f>E14+E33</f>
        <v>952</v>
      </c>
      <c r="F101" s="224">
        <f>F14+F33</f>
        <v>233.4122215125</v>
      </c>
      <c r="G101" s="224">
        <f t="shared" ref="G101:I101" si="28">G14+G33</f>
        <v>466.82444302499999</v>
      </c>
      <c r="H101" s="224">
        <f t="shared" si="28"/>
        <v>700.23666453750002</v>
      </c>
      <c r="I101" s="224">
        <f t="shared" si="28"/>
        <v>933.64888604999999</v>
      </c>
      <c r="J101" s="140"/>
      <c r="K101" s="297">
        <f>штатка!V49/1000</f>
        <v>233.4122215125</v>
      </c>
      <c r="L101" s="297">
        <f>штатка!W49/1000</f>
        <v>466.82444302499999</v>
      </c>
      <c r="M101" s="297">
        <f>штатка!X49/1000</f>
        <v>700.23666453749991</v>
      </c>
      <c r="N101" s="297">
        <f>штатка!Y49/1000</f>
        <v>933.64888604999999</v>
      </c>
    </row>
    <row r="102" spans="1:14">
      <c r="A102" s="8" t="s">
        <v>7</v>
      </c>
      <c r="B102" s="74">
        <v>1530</v>
      </c>
      <c r="C102" s="168">
        <v>268</v>
      </c>
      <c r="D102" s="168">
        <v>293</v>
      </c>
      <c r="E102" s="224">
        <f>E16+E34+E53+31</f>
        <v>299</v>
      </c>
      <c r="F102" s="224">
        <f>F16+F34+F53+7</f>
        <v>36</v>
      </c>
      <c r="G102" s="224">
        <f>G16+G34+G53+15</f>
        <v>175</v>
      </c>
      <c r="H102" s="224">
        <f>H16+H34+H53+22</f>
        <v>254</v>
      </c>
      <c r="I102" s="224">
        <f>I16+I34+I53+25</f>
        <v>293</v>
      </c>
      <c r="J102" s="264"/>
      <c r="K102" s="261">
        <f>F101-F121</f>
        <v>0</v>
      </c>
      <c r="L102" s="261">
        <f t="shared" ref="L102:N102" si="29">G101-G121</f>
        <v>0</v>
      </c>
      <c r="M102" s="261">
        <f t="shared" si="29"/>
        <v>0</v>
      </c>
      <c r="N102" s="261">
        <f t="shared" si="29"/>
        <v>0</v>
      </c>
    </row>
    <row r="103" spans="1:14" ht="20.100000000000001" customHeight="1">
      <c r="A103" s="8" t="s">
        <v>29</v>
      </c>
      <c r="B103" s="74">
        <v>1540</v>
      </c>
      <c r="C103" s="168">
        <v>2332</v>
      </c>
      <c r="D103" s="168">
        <v>2869</v>
      </c>
      <c r="E103" s="224">
        <f>E88-E97-E100-E101-E102-E77</f>
        <v>1134.9999999999998</v>
      </c>
      <c r="F103" s="224">
        <f>F88-F97-F100-F101-F102-F77</f>
        <v>97.999999999999858</v>
      </c>
      <c r="G103" s="224">
        <f t="shared" ref="G103:I103" si="30">G88-G97-G100-G101-G102-G77</f>
        <v>240.99999999999972</v>
      </c>
      <c r="H103" s="224">
        <f t="shared" si="30"/>
        <v>351.00000000000045</v>
      </c>
      <c r="I103" s="224">
        <f t="shared" si="30"/>
        <v>483.99999999999943</v>
      </c>
      <c r="J103" s="236"/>
    </row>
    <row r="104" spans="1:14" s="5" customFormat="1" ht="20.100000000000001" customHeight="1">
      <c r="A104" s="10" t="s">
        <v>60</v>
      </c>
      <c r="B104" s="73">
        <v>1550</v>
      </c>
      <c r="C104" s="170">
        <f t="shared" ref="C104:I104" si="31">SUM(C97,C100:C103)</f>
        <v>8296</v>
      </c>
      <c r="D104" s="170">
        <f t="shared" si="31"/>
        <v>9751</v>
      </c>
      <c r="E104" s="251">
        <f t="shared" si="31"/>
        <v>8023</v>
      </c>
      <c r="F104" s="170">
        <f t="shared" si="31"/>
        <v>1807.3732715124997</v>
      </c>
      <c r="G104" s="170">
        <f t="shared" si="31"/>
        <v>3760.7465430249995</v>
      </c>
      <c r="H104" s="170">
        <f t="shared" si="31"/>
        <v>5641.1198145375001</v>
      </c>
      <c r="I104" s="170">
        <f t="shared" si="31"/>
        <v>7538.493086049999</v>
      </c>
      <c r="J104" s="141"/>
    </row>
    <row r="105" spans="1:14" s="5" customFormat="1" ht="20.100000000000001" customHeight="1">
      <c r="A105" s="131"/>
      <c r="B105" s="135"/>
      <c r="C105" s="136"/>
      <c r="D105" s="136"/>
      <c r="E105" s="241"/>
      <c r="F105" s="238"/>
      <c r="G105" s="238"/>
      <c r="H105" s="238"/>
      <c r="I105" s="238"/>
      <c r="J105" s="138"/>
    </row>
    <row r="106" spans="1:14" s="5" customFormat="1" ht="15.75" customHeight="1">
      <c r="A106" s="131"/>
      <c r="B106" s="135"/>
      <c r="C106" s="137"/>
      <c r="D106" s="137"/>
      <c r="E106" s="241"/>
      <c r="F106" s="238"/>
      <c r="G106" s="238"/>
      <c r="H106" s="238"/>
      <c r="I106" s="238"/>
      <c r="J106" s="138"/>
    </row>
    <row r="107" spans="1:14" ht="16.5" customHeight="1">
      <c r="A107" s="113"/>
      <c r="B107" s="109"/>
      <c r="C107" s="129"/>
      <c r="D107" s="130"/>
      <c r="E107" s="242"/>
      <c r="F107" s="238"/>
      <c r="G107" s="238"/>
      <c r="H107" s="238"/>
      <c r="I107" s="238"/>
      <c r="J107" s="108"/>
    </row>
    <row r="108" spans="1:14" s="215" customFormat="1" ht="16.5" customHeight="1">
      <c r="A108" s="212"/>
      <c r="B108" s="213"/>
      <c r="C108" s="214"/>
      <c r="D108" s="130"/>
      <c r="E108" s="243"/>
      <c r="F108" s="238"/>
      <c r="G108" s="238"/>
      <c r="H108" s="238"/>
      <c r="I108" s="238"/>
      <c r="J108" s="108"/>
    </row>
    <row r="109" spans="1:14" s="5" customFormat="1" ht="20.25" customHeight="1">
      <c r="A109" s="173" t="s">
        <v>403</v>
      </c>
      <c r="B109" s="147"/>
      <c r="C109" s="352" t="s">
        <v>404</v>
      </c>
      <c r="D109" s="353"/>
      <c r="E109" s="353"/>
      <c r="F109" s="178"/>
      <c r="G109" s="354" t="s">
        <v>402</v>
      </c>
      <c r="H109" s="354"/>
      <c r="I109" s="354"/>
      <c r="J109" s="138"/>
    </row>
    <row r="110" spans="1:14" s="1" customFormat="1" ht="20.100000000000001" customHeight="1">
      <c r="A110" s="95" t="s">
        <v>380</v>
      </c>
      <c r="B110" s="108"/>
      <c r="C110" s="344" t="s">
        <v>84</v>
      </c>
      <c r="D110" s="344"/>
      <c r="E110" s="344"/>
      <c r="F110" s="134"/>
      <c r="G110" s="345" t="s">
        <v>115</v>
      </c>
      <c r="H110" s="345"/>
      <c r="I110" s="345"/>
      <c r="J110" s="139"/>
    </row>
    <row r="111" spans="1:14" ht="20.100000000000001" customHeight="1">
      <c r="A111" s="220"/>
      <c r="B111" s="221"/>
      <c r="C111" s="222"/>
      <c r="D111" s="130"/>
      <c r="E111" s="244"/>
      <c r="F111" s="130"/>
      <c r="G111" s="130"/>
      <c r="H111" s="130"/>
      <c r="I111" s="130"/>
      <c r="J111" s="108"/>
    </row>
    <row r="112" spans="1:14">
      <c r="A112" s="220"/>
      <c r="B112" s="221"/>
      <c r="C112" s="222"/>
      <c r="D112" s="130"/>
      <c r="E112" s="244"/>
      <c r="F112" s="130"/>
      <c r="G112" s="130"/>
      <c r="H112" s="130"/>
      <c r="I112" s="130"/>
      <c r="J112" s="108"/>
    </row>
    <row r="113" spans="1:10">
      <c r="A113" s="220"/>
      <c r="B113" s="221"/>
      <c r="C113" s="222"/>
      <c r="D113" s="130"/>
      <c r="E113" s="244" t="s">
        <v>472</v>
      </c>
      <c r="F113" s="130">
        <v>27</v>
      </c>
      <c r="G113" s="130">
        <v>52</v>
      </c>
      <c r="H113" s="130">
        <v>97</v>
      </c>
      <c r="I113" s="252">
        <v>177</v>
      </c>
      <c r="J113" s="238"/>
    </row>
    <row r="114" spans="1:10">
      <c r="A114" s="220"/>
      <c r="B114" s="221"/>
      <c r="C114" s="222"/>
      <c r="D114" s="130"/>
      <c r="E114" s="244" t="s">
        <v>214</v>
      </c>
      <c r="F114" s="130">
        <v>7</v>
      </c>
      <c r="G114" s="130">
        <v>15</v>
      </c>
      <c r="H114" s="130">
        <v>22</v>
      </c>
      <c r="I114" s="252">
        <v>25</v>
      </c>
      <c r="J114" s="108"/>
    </row>
    <row r="115" spans="1:10">
      <c r="A115" s="220"/>
      <c r="B115" s="221"/>
      <c r="C115" s="222"/>
      <c r="D115" s="130"/>
      <c r="E115" s="244" t="s">
        <v>471</v>
      </c>
      <c r="F115" s="130">
        <f>F113+F114</f>
        <v>34</v>
      </c>
      <c r="G115" s="252">
        <f t="shared" ref="G115:I115" si="32">G113+G114</f>
        <v>67</v>
      </c>
      <c r="H115" s="252">
        <f t="shared" si="32"/>
        <v>119</v>
      </c>
      <c r="I115" s="252">
        <f t="shared" si="32"/>
        <v>202</v>
      </c>
      <c r="J115" s="108"/>
    </row>
    <row r="116" spans="1:10">
      <c r="A116" s="220"/>
      <c r="B116" s="221"/>
      <c r="C116" s="222"/>
      <c r="D116" s="130"/>
      <c r="E116" s="244" t="s">
        <v>473</v>
      </c>
      <c r="F116" s="237">
        <f t="shared" ref="F116:H116" si="33">F25</f>
        <v>34</v>
      </c>
      <c r="G116" s="260">
        <f t="shared" si="33"/>
        <v>67</v>
      </c>
      <c r="H116" s="260">
        <f t="shared" si="33"/>
        <v>119</v>
      </c>
      <c r="I116" s="260">
        <f>I25</f>
        <v>202</v>
      </c>
      <c r="J116" s="108"/>
    </row>
    <row r="117" spans="1:10">
      <c r="A117" s="220"/>
      <c r="B117" s="221"/>
      <c r="C117" s="222"/>
      <c r="D117" s="130"/>
      <c r="E117" s="242"/>
      <c r="F117" s="108"/>
      <c r="G117" s="108"/>
      <c r="H117" s="108"/>
      <c r="I117" s="108"/>
      <c r="J117" s="108"/>
    </row>
    <row r="118" spans="1:10">
      <c r="A118" s="220"/>
      <c r="B118" s="221"/>
      <c r="C118" s="222"/>
      <c r="D118" s="130"/>
      <c r="E118" s="242"/>
      <c r="F118" s="108"/>
      <c r="G118" s="108"/>
      <c r="H118" s="108"/>
      <c r="I118" s="108"/>
      <c r="J118" s="108"/>
    </row>
    <row r="119" spans="1:10">
      <c r="A119" s="220"/>
      <c r="B119" s="221"/>
      <c r="C119" s="222"/>
      <c r="D119" s="130"/>
      <c r="E119" s="242"/>
      <c r="F119" s="108"/>
      <c r="G119" s="108"/>
      <c r="H119" s="108"/>
      <c r="I119" s="108"/>
      <c r="J119" s="108"/>
    </row>
    <row r="120" spans="1:10">
      <c r="A120" s="220"/>
      <c r="B120" s="221"/>
      <c r="C120" s="222"/>
      <c r="D120" s="130"/>
      <c r="E120" s="245" t="s">
        <v>439</v>
      </c>
      <c r="F120" s="217">
        <f>(штатка!V45+штатка!V46)/1000</f>
        <v>110.075125</v>
      </c>
      <c r="G120" s="217">
        <f>(штатка!W45+штатка!W46)/1000</f>
        <v>220.15025</v>
      </c>
      <c r="H120" s="217">
        <f>(штатка!X45+штатка!X46)/1000</f>
        <v>330.22537499999999</v>
      </c>
      <c r="I120" s="217">
        <f>(штатка!Y45+штатка!Y46)/1000</f>
        <v>440.3005</v>
      </c>
      <c r="J120" s="108"/>
    </row>
    <row r="121" spans="1:10">
      <c r="A121" s="220"/>
      <c r="B121" s="221"/>
      <c r="C121" s="222"/>
      <c r="D121" s="130"/>
      <c r="E121" s="245" t="s">
        <v>440</v>
      </c>
      <c r="F121" s="219">
        <f>(F100-F120)*22%+F120*8.41%</f>
        <v>233.4122215125</v>
      </c>
      <c r="G121" s="219">
        <f>(G100-G120)*22%+G120*8.41%</f>
        <v>466.82444302499999</v>
      </c>
      <c r="H121" s="219">
        <f>(H100-H120)*22%+H120*8.41%</f>
        <v>700.23666453749991</v>
      </c>
      <c r="I121" s="219">
        <f>(I100-I120)*22%+I120*8.41%</f>
        <v>933.64888604999999</v>
      </c>
      <c r="J121" s="108"/>
    </row>
    <row r="122" spans="1:10">
      <c r="A122" s="220"/>
      <c r="B122" s="221"/>
      <c r="C122" s="222"/>
      <c r="D122" s="130"/>
      <c r="E122" s="246" t="s">
        <v>441</v>
      </c>
      <c r="F122" s="218">
        <f>F100*18%</f>
        <v>203.21298899999996</v>
      </c>
      <c r="G122" s="218">
        <f>G100*18%</f>
        <v>406.42597799999993</v>
      </c>
      <c r="H122" s="218">
        <f>H100*18%</f>
        <v>609.63896699999987</v>
      </c>
      <c r="I122" s="218">
        <f>I100*18%</f>
        <v>812.85195599999986</v>
      </c>
      <c r="J122" s="108"/>
    </row>
    <row r="123" spans="1:10">
      <c r="A123" s="220"/>
      <c r="B123" s="221"/>
      <c r="C123" s="222"/>
      <c r="D123" s="130"/>
      <c r="E123" s="246" t="s">
        <v>442</v>
      </c>
      <c r="F123" s="218">
        <f>F100*1.5%</f>
        <v>16.934415749999999</v>
      </c>
      <c r="G123" s="218">
        <f>G100*1.5%</f>
        <v>33.868831499999999</v>
      </c>
      <c r="H123" s="218">
        <f>H100*1.5%</f>
        <v>50.803247249999991</v>
      </c>
      <c r="I123" s="218">
        <f>I100*1.5%</f>
        <v>67.737662999999998</v>
      </c>
      <c r="J123" s="108"/>
    </row>
    <row r="124" spans="1:10">
      <c r="A124" s="220"/>
      <c r="B124" s="221"/>
      <c r="C124" s="222"/>
      <c r="D124" s="130"/>
      <c r="E124" s="244"/>
      <c r="F124" s="130"/>
      <c r="G124" s="130"/>
      <c r="H124" s="130"/>
      <c r="I124" s="130"/>
      <c r="J124" s="108"/>
    </row>
    <row r="125" spans="1:10">
      <c r="A125" s="220"/>
      <c r="B125" s="221"/>
      <c r="C125" s="222"/>
      <c r="D125" s="130"/>
      <c r="E125" s="244"/>
      <c r="F125" s="130"/>
      <c r="G125" s="130"/>
      <c r="H125" s="130"/>
      <c r="I125" s="130"/>
      <c r="J125" s="108"/>
    </row>
    <row r="126" spans="1:10">
      <c r="A126" s="220"/>
      <c r="B126" s="221"/>
      <c r="C126" s="222"/>
      <c r="D126" s="130"/>
      <c r="E126" s="244"/>
      <c r="F126" s="130"/>
      <c r="G126" s="130"/>
      <c r="H126" s="130"/>
      <c r="I126" s="130"/>
      <c r="J126" s="108"/>
    </row>
    <row r="127" spans="1:10">
      <c r="A127" s="220"/>
      <c r="B127" s="221"/>
      <c r="C127" s="222"/>
      <c r="D127" s="130"/>
      <c r="E127" s="244"/>
      <c r="F127" s="130"/>
      <c r="G127" s="130"/>
      <c r="H127" s="130"/>
      <c r="I127" s="130"/>
      <c r="J127" s="108"/>
    </row>
    <row r="128" spans="1:10">
      <c r="A128" s="27"/>
      <c r="C128" s="32"/>
      <c r="D128" s="28"/>
      <c r="E128" s="247"/>
      <c r="F128" s="28"/>
      <c r="G128" s="28"/>
      <c r="H128" s="28"/>
      <c r="I128" s="28"/>
    </row>
    <row r="129" spans="1:9">
      <c r="A129" s="27"/>
      <c r="C129" s="32"/>
      <c r="D129" s="28"/>
      <c r="E129" s="247"/>
      <c r="F129" s="28"/>
      <c r="G129" s="28"/>
      <c r="H129" s="28"/>
      <c r="I129" s="28"/>
    </row>
    <row r="130" spans="1:9">
      <c r="A130" s="27"/>
      <c r="C130" s="32"/>
      <c r="D130" s="28"/>
      <c r="E130" s="247"/>
      <c r="F130" s="28"/>
      <c r="G130" s="28"/>
      <c r="H130" s="28"/>
      <c r="I130" s="28"/>
    </row>
    <row r="131" spans="1:9">
      <c r="A131" s="27"/>
      <c r="C131" s="32"/>
      <c r="D131" s="28"/>
      <c r="E131" s="247"/>
      <c r="F131" s="28"/>
      <c r="G131" s="28"/>
      <c r="H131" s="28"/>
      <c r="I131" s="28"/>
    </row>
    <row r="132" spans="1:9">
      <c r="A132" s="27"/>
      <c r="C132" s="32"/>
      <c r="D132" s="28"/>
      <c r="E132" s="247"/>
      <c r="F132" s="28"/>
      <c r="G132" s="28"/>
      <c r="H132" s="28"/>
      <c r="I132" s="28"/>
    </row>
    <row r="133" spans="1:9">
      <c r="A133" s="27"/>
      <c r="C133" s="32"/>
      <c r="D133" s="28"/>
      <c r="E133" s="247"/>
      <c r="F133" s="28"/>
      <c r="G133" s="28"/>
      <c r="H133" s="28"/>
      <c r="I133" s="28"/>
    </row>
    <row r="134" spans="1:9">
      <c r="A134" s="27"/>
      <c r="C134" s="32"/>
      <c r="D134" s="28"/>
      <c r="E134" s="247"/>
      <c r="F134" s="28"/>
      <c r="G134" s="28"/>
      <c r="H134" s="28"/>
      <c r="I134" s="28"/>
    </row>
    <row r="135" spans="1:9">
      <c r="A135" s="27"/>
      <c r="C135" s="32"/>
      <c r="D135" s="28"/>
      <c r="E135" s="247"/>
      <c r="F135" s="28"/>
      <c r="G135" s="28"/>
      <c r="H135" s="28"/>
      <c r="I135" s="28"/>
    </row>
    <row r="136" spans="1:9">
      <c r="A136" s="27"/>
      <c r="C136" s="32"/>
      <c r="D136" s="28"/>
      <c r="E136" s="247"/>
      <c r="F136" s="28"/>
      <c r="G136" s="28"/>
      <c r="H136" s="28"/>
      <c r="I136" s="28"/>
    </row>
    <row r="137" spans="1:9">
      <c r="A137" s="27"/>
      <c r="C137" s="32"/>
      <c r="D137" s="28"/>
      <c r="E137" s="247"/>
      <c r="F137" s="28"/>
      <c r="G137" s="28"/>
      <c r="H137" s="28"/>
      <c r="I137" s="28"/>
    </row>
    <row r="138" spans="1:9">
      <c r="A138" s="27"/>
      <c r="C138" s="32"/>
      <c r="D138" s="28"/>
      <c r="E138" s="247"/>
      <c r="F138" s="28"/>
      <c r="G138" s="28"/>
      <c r="H138" s="28"/>
      <c r="I138" s="28"/>
    </row>
    <row r="139" spans="1:9">
      <c r="A139" s="27"/>
      <c r="C139" s="32"/>
      <c r="D139" s="28"/>
      <c r="E139" s="247"/>
      <c r="F139" s="28"/>
      <c r="G139" s="28"/>
      <c r="H139" s="28"/>
      <c r="I139" s="28"/>
    </row>
    <row r="140" spans="1:9">
      <c r="A140" s="27"/>
      <c r="C140" s="32"/>
      <c r="D140" s="28"/>
      <c r="E140" s="247"/>
      <c r="F140" s="28"/>
      <c r="G140" s="28"/>
      <c r="H140" s="28"/>
      <c r="I140" s="28"/>
    </row>
    <row r="141" spans="1:9">
      <c r="A141" s="27"/>
      <c r="C141" s="32"/>
      <c r="D141" s="28"/>
      <c r="E141" s="247"/>
      <c r="F141" s="28"/>
      <c r="G141" s="28"/>
      <c r="H141" s="28"/>
      <c r="I141" s="28"/>
    </row>
    <row r="142" spans="1:9">
      <c r="A142" s="27"/>
      <c r="C142" s="32"/>
      <c r="D142" s="28"/>
      <c r="E142" s="247"/>
      <c r="F142" s="28"/>
      <c r="G142" s="28"/>
      <c r="H142" s="28"/>
      <c r="I142" s="28"/>
    </row>
    <row r="143" spans="1:9">
      <c r="A143" s="27"/>
      <c r="C143" s="32"/>
      <c r="D143" s="28"/>
      <c r="E143" s="247"/>
      <c r="F143" s="28"/>
      <c r="G143" s="28"/>
      <c r="H143" s="28"/>
      <c r="I143" s="28"/>
    </row>
    <row r="144" spans="1:9">
      <c r="A144" s="27"/>
      <c r="C144" s="32"/>
      <c r="D144" s="28"/>
      <c r="E144" s="247"/>
      <c r="F144" s="28"/>
      <c r="G144" s="28"/>
      <c r="H144" s="28"/>
      <c r="I144" s="28"/>
    </row>
    <row r="145" spans="1:9">
      <c r="A145" s="27"/>
      <c r="C145" s="32"/>
      <c r="D145" s="28"/>
      <c r="E145" s="247"/>
      <c r="F145" s="28"/>
      <c r="G145" s="28"/>
      <c r="H145" s="28"/>
      <c r="I145" s="28"/>
    </row>
    <row r="146" spans="1:9">
      <c r="A146" s="27"/>
      <c r="C146" s="32"/>
      <c r="D146" s="28"/>
      <c r="E146" s="247"/>
      <c r="F146" s="28"/>
      <c r="G146" s="28"/>
      <c r="H146" s="28"/>
      <c r="I146" s="28"/>
    </row>
    <row r="147" spans="1:9">
      <c r="A147" s="27"/>
      <c r="C147" s="32"/>
      <c r="D147" s="28"/>
      <c r="E147" s="247"/>
      <c r="F147" s="28"/>
      <c r="G147" s="28"/>
      <c r="H147" s="28"/>
      <c r="I147" s="28"/>
    </row>
    <row r="148" spans="1:9">
      <c r="A148" s="27"/>
      <c r="C148" s="32"/>
      <c r="D148" s="28"/>
      <c r="E148" s="247"/>
      <c r="F148" s="28"/>
      <c r="G148" s="28"/>
      <c r="H148" s="28"/>
      <c r="I148" s="28"/>
    </row>
    <row r="149" spans="1:9">
      <c r="A149" s="27"/>
      <c r="C149" s="32"/>
      <c r="D149" s="28"/>
      <c r="E149" s="247"/>
      <c r="F149" s="28"/>
      <c r="G149" s="28"/>
      <c r="H149" s="28"/>
      <c r="I149" s="28"/>
    </row>
    <row r="150" spans="1:9">
      <c r="A150" s="27"/>
      <c r="C150" s="32"/>
      <c r="D150" s="28"/>
      <c r="E150" s="247"/>
      <c r="F150" s="28"/>
      <c r="G150" s="28"/>
      <c r="H150" s="28"/>
      <c r="I150" s="28"/>
    </row>
    <row r="151" spans="1:9">
      <c r="A151" s="27"/>
      <c r="C151" s="32"/>
      <c r="D151" s="28"/>
      <c r="E151" s="247"/>
      <c r="F151" s="28"/>
      <c r="G151" s="28"/>
      <c r="H151" s="28"/>
      <c r="I151" s="28"/>
    </row>
    <row r="152" spans="1:9">
      <c r="A152" s="27"/>
      <c r="C152" s="32"/>
      <c r="D152" s="28"/>
      <c r="E152" s="247"/>
      <c r="F152" s="28"/>
      <c r="G152" s="28"/>
      <c r="H152" s="28"/>
      <c r="I152" s="28"/>
    </row>
    <row r="153" spans="1:9">
      <c r="A153" s="27"/>
      <c r="C153" s="32"/>
      <c r="D153" s="28"/>
      <c r="E153" s="247"/>
      <c r="F153" s="28"/>
      <c r="G153" s="28"/>
      <c r="H153" s="28"/>
      <c r="I153" s="28"/>
    </row>
    <row r="154" spans="1:9">
      <c r="A154" s="27"/>
      <c r="C154" s="32"/>
      <c r="D154" s="28"/>
      <c r="E154" s="247"/>
      <c r="F154" s="28"/>
      <c r="G154" s="28"/>
      <c r="H154" s="28"/>
      <c r="I154" s="28"/>
    </row>
    <row r="155" spans="1:9">
      <c r="A155" s="27"/>
      <c r="C155" s="32"/>
      <c r="D155" s="28"/>
      <c r="E155" s="247"/>
      <c r="F155" s="28"/>
      <c r="G155" s="28"/>
      <c r="H155" s="28"/>
      <c r="I155" s="28"/>
    </row>
    <row r="156" spans="1:9">
      <c r="A156" s="27"/>
      <c r="C156" s="32"/>
      <c r="D156" s="28"/>
      <c r="E156" s="247"/>
      <c r="F156" s="28"/>
      <c r="G156" s="28"/>
      <c r="H156" s="28"/>
      <c r="I156" s="28"/>
    </row>
    <row r="157" spans="1:9">
      <c r="A157" s="27"/>
      <c r="C157" s="32"/>
      <c r="D157" s="28"/>
      <c r="E157" s="247"/>
      <c r="F157" s="28"/>
      <c r="G157" s="28"/>
      <c r="H157" s="28"/>
      <c r="I157" s="28"/>
    </row>
    <row r="158" spans="1:9">
      <c r="A158" s="27"/>
      <c r="C158" s="32"/>
      <c r="D158" s="28"/>
      <c r="E158" s="247"/>
      <c r="F158" s="28"/>
      <c r="G158" s="28"/>
      <c r="H158" s="28"/>
      <c r="I158" s="28"/>
    </row>
    <row r="159" spans="1:9">
      <c r="A159" s="27"/>
      <c r="C159" s="32"/>
      <c r="D159" s="28"/>
      <c r="E159" s="247"/>
      <c r="F159" s="28"/>
      <c r="G159" s="28"/>
      <c r="H159" s="28"/>
      <c r="I159" s="28"/>
    </row>
    <row r="160" spans="1:9">
      <c r="A160" s="27"/>
      <c r="C160" s="32"/>
      <c r="D160" s="28"/>
      <c r="E160" s="247"/>
      <c r="F160" s="28"/>
      <c r="G160" s="28"/>
      <c r="H160" s="28"/>
      <c r="I160" s="28"/>
    </row>
    <row r="161" spans="1:9">
      <c r="A161" s="27"/>
      <c r="C161" s="32"/>
      <c r="D161" s="28"/>
      <c r="E161" s="247"/>
      <c r="F161" s="28"/>
      <c r="G161" s="28"/>
      <c r="H161" s="28"/>
      <c r="I161" s="28"/>
    </row>
    <row r="162" spans="1:9">
      <c r="A162" s="27"/>
      <c r="C162" s="32"/>
      <c r="D162" s="28"/>
      <c r="E162" s="247"/>
      <c r="F162" s="28"/>
      <c r="G162" s="28"/>
      <c r="H162" s="28"/>
      <c r="I162" s="28"/>
    </row>
    <row r="163" spans="1:9">
      <c r="A163" s="27"/>
      <c r="C163" s="32"/>
      <c r="D163" s="28"/>
      <c r="E163" s="247"/>
      <c r="F163" s="28"/>
      <c r="G163" s="28"/>
      <c r="H163" s="28"/>
      <c r="I163" s="28"/>
    </row>
    <row r="164" spans="1:9">
      <c r="A164" s="27"/>
      <c r="C164" s="32"/>
      <c r="D164" s="28"/>
      <c r="E164" s="247"/>
      <c r="F164" s="28"/>
      <c r="G164" s="28"/>
      <c r="H164" s="28"/>
      <c r="I164" s="28"/>
    </row>
    <row r="165" spans="1:9">
      <c r="A165" s="27"/>
      <c r="C165" s="32"/>
      <c r="D165" s="28"/>
      <c r="E165" s="247"/>
      <c r="F165" s="28"/>
      <c r="G165" s="28"/>
      <c r="H165" s="28"/>
      <c r="I165" s="28"/>
    </row>
    <row r="166" spans="1:9">
      <c r="A166" s="27"/>
      <c r="C166" s="32"/>
      <c r="D166" s="28"/>
      <c r="E166" s="247"/>
      <c r="F166" s="28"/>
      <c r="G166" s="28"/>
      <c r="H166" s="28"/>
      <c r="I166" s="28"/>
    </row>
    <row r="167" spans="1:9">
      <c r="A167" s="27"/>
      <c r="C167" s="32"/>
      <c r="D167" s="28"/>
      <c r="E167" s="247"/>
      <c r="F167" s="28"/>
      <c r="G167" s="28"/>
      <c r="H167" s="28"/>
      <c r="I167" s="28"/>
    </row>
    <row r="168" spans="1:9">
      <c r="A168" s="27"/>
      <c r="C168" s="32"/>
      <c r="D168" s="28"/>
      <c r="E168" s="247"/>
      <c r="F168" s="28"/>
      <c r="G168" s="28"/>
      <c r="H168" s="28"/>
      <c r="I168" s="28"/>
    </row>
    <row r="169" spans="1:9">
      <c r="A169" s="50"/>
    </row>
    <row r="170" spans="1:9">
      <c r="A170" s="50"/>
    </row>
    <row r="171" spans="1:9">
      <c r="A171" s="50"/>
    </row>
    <row r="172" spans="1:9">
      <c r="A172" s="50"/>
    </row>
    <row r="173" spans="1:9">
      <c r="A173" s="50"/>
    </row>
    <row r="174" spans="1:9">
      <c r="A174" s="50"/>
    </row>
    <row r="175" spans="1:9">
      <c r="A175" s="50"/>
    </row>
    <row r="176" spans="1:9">
      <c r="A176" s="50"/>
    </row>
    <row r="177" spans="1:5">
      <c r="A177" s="50"/>
    </row>
    <row r="178" spans="1:5">
      <c r="A178" s="50"/>
    </row>
    <row r="179" spans="1:5">
      <c r="A179" s="50"/>
      <c r="B179" s="2"/>
      <c r="C179" s="2"/>
      <c r="D179" s="2"/>
      <c r="E179" s="249"/>
    </row>
    <row r="180" spans="1:5">
      <c r="A180" s="50"/>
      <c r="B180" s="2"/>
      <c r="C180" s="2"/>
      <c r="D180" s="2"/>
      <c r="E180" s="249"/>
    </row>
    <row r="181" spans="1:5">
      <c r="A181" s="50"/>
      <c r="B181" s="2"/>
      <c r="C181" s="2"/>
      <c r="D181" s="2"/>
      <c r="E181" s="249"/>
    </row>
    <row r="182" spans="1:5">
      <c r="A182" s="50"/>
      <c r="B182" s="2"/>
      <c r="C182" s="2"/>
      <c r="D182" s="2"/>
      <c r="E182" s="249"/>
    </row>
    <row r="183" spans="1:5">
      <c r="A183" s="50"/>
      <c r="B183" s="2"/>
      <c r="C183" s="2"/>
      <c r="D183" s="2"/>
      <c r="E183" s="249"/>
    </row>
    <row r="184" spans="1:5">
      <c r="A184" s="50"/>
      <c r="B184" s="2"/>
      <c r="C184" s="2"/>
      <c r="D184" s="2"/>
      <c r="E184" s="249"/>
    </row>
    <row r="185" spans="1:5">
      <c r="A185" s="50"/>
      <c r="B185" s="2"/>
      <c r="C185" s="2"/>
      <c r="D185" s="2"/>
      <c r="E185" s="249"/>
    </row>
    <row r="186" spans="1:5">
      <c r="A186" s="50"/>
      <c r="B186" s="2"/>
      <c r="C186" s="2"/>
      <c r="D186" s="2"/>
      <c r="E186" s="249"/>
    </row>
    <row r="187" spans="1:5">
      <c r="A187" s="50"/>
      <c r="B187" s="2"/>
      <c r="C187" s="2"/>
      <c r="D187" s="2"/>
      <c r="E187" s="249"/>
    </row>
    <row r="188" spans="1:5">
      <c r="A188" s="50"/>
      <c r="B188" s="2"/>
      <c r="C188" s="2"/>
      <c r="D188" s="2"/>
      <c r="E188" s="249"/>
    </row>
    <row r="189" spans="1:5">
      <c r="A189" s="50"/>
      <c r="B189" s="2"/>
      <c r="C189" s="2"/>
      <c r="D189" s="2"/>
      <c r="E189" s="249"/>
    </row>
    <row r="190" spans="1:5">
      <c r="A190" s="50"/>
      <c r="B190" s="2"/>
      <c r="C190" s="2"/>
      <c r="D190" s="2"/>
      <c r="E190" s="249"/>
    </row>
    <row r="191" spans="1:5">
      <c r="A191" s="50"/>
      <c r="B191" s="2"/>
      <c r="C191" s="2"/>
      <c r="D191" s="2"/>
      <c r="E191" s="249"/>
    </row>
    <row r="192" spans="1:5">
      <c r="A192" s="50"/>
      <c r="B192" s="2"/>
      <c r="C192" s="2"/>
      <c r="D192" s="2"/>
      <c r="E192" s="249"/>
    </row>
    <row r="193" spans="1:5">
      <c r="A193" s="50"/>
      <c r="B193" s="2"/>
      <c r="C193" s="2"/>
      <c r="D193" s="2"/>
      <c r="E193" s="249"/>
    </row>
    <row r="194" spans="1:5">
      <c r="A194" s="50"/>
      <c r="B194" s="2"/>
      <c r="C194" s="2"/>
      <c r="D194" s="2"/>
      <c r="E194" s="249"/>
    </row>
    <row r="195" spans="1:5">
      <c r="A195" s="50"/>
      <c r="B195" s="2"/>
      <c r="C195" s="2"/>
      <c r="D195" s="2"/>
      <c r="E195" s="249"/>
    </row>
    <row r="196" spans="1:5">
      <c r="A196" s="50"/>
      <c r="B196" s="2"/>
      <c r="C196" s="2"/>
      <c r="D196" s="2"/>
      <c r="E196" s="249"/>
    </row>
    <row r="197" spans="1:5">
      <c r="A197" s="50"/>
      <c r="B197" s="2"/>
      <c r="C197" s="2"/>
      <c r="D197" s="2"/>
      <c r="E197" s="249"/>
    </row>
    <row r="198" spans="1:5">
      <c r="A198" s="50"/>
      <c r="B198" s="2"/>
      <c r="C198" s="2"/>
      <c r="D198" s="2"/>
      <c r="E198" s="249"/>
    </row>
    <row r="199" spans="1:5">
      <c r="A199" s="50"/>
      <c r="B199" s="2"/>
      <c r="C199" s="2"/>
      <c r="D199" s="2"/>
      <c r="E199" s="249"/>
    </row>
    <row r="200" spans="1:5">
      <c r="A200" s="50"/>
      <c r="B200" s="2"/>
      <c r="C200" s="2"/>
      <c r="D200" s="2"/>
      <c r="E200" s="249"/>
    </row>
    <row r="201" spans="1:5">
      <c r="A201" s="50"/>
      <c r="B201" s="2"/>
      <c r="C201" s="2"/>
      <c r="D201" s="2"/>
      <c r="E201" s="249"/>
    </row>
    <row r="202" spans="1:5">
      <c r="A202" s="50"/>
      <c r="B202" s="2"/>
      <c r="C202" s="2"/>
      <c r="D202" s="2"/>
      <c r="E202" s="249"/>
    </row>
    <row r="203" spans="1:5">
      <c r="A203" s="50"/>
      <c r="B203" s="2"/>
      <c r="C203" s="2"/>
      <c r="D203" s="2"/>
      <c r="E203" s="249"/>
    </row>
    <row r="204" spans="1:5">
      <c r="A204" s="50"/>
      <c r="B204" s="2"/>
      <c r="C204" s="2"/>
      <c r="D204" s="2"/>
      <c r="E204" s="249"/>
    </row>
    <row r="205" spans="1:5">
      <c r="A205" s="50"/>
      <c r="B205" s="2"/>
      <c r="C205" s="2"/>
      <c r="D205" s="2"/>
      <c r="E205" s="249"/>
    </row>
    <row r="206" spans="1:5">
      <c r="A206" s="50"/>
      <c r="B206" s="2"/>
      <c r="C206" s="2"/>
      <c r="D206" s="2"/>
      <c r="E206" s="249"/>
    </row>
    <row r="207" spans="1:5">
      <c r="A207" s="50"/>
      <c r="B207" s="2"/>
      <c r="C207" s="2"/>
      <c r="D207" s="2"/>
      <c r="E207" s="249"/>
    </row>
    <row r="208" spans="1:5">
      <c r="A208" s="50"/>
      <c r="B208" s="2"/>
      <c r="C208" s="2"/>
      <c r="D208" s="2"/>
      <c r="E208" s="249"/>
    </row>
    <row r="209" spans="1:5">
      <c r="A209" s="50"/>
      <c r="B209" s="2"/>
      <c r="C209" s="2"/>
      <c r="D209" s="2"/>
      <c r="E209" s="249"/>
    </row>
    <row r="210" spans="1:5">
      <c r="A210" s="50"/>
      <c r="B210" s="2"/>
      <c r="C210" s="2"/>
      <c r="D210" s="2"/>
      <c r="E210" s="249"/>
    </row>
    <row r="211" spans="1:5">
      <c r="A211" s="50"/>
      <c r="B211" s="2"/>
      <c r="C211" s="2"/>
      <c r="D211" s="2"/>
      <c r="E211" s="249"/>
    </row>
    <row r="212" spans="1:5">
      <c r="A212" s="50"/>
      <c r="B212" s="2"/>
      <c r="C212" s="2"/>
      <c r="D212" s="2"/>
      <c r="E212" s="249"/>
    </row>
    <row r="213" spans="1:5">
      <c r="A213" s="50"/>
      <c r="B213" s="2"/>
      <c r="C213" s="2"/>
      <c r="D213" s="2"/>
      <c r="E213" s="249"/>
    </row>
    <row r="214" spans="1:5">
      <c r="A214" s="50"/>
      <c r="B214" s="2"/>
      <c r="C214" s="2"/>
      <c r="D214" s="2"/>
      <c r="E214" s="249"/>
    </row>
    <row r="215" spans="1:5">
      <c r="A215" s="50"/>
      <c r="B215" s="2"/>
      <c r="C215" s="2"/>
      <c r="D215" s="2"/>
      <c r="E215" s="249"/>
    </row>
    <row r="216" spans="1:5">
      <c r="A216" s="50"/>
      <c r="B216" s="2"/>
      <c r="C216" s="2"/>
      <c r="D216" s="2"/>
      <c r="E216" s="249"/>
    </row>
    <row r="217" spans="1:5">
      <c r="A217" s="50"/>
      <c r="B217" s="2"/>
      <c r="C217" s="2"/>
      <c r="D217" s="2"/>
      <c r="E217" s="249"/>
    </row>
    <row r="218" spans="1:5">
      <c r="A218" s="50"/>
      <c r="B218" s="2"/>
      <c r="C218" s="2"/>
      <c r="D218" s="2"/>
      <c r="E218" s="249"/>
    </row>
    <row r="219" spans="1:5">
      <c r="A219" s="50"/>
      <c r="B219" s="2"/>
      <c r="C219" s="2"/>
      <c r="D219" s="2"/>
      <c r="E219" s="249"/>
    </row>
    <row r="220" spans="1:5">
      <c r="A220" s="50"/>
      <c r="B220" s="2"/>
      <c r="C220" s="2"/>
      <c r="D220" s="2"/>
      <c r="E220" s="249"/>
    </row>
    <row r="221" spans="1:5">
      <c r="A221" s="50"/>
      <c r="B221" s="2"/>
      <c r="C221" s="2"/>
      <c r="D221" s="2"/>
      <c r="E221" s="249"/>
    </row>
    <row r="222" spans="1:5">
      <c r="A222" s="50"/>
      <c r="B222" s="2"/>
      <c r="C222" s="2"/>
      <c r="D222" s="2"/>
      <c r="E222" s="249"/>
    </row>
    <row r="223" spans="1:5">
      <c r="A223" s="50"/>
      <c r="B223" s="2"/>
      <c r="C223" s="2"/>
      <c r="D223" s="2"/>
      <c r="E223" s="249"/>
    </row>
    <row r="224" spans="1:5">
      <c r="A224" s="50"/>
      <c r="B224" s="2"/>
      <c r="C224" s="2"/>
      <c r="D224" s="2"/>
      <c r="E224" s="249"/>
    </row>
    <row r="225" spans="1:5">
      <c r="A225" s="50"/>
      <c r="B225" s="2"/>
      <c r="C225" s="2"/>
      <c r="D225" s="2"/>
      <c r="E225" s="249"/>
    </row>
    <row r="226" spans="1:5">
      <c r="A226" s="50"/>
      <c r="B226" s="2"/>
      <c r="C226" s="2"/>
      <c r="D226" s="2"/>
      <c r="E226" s="249"/>
    </row>
    <row r="227" spans="1:5">
      <c r="A227" s="50"/>
      <c r="B227" s="2"/>
      <c r="C227" s="2"/>
      <c r="D227" s="2"/>
      <c r="E227" s="249"/>
    </row>
    <row r="228" spans="1:5">
      <c r="A228" s="50"/>
      <c r="B228" s="2"/>
      <c r="C228" s="2"/>
      <c r="D228" s="2"/>
      <c r="E228" s="249"/>
    </row>
    <row r="229" spans="1:5">
      <c r="A229" s="50"/>
      <c r="B229" s="2"/>
      <c r="C229" s="2"/>
      <c r="D229" s="2"/>
      <c r="E229" s="249"/>
    </row>
    <row r="230" spans="1:5">
      <c r="A230" s="50"/>
      <c r="B230" s="2"/>
      <c r="C230" s="2"/>
      <c r="D230" s="2"/>
      <c r="E230" s="249"/>
    </row>
    <row r="231" spans="1:5">
      <c r="A231" s="50"/>
      <c r="B231" s="2"/>
      <c r="C231" s="2"/>
      <c r="D231" s="2"/>
      <c r="E231" s="249"/>
    </row>
    <row r="232" spans="1:5">
      <c r="A232" s="50"/>
      <c r="B232" s="2"/>
      <c r="C232" s="2"/>
      <c r="D232" s="2"/>
      <c r="E232" s="249"/>
    </row>
    <row r="233" spans="1:5">
      <c r="A233" s="50"/>
      <c r="B233" s="2"/>
      <c r="C233" s="2"/>
      <c r="D233" s="2"/>
      <c r="E233" s="249"/>
    </row>
    <row r="234" spans="1:5">
      <c r="A234" s="50"/>
      <c r="B234" s="2"/>
      <c r="C234" s="2"/>
      <c r="D234" s="2"/>
      <c r="E234" s="249"/>
    </row>
    <row r="235" spans="1:5">
      <c r="A235" s="50"/>
      <c r="B235" s="2"/>
      <c r="C235" s="2"/>
      <c r="D235" s="2"/>
      <c r="E235" s="249"/>
    </row>
    <row r="236" spans="1:5">
      <c r="A236" s="50"/>
      <c r="B236" s="2"/>
      <c r="C236" s="2"/>
      <c r="D236" s="2"/>
      <c r="E236" s="249"/>
    </row>
    <row r="237" spans="1:5">
      <c r="A237" s="50"/>
      <c r="B237" s="2"/>
      <c r="C237" s="2"/>
      <c r="D237" s="2"/>
      <c r="E237" s="249"/>
    </row>
    <row r="238" spans="1:5">
      <c r="A238" s="50"/>
      <c r="B238" s="2"/>
      <c r="C238" s="2"/>
      <c r="D238" s="2"/>
      <c r="E238" s="249"/>
    </row>
    <row r="239" spans="1:5">
      <c r="A239" s="50"/>
      <c r="B239" s="2"/>
      <c r="C239" s="2"/>
      <c r="D239" s="2"/>
      <c r="E239" s="249"/>
    </row>
    <row r="240" spans="1:5">
      <c r="A240" s="50"/>
      <c r="B240" s="2"/>
      <c r="C240" s="2"/>
      <c r="D240" s="2"/>
      <c r="E240" s="249"/>
    </row>
    <row r="241" spans="1:5">
      <c r="A241" s="50"/>
      <c r="B241" s="2"/>
      <c r="C241" s="2"/>
      <c r="D241" s="2"/>
      <c r="E241" s="249"/>
    </row>
    <row r="242" spans="1:5">
      <c r="A242" s="50"/>
      <c r="B242" s="2"/>
      <c r="C242" s="2"/>
      <c r="D242" s="2"/>
      <c r="E242" s="249"/>
    </row>
    <row r="243" spans="1:5">
      <c r="A243" s="50"/>
      <c r="B243" s="2"/>
      <c r="C243" s="2"/>
      <c r="D243" s="2"/>
      <c r="E243" s="249"/>
    </row>
    <row r="244" spans="1:5">
      <c r="A244" s="50"/>
      <c r="B244" s="2"/>
      <c r="C244" s="2"/>
      <c r="D244" s="2"/>
      <c r="E244" s="249"/>
    </row>
    <row r="245" spans="1:5">
      <c r="A245" s="50"/>
      <c r="B245" s="2"/>
      <c r="C245" s="2"/>
      <c r="D245" s="2"/>
      <c r="E245" s="249"/>
    </row>
    <row r="246" spans="1:5">
      <c r="A246" s="50"/>
      <c r="B246" s="2"/>
      <c r="C246" s="2"/>
      <c r="D246" s="2"/>
      <c r="E246" s="249"/>
    </row>
    <row r="247" spans="1:5">
      <c r="A247" s="50"/>
      <c r="B247" s="2"/>
      <c r="C247" s="2"/>
      <c r="D247" s="2"/>
      <c r="E247" s="249"/>
    </row>
    <row r="248" spans="1:5">
      <c r="A248" s="50"/>
      <c r="B248" s="2"/>
      <c r="C248" s="2"/>
      <c r="D248" s="2"/>
      <c r="E248" s="249"/>
    </row>
    <row r="249" spans="1:5">
      <c r="A249" s="50"/>
      <c r="B249" s="2"/>
      <c r="C249" s="2"/>
      <c r="D249" s="2"/>
      <c r="E249" s="249"/>
    </row>
    <row r="250" spans="1:5">
      <c r="A250" s="50"/>
      <c r="B250" s="2"/>
      <c r="C250" s="2"/>
      <c r="D250" s="2"/>
      <c r="E250" s="249"/>
    </row>
    <row r="251" spans="1:5">
      <c r="A251" s="50"/>
      <c r="B251" s="2"/>
      <c r="C251" s="2"/>
      <c r="D251" s="2"/>
      <c r="E251" s="249"/>
    </row>
    <row r="252" spans="1:5">
      <c r="A252" s="50"/>
      <c r="B252" s="2"/>
      <c r="C252" s="2"/>
      <c r="D252" s="2"/>
      <c r="E252" s="249"/>
    </row>
    <row r="253" spans="1:5">
      <c r="A253" s="50"/>
      <c r="B253" s="2"/>
      <c r="C253" s="2"/>
      <c r="D253" s="2"/>
      <c r="E253" s="249"/>
    </row>
    <row r="254" spans="1:5">
      <c r="A254" s="50"/>
      <c r="B254" s="2"/>
      <c r="C254" s="2"/>
      <c r="D254" s="2"/>
      <c r="E254" s="249"/>
    </row>
    <row r="255" spans="1:5">
      <c r="A255" s="50"/>
      <c r="B255" s="2"/>
      <c r="C255" s="2"/>
      <c r="D255" s="2"/>
      <c r="E255" s="249"/>
    </row>
    <row r="256" spans="1:5">
      <c r="A256" s="50"/>
      <c r="B256" s="2"/>
      <c r="C256" s="2"/>
      <c r="D256" s="2"/>
      <c r="E256" s="249"/>
    </row>
    <row r="257" spans="1:5">
      <c r="A257" s="50"/>
      <c r="B257" s="2"/>
      <c r="C257" s="2"/>
      <c r="D257" s="2"/>
      <c r="E257" s="249"/>
    </row>
    <row r="258" spans="1:5">
      <c r="A258" s="50"/>
      <c r="B258" s="2"/>
      <c r="C258" s="2"/>
      <c r="D258" s="2"/>
      <c r="E258" s="249"/>
    </row>
    <row r="259" spans="1:5">
      <c r="A259" s="50"/>
      <c r="B259" s="2"/>
      <c r="C259" s="2"/>
      <c r="D259" s="2"/>
      <c r="E259" s="249"/>
    </row>
    <row r="260" spans="1:5">
      <c r="A260" s="50"/>
      <c r="B260" s="2"/>
      <c r="C260" s="2"/>
      <c r="D260" s="2"/>
      <c r="E260" s="249"/>
    </row>
    <row r="261" spans="1:5">
      <c r="A261" s="50"/>
      <c r="B261" s="2"/>
      <c r="C261" s="2"/>
      <c r="D261" s="2"/>
      <c r="E261" s="249"/>
    </row>
    <row r="262" spans="1:5">
      <c r="A262" s="50"/>
      <c r="B262" s="2"/>
      <c r="C262" s="2"/>
      <c r="D262" s="2"/>
      <c r="E262" s="249"/>
    </row>
    <row r="263" spans="1:5">
      <c r="A263" s="50"/>
      <c r="B263" s="2"/>
      <c r="C263" s="2"/>
      <c r="D263" s="2"/>
      <c r="E263" s="249"/>
    </row>
    <row r="264" spans="1:5">
      <c r="A264" s="50"/>
      <c r="B264" s="2"/>
      <c r="C264" s="2"/>
      <c r="D264" s="2"/>
      <c r="E264" s="249"/>
    </row>
    <row r="265" spans="1:5">
      <c r="A265" s="50"/>
      <c r="B265" s="2"/>
      <c r="C265" s="2"/>
      <c r="D265" s="2"/>
      <c r="E265" s="249"/>
    </row>
    <row r="266" spans="1:5">
      <c r="A266" s="50"/>
      <c r="B266" s="2"/>
      <c r="C266" s="2"/>
      <c r="D266" s="2"/>
      <c r="E266" s="249"/>
    </row>
    <row r="267" spans="1:5">
      <c r="A267" s="50"/>
      <c r="B267" s="2"/>
      <c r="C267" s="2"/>
      <c r="D267" s="2"/>
      <c r="E267" s="249"/>
    </row>
    <row r="268" spans="1:5">
      <c r="A268" s="50"/>
      <c r="B268" s="2"/>
      <c r="C268" s="2"/>
      <c r="D268" s="2"/>
      <c r="E268" s="249"/>
    </row>
    <row r="269" spans="1:5">
      <c r="A269" s="50"/>
      <c r="B269" s="2"/>
      <c r="C269" s="2"/>
      <c r="D269" s="2"/>
      <c r="E269" s="249"/>
    </row>
    <row r="270" spans="1:5">
      <c r="A270" s="50"/>
      <c r="B270" s="2"/>
      <c r="C270" s="2"/>
      <c r="D270" s="2"/>
      <c r="E270" s="249"/>
    </row>
    <row r="271" spans="1:5">
      <c r="A271" s="50"/>
      <c r="B271" s="2"/>
      <c r="C271" s="2"/>
      <c r="D271" s="2"/>
      <c r="E271" s="249"/>
    </row>
    <row r="272" spans="1:5">
      <c r="A272" s="50"/>
      <c r="B272" s="2"/>
      <c r="C272" s="2"/>
      <c r="D272" s="2"/>
      <c r="E272" s="249"/>
    </row>
    <row r="273" spans="1:5">
      <c r="A273" s="50"/>
      <c r="B273" s="2"/>
      <c r="C273" s="2"/>
      <c r="D273" s="2"/>
      <c r="E273" s="249"/>
    </row>
    <row r="274" spans="1:5">
      <c r="A274" s="50"/>
      <c r="B274" s="2"/>
      <c r="C274" s="2"/>
      <c r="D274" s="2"/>
      <c r="E274" s="249"/>
    </row>
    <row r="275" spans="1:5">
      <c r="A275" s="50"/>
      <c r="B275" s="2"/>
      <c r="C275" s="2"/>
      <c r="D275" s="2"/>
      <c r="E275" s="249"/>
    </row>
    <row r="276" spans="1:5">
      <c r="A276" s="50"/>
      <c r="B276" s="2"/>
      <c r="C276" s="2"/>
      <c r="D276" s="2"/>
      <c r="E276" s="249"/>
    </row>
    <row r="277" spans="1:5">
      <c r="A277" s="50"/>
      <c r="B277" s="2"/>
      <c r="C277" s="2"/>
      <c r="D277" s="2"/>
      <c r="E277" s="249"/>
    </row>
    <row r="278" spans="1:5">
      <c r="A278" s="50"/>
      <c r="B278" s="2"/>
      <c r="C278" s="2"/>
      <c r="D278" s="2"/>
      <c r="E278" s="249"/>
    </row>
    <row r="279" spans="1:5">
      <c r="A279" s="50"/>
      <c r="B279" s="2"/>
      <c r="C279" s="2"/>
      <c r="D279" s="2"/>
      <c r="E279" s="249"/>
    </row>
    <row r="280" spans="1:5">
      <c r="A280" s="50"/>
      <c r="B280" s="2"/>
      <c r="C280" s="2"/>
      <c r="D280" s="2"/>
      <c r="E280" s="249"/>
    </row>
    <row r="281" spans="1:5">
      <c r="A281" s="50"/>
      <c r="B281" s="2"/>
      <c r="C281" s="2"/>
      <c r="D281" s="2"/>
      <c r="E281" s="249"/>
    </row>
    <row r="282" spans="1:5">
      <c r="A282" s="50"/>
      <c r="B282" s="2"/>
      <c r="C282" s="2"/>
      <c r="D282" s="2"/>
      <c r="E282" s="249"/>
    </row>
    <row r="283" spans="1:5">
      <c r="A283" s="50"/>
      <c r="B283" s="2"/>
      <c r="C283" s="2"/>
      <c r="D283" s="2"/>
      <c r="E283" s="249"/>
    </row>
    <row r="284" spans="1:5">
      <c r="A284" s="50"/>
      <c r="B284" s="2"/>
      <c r="C284" s="2"/>
      <c r="D284" s="2"/>
      <c r="E284" s="249"/>
    </row>
    <row r="285" spans="1:5">
      <c r="A285" s="50"/>
      <c r="B285" s="2"/>
      <c r="C285" s="2"/>
      <c r="D285" s="2"/>
      <c r="E285" s="249"/>
    </row>
    <row r="286" spans="1:5">
      <c r="A286" s="50"/>
      <c r="B286" s="2"/>
      <c r="C286" s="2"/>
      <c r="D286" s="2"/>
      <c r="E286" s="249"/>
    </row>
    <row r="287" spans="1:5">
      <c r="A287" s="50"/>
      <c r="B287" s="2"/>
      <c r="C287" s="2"/>
      <c r="D287" s="2"/>
      <c r="E287" s="249"/>
    </row>
    <row r="288" spans="1:5">
      <c r="A288" s="50"/>
      <c r="B288" s="2"/>
      <c r="C288" s="2"/>
      <c r="D288" s="2"/>
      <c r="E288" s="249"/>
    </row>
    <row r="289" spans="1:5">
      <c r="A289" s="50"/>
      <c r="B289" s="2"/>
      <c r="C289" s="2"/>
      <c r="D289" s="2"/>
      <c r="E289" s="249"/>
    </row>
    <row r="290" spans="1:5">
      <c r="A290" s="50"/>
      <c r="B290" s="2"/>
      <c r="C290" s="2"/>
      <c r="D290" s="2"/>
      <c r="E290" s="249"/>
    </row>
    <row r="291" spans="1:5">
      <c r="A291" s="50"/>
      <c r="B291" s="2"/>
      <c r="C291" s="2"/>
      <c r="D291" s="2"/>
      <c r="E291" s="249"/>
    </row>
    <row r="292" spans="1:5">
      <c r="A292" s="50"/>
      <c r="B292" s="2"/>
      <c r="C292" s="2"/>
      <c r="D292" s="2"/>
      <c r="E292" s="249"/>
    </row>
    <row r="293" spans="1:5">
      <c r="A293" s="50"/>
      <c r="B293" s="2"/>
      <c r="C293" s="2"/>
      <c r="D293" s="2"/>
      <c r="E293" s="249"/>
    </row>
    <row r="294" spans="1:5">
      <c r="A294" s="50"/>
      <c r="B294" s="2"/>
      <c r="C294" s="2"/>
      <c r="D294" s="2"/>
      <c r="E294" s="249"/>
    </row>
    <row r="295" spans="1:5">
      <c r="A295" s="50"/>
      <c r="B295" s="2"/>
      <c r="C295" s="2"/>
      <c r="D295" s="2"/>
      <c r="E295" s="249"/>
    </row>
    <row r="296" spans="1:5">
      <c r="A296" s="50"/>
      <c r="B296" s="2"/>
      <c r="C296" s="2"/>
      <c r="D296" s="2"/>
      <c r="E296" s="249"/>
    </row>
    <row r="297" spans="1:5">
      <c r="A297" s="50"/>
      <c r="B297" s="2"/>
      <c r="C297" s="2"/>
      <c r="D297" s="2"/>
      <c r="E297" s="249"/>
    </row>
    <row r="298" spans="1:5">
      <c r="A298" s="50"/>
      <c r="B298" s="2"/>
      <c r="C298" s="2"/>
      <c r="D298" s="2"/>
      <c r="E298" s="249"/>
    </row>
    <row r="299" spans="1:5">
      <c r="A299" s="50"/>
      <c r="B299" s="2"/>
      <c r="C299" s="2"/>
      <c r="D299" s="2"/>
      <c r="E299" s="249"/>
    </row>
    <row r="300" spans="1:5">
      <c r="A300" s="50"/>
      <c r="B300" s="2"/>
      <c r="C300" s="2"/>
      <c r="D300" s="2"/>
      <c r="E300" s="249"/>
    </row>
    <row r="301" spans="1:5">
      <c r="A301" s="50"/>
      <c r="B301" s="2"/>
      <c r="C301" s="2"/>
      <c r="D301" s="2"/>
      <c r="E301" s="249"/>
    </row>
    <row r="302" spans="1:5">
      <c r="A302" s="50"/>
      <c r="B302" s="2"/>
      <c r="C302" s="2"/>
      <c r="D302" s="2"/>
      <c r="E302" s="249"/>
    </row>
    <row r="303" spans="1:5">
      <c r="A303" s="50"/>
      <c r="B303" s="2"/>
      <c r="C303" s="2"/>
      <c r="D303" s="2"/>
      <c r="E303" s="249"/>
    </row>
    <row r="304" spans="1:5">
      <c r="A304" s="50"/>
      <c r="B304" s="2"/>
      <c r="C304" s="2"/>
      <c r="D304" s="2"/>
      <c r="E304" s="249"/>
    </row>
    <row r="305" spans="1:5">
      <c r="A305" s="50"/>
      <c r="B305" s="2"/>
      <c r="C305" s="2"/>
      <c r="D305" s="2"/>
      <c r="E305" s="249"/>
    </row>
    <row r="306" spans="1:5">
      <c r="A306" s="50"/>
      <c r="B306" s="2"/>
      <c r="C306" s="2"/>
      <c r="D306" s="2"/>
      <c r="E306" s="249"/>
    </row>
    <row r="307" spans="1:5">
      <c r="A307" s="50"/>
      <c r="B307" s="2"/>
      <c r="C307" s="2"/>
      <c r="D307" s="2"/>
      <c r="E307" s="249"/>
    </row>
    <row r="308" spans="1:5">
      <c r="A308" s="50"/>
      <c r="B308" s="2"/>
      <c r="C308" s="2"/>
      <c r="D308" s="2"/>
      <c r="E308" s="249"/>
    </row>
    <row r="309" spans="1:5">
      <c r="A309" s="50"/>
      <c r="B309" s="2"/>
      <c r="C309" s="2"/>
      <c r="D309" s="2"/>
      <c r="E309" s="249"/>
    </row>
    <row r="310" spans="1:5">
      <c r="A310" s="50"/>
      <c r="B310" s="2"/>
      <c r="C310" s="2"/>
      <c r="D310" s="2"/>
      <c r="E310" s="249"/>
    </row>
    <row r="311" spans="1:5">
      <c r="A311" s="50"/>
      <c r="B311" s="2"/>
      <c r="C311" s="2"/>
      <c r="D311" s="2"/>
      <c r="E311" s="249"/>
    </row>
    <row r="312" spans="1:5">
      <c r="A312" s="50"/>
      <c r="B312" s="2"/>
      <c r="C312" s="2"/>
      <c r="D312" s="2"/>
      <c r="E312" s="249"/>
    </row>
    <row r="313" spans="1:5">
      <c r="A313" s="50"/>
      <c r="B313" s="2"/>
      <c r="C313" s="2"/>
      <c r="D313" s="2"/>
      <c r="E313" s="249"/>
    </row>
    <row r="314" spans="1:5">
      <c r="A314" s="50"/>
      <c r="B314" s="2"/>
      <c r="C314" s="2"/>
      <c r="D314" s="2"/>
      <c r="E314" s="249"/>
    </row>
    <row r="315" spans="1:5">
      <c r="A315" s="50"/>
      <c r="B315" s="2"/>
      <c r="C315" s="2"/>
      <c r="D315" s="2"/>
      <c r="E315" s="249"/>
    </row>
    <row r="316" spans="1:5">
      <c r="A316" s="50"/>
      <c r="B316" s="2"/>
      <c r="C316" s="2"/>
      <c r="D316" s="2"/>
      <c r="E316" s="249"/>
    </row>
    <row r="317" spans="1:5">
      <c r="A317" s="50"/>
      <c r="B317" s="2"/>
      <c r="C317" s="2"/>
      <c r="D317" s="2"/>
      <c r="E317" s="249"/>
    </row>
    <row r="318" spans="1:5">
      <c r="A318" s="50"/>
      <c r="B318" s="2"/>
      <c r="C318" s="2"/>
      <c r="D318" s="2"/>
      <c r="E318" s="249"/>
    </row>
    <row r="319" spans="1:5">
      <c r="A319" s="50"/>
      <c r="B319" s="2"/>
      <c r="C319" s="2"/>
      <c r="D319" s="2"/>
      <c r="E319" s="249"/>
    </row>
    <row r="320" spans="1:5">
      <c r="A320" s="50"/>
      <c r="B320" s="2"/>
      <c r="C320" s="2"/>
      <c r="D320" s="2"/>
      <c r="E320" s="249"/>
    </row>
    <row r="321" spans="1:5">
      <c r="A321" s="50"/>
      <c r="B321" s="2"/>
      <c r="C321" s="2"/>
      <c r="D321" s="2"/>
      <c r="E321" s="249"/>
    </row>
    <row r="322" spans="1:5">
      <c r="A322" s="50"/>
      <c r="B322" s="2"/>
      <c r="C322" s="2"/>
      <c r="D322" s="2"/>
      <c r="E322" s="249"/>
    </row>
    <row r="323" spans="1:5">
      <c r="A323" s="50"/>
      <c r="B323" s="2"/>
      <c r="C323" s="2"/>
      <c r="D323" s="2"/>
      <c r="E323" s="249"/>
    </row>
    <row r="324" spans="1:5">
      <c r="A324" s="50"/>
      <c r="B324" s="2"/>
      <c r="C324" s="2"/>
      <c r="D324" s="2"/>
      <c r="E324" s="249"/>
    </row>
    <row r="325" spans="1:5">
      <c r="A325" s="50"/>
      <c r="B325" s="2"/>
      <c r="C325" s="2"/>
      <c r="D325" s="2"/>
      <c r="E325" s="249"/>
    </row>
    <row r="326" spans="1:5">
      <c r="A326" s="50"/>
      <c r="B326" s="2"/>
      <c r="C326" s="2"/>
      <c r="D326" s="2"/>
      <c r="E326" s="249"/>
    </row>
    <row r="327" spans="1:5">
      <c r="A327" s="50"/>
      <c r="B327" s="2"/>
      <c r="C327" s="2"/>
      <c r="D327" s="2"/>
      <c r="E327" s="249"/>
    </row>
    <row r="328" spans="1:5">
      <c r="A328" s="50"/>
      <c r="B328" s="2"/>
      <c r="C328" s="2"/>
      <c r="D328" s="2"/>
      <c r="E328" s="249"/>
    </row>
    <row r="329" spans="1:5">
      <c r="A329" s="50"/>
      <c r="B329" s="2"/>
      <c r="C329" s="2"/>
      <c r="D329" s="2"/>
      <c r="E329" s="249"/>
    </row>
    <row r="330" spans="1:5">
      <c r="A330" s="50"/>
      <c r="B330" s="2"/>
      <c r="C330" s="2"/>
      <c r="D330" s="2"/>
      <c r="E330" s="249"/>
    </row>
    <row r="331" spans="1:5">
      <c r="A331" s="50"/>
      <c r="B331" s="2"/>
      <c r="C331" s="2"/>
      <c r="D331" s="2"/>
      <c r="E331" s="249"/>
    </row>
    <row r="332" spans="1:5">
      <c r="A332" s="50"/>
      <c r="B332" s="2"/>
      <c r="C332" s="2"/>
      <c r="D332" s="2"/>
      <c r="E332" s="249"/>
    </row>
    <row r="333" spans="1:5">
      <c r="A333" s="50"/>
      <c r="B333" s="2"/>
      <c r="C333" s="2"/>
      <c r="D333" s="2"/>
      <c r="E333" s="249"/>
    </row>
    <row r="334" spans="1:5">
      <c r="A334" s="50"/>
      <c r="B334" s="2"/>
      <c r="C334" s="2"/>
      <c r="D334" s="2"/>
      <c r="E334" s="249"/>
    </row>
    <row r="335" spans="1:5">
      <c r="A335" s="50"/>
      <c r="B335" s="2"/>
      <c r="C335" s="2"/>
      <c r="D335" s="2"/>
      <c r="E335" s="249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90" showPageBreaks="1" printArea="1" view="pageBreakPreview" topLeftCell="A13">
      <selection activeCell="I22" sqref="I22"/>
      <pageMargins left="0.78740157480314965" right="0.39370078740157483" top="0.59055118110236227" bottom="0.59055118110236227" header="0.19685039370078741" footer="0.11811023622047245"/>
      <pageSetup paperSize="9" scale="50" orientation="portrait" verticalDpi="300" r:id="rId1"/>
      <headerFooter alignWithMargins="0"/>
    </customSheetView>
    <customSheetView guid="{43DCEB14-ADF8-4168-9283-6542A71D3CF7}" scale="90" showPageBreaks="1" printArea="1" view="pageBreakPreview" topLeftCell="A88">
      <selection activeCell="F105" sqref="F105"/>
      <pageMargins left="0.78740157480314965" right="0.39370078740157483" top="0.59055118110236227" bottom="0.59055118110236227" header="0.19685039370078741" footer="0.11811023622047245"/>
      <pageSetup paperSize="9" scale="50" orientation="portrait" verticalDpi="300" r:id="rId2"/>
      <headerFooter alignWithMargins="0"/>
    </customSheetView>
  </customSheetViews>
  <mergeCells count="16">
    <mergeCell ref="A1:J1"/>
    <mergeCell ref="C110:E110"/>
    <mergeCell ref="G110:I110"/>
    <mergeCell ref="J3:J4"/>
    <mergeCell ref="A6:J6"/>
    <mergeCell ref="A83:J83"/>
    <mergeCell ref="A89:J89"/>
    <mergeCell ref="B3:B4"/>
    <mergeCell ref="A3:A4"/>
    <mergeCell ref="C3:C4"/>
    <mergeCell ref="F3:I3"/>
    <mergeCell ref="A96:J96"/>
    <mergeCell ref="C109:E109"/>
    <mergeCell ref="G109:I109"/>
    <mergeCell ref="E3:E4"/>
    <mergeCell ref="D3:D4"/>
  </mergeCells>
  <phoneticPr fontId="0" type="noConversion"/>
  <pageMargins left="0.78740157480314965" right="0.39370078740157483" top="0.59055118110236227" bottom="0.59055118110236227" header="0.19685039370078741" footer="0.11811023622047245"/>
  <pageSetup paperSize="9" scale="50" orientation="portrait" verticalDpi="300" r:id="rId3"/>
  <headerFooter alignWithMargins="0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3"/>
  </sheetPr>
  <dimension ref="A1:J192"/>
  <sheetViews>
    <sheetView view="pageBreakPreview" zoomScale="75" zoomScaleNormal="65" zoomScaleSheetLayoutView="50" workbookViewId="0">
      <pane ySplit="5" topLeftCell="A6" activePane="bottomLeft" state="frozen"/>
      <selection pane="bottomLeft" activeCell="C7" sqref="C7:E7"/>
    </sheetView>
  </sheetViews>
  <sheetFormatPr defaultColWidth="77.85546875" defaultRowHeight="18.75" outlineLevelRow="1"/>
  <cols>
    <col min="1" max="1" width="61.28515625" style="45" customWidth="1"/>
    <col min="2" max="2" width="15.28515625" style="48" customWidth="1"/>
    <col min="3" max="3" width="13" style="48" customWidth="1"/>
    <col min="4" max="4" width="14.85546875" style="48" customWidth="1"/>
    <col min="5" max="5" width="13.42578125" style="48" customWidth="1"/>
    <col min="6" max="6" width="13.7109375" style="45" customWidth="1"/>
    <col min="7" max="7" width="13.28515625" style="45" customWidth="1"/>
    <col min="8" max="8" width="13" style="45" customWidth="1"/>
    <col min="9" max="9" width="11.7109375" style="45" customWidth="1"/>
    <col min="10" max="10" width="9.5703125" style="45" customWidth="1"/>
    <col min="11" max="253" width="9.140625" style="45" customWidth="1"/>
    <col min="254" max="16384" width="77.85546875" style="45"/>
  </cols>
  <sheetData>
    <row r="1" spans="1:9">
      <c r="A1" s="362" t="s">
        <v>368</v>
      </c>
      <c r="B1" s="362"/>
      <c r="C1" s="362"/>
      <c r="D1" s="362"/>
      <c r="E1" s="362"/>
      <c r="F1" s="362"/>
      <c r="G1" s="362"/>
      <c r="H1" s="362"/>
      <c r="I1" s="362"/>
    </row>
    <row r="2" spans="1:9" outlineLevel="1">
      <c r="A2" s="44"/>
      <c r="B2" s="53"/>
      <c r="C2" s="44"/>
      <c r="D2" s="44"/>
      <c r="E2" s="44"/>
      <c r="F2" s="44"/>
      <c r="G2" s="44"/>
      <c r="H2" s="44"/>
      <c r="I2" s="44"/>
    </row>
    <row r="3" spans="1:9" ht="38.25" customHeight="1">
      <c r="A3" s="350" t="s">
        <v>272</v>
      </c>
      <c r="B3" s="363" t="s">
        <v>18</v>
      </c>
      <c r="C3" s="364" t="s">
        <v>31</v>
      </c>
      <c r="D3" s="364" t="s">
        <v>39</v>
      </c>
      <c r="E3" s="365" t="s">
        <v>181</v>
      </c>
      <c r="F3" s="346" t="s">
        <v>364</v>
      </c>
      <c r="G3" s="346"/>
      <c r="H3" s="346"/>
      <c r="I3" s="346"/>
    </row>
    <row r="4" spans="1:9" ht="50.25" customHeight="1">
      <c r="A4" s="350"/>
      <c r="B4" s="363"/>
      <c r="C4" s="364"/>
      <c r="D4" s="364"/>
      <c r="E4" s="365"/>
      <c r="F4" s="13" t="s">
        <v>365</v>
      </c>
      <c r="G4" s="13" t="s">
        <v>366</v>
      </c>
      <c r="H4" s="13" t="s">
        <v>367</v>
      </c>
      <c r="I4" s="13" t="s">
        <v>86</v>
      </c>
    </row>
    <row r="5" spans="1:9" ht="18" customHeight="1">
      <c r="A5" s="51">
        <v>1</v>
      </c>
      <c r="B5" s="52">
        <v>2</v>
      </c>
      <c r="C5" s="52">
        <v>3</v>
      </c>
      <c r="D5" s="52">
        <v>4</v>
      </c>
      <c r="E5" s="52">
        <v>5</v>
      </c>
      <c r="F5" s="7">
        <v>6</v>
      </c>
      <c r="G5" s="7">
        <v>7</v>
      </c>
      <c r="H5" s="7">
        <v>8</v>
      </c>
      <c r="I5" s="7">
        <v>9</v>
      </c>
    </row>
    <row r="6" spans="1:9" ht="24.95" customHeight="1">
      <c r="A6" s="357" t="s">
        <v>165</v>
      </c>
      <c r="B6" s="358"/>
      <c r="C6" s="358"/>
      <c r="D6" s="358"/>
      <c r="E6" s="358"/>
      <c r="F6" s="358"/>
      <c r="G6" s="358"/>
      <c r="H6" s="358"/>
      <c r="I6" s="359"/>
    </row>
    <row r="7" spans="1:9" ht="42.75" customHeight="1">
      <c r="A7" s="58" t="s">
        <v>62</v>
      </c>
      <c r="B7" s="7">
        <v>2000</v>
      </c>
      <c r="C7" s="224">
        <v>351</v>
      </c>
      <c r="D7" s="224">
        <v>367</v>
      </c>
      <c r="E7" s="224">
        <v>367</v>
      </c>
      <c r="F7" s="232">
        <f>$E$17</f>
        <v>379.72</v>
      </c>
      <c r="G7" s="232">
        <f t="shared" ref="G7:I7" si="0">$E$17</f>
        <v>379.72</v>
      </c>
      <c r="H7" s="232">
        <f t="shared" si="0"/>
        <v>379.72</v>
      </c>
      <c r="I7" s="232">
        <f t="shared" si="0"/>
        <v>379.72</v>
      </c>
    </row>
    <row r="8" spans="1:9" ht="37.5">
      <c r="A8" s="46" t="s">
        <v>222</v>
      </c>
      <c r="B8" s="7">
        <v>2010</v>
      </c>
      <c r="C8" s="169">
        <f>C9+C10</f>
        <v>31</v>
      </c>
      <c r="D8" s="169">
        <v>500</v>
      </c>
      <c r="E8" s="169">
        <f t="shared" ref="E8:I8" si="1">E9+E10</f>
        <v>25</v>
      </c>
      <c r="F8" s="169">
        <f t="shared" si="1"/>
        <v>22</v>
      </c>
      <c r="G8" s="169">
        <f t="shared" si="1"/>
        <v>229</v>
      </c>
      <c r="H8" s="169">
        <f t="shared" si="1"/>
        <v>229</v>
      </c>
      <c r="I8" s="169">
        <f t="shared" si="1"/>
        <v>229</v>
      </c>
    </row>
    <row r="9" spans="1:9" ht="42.75" customHeight="1">
      <c r="A9" s="8" t="s">
        <v>370</v>
      </c>
      <c r="B9" s="7">
        <v>2011</v>
      </c>
      <c r="C9" s="168">
        <f>ROUND('I. Фін результат'!C79*15%,0)</f>
        <v>7</v>
      </c>
      <c r="D9" s="168">
        <v>114</v>
      </c>
      <c r="E9" s="168">
        <f>ROUND('I. Фін результат'!E79*15%,0)</f>
        <v>6</v>
      </c>
      <c r="F9" s="224">
        <f>ROUND('I. Фін результат'!F79*15%,0)</f>
        <v>5</v>
      </c>
      <c r="G9" s="224">
        <f>ROUND('I. Фін результат'!G79*15%,0)</f>
        <v>52</v>
      </c>
      <c r="H9" s="224">
        <f>G9</f>
        <v>52</v>
      </c>
      <c r="I9" s="224">
        <f>H9</f>
        <v>52</v>
      </c>
    </row>
    <row r="10" spans="1:9" ht="93.75">
      <c r="A10" s="8" t="s">
        <v>371</v>
      </c>
      <c r="B10" s="7">
        <v>2012</v>
      </c>
      <c r="C10" s="168">
        <f>ROUND(('I. Фін результат'!C79-'ІІ. Розр. з бюджетом'!C9)*60%,0)</f>
        <v>24</v>
      </c>
      <c r="D10" s="168">
        <v>386</v>
      </c>
      <c r="E10" s="168">
        <f>ROUND(('I. Фін результат'!E79-'ІІ. Розр. з бюджетом'!E9)*60%,0)</f>
        <v>19</v>
      </c>
      <c r="F10" s="224">
        <f>ROUND(('I. Фін результат'!F79-'ІІ. Розр. з бюджетом'!F9)*60%,0)</f>
        <v>17</v>
      </c>
      <c r="G10" s="224">
        <f>ROUND(('I. Фін результат'!G79-'ІІ. Розр. з бюджетом'!G9)*60%,0)</f>
        <v>177</v>
      </c>
      <c r="H10" s="224">
        <f>G10</f>
        <v>177</v>
      </c>
      <c r="I10" s="224">
        <f>H10</f>
        <v>177</v>
      </c>
    </row>
    <row r="11" spans="1:9" ht="20.100000000000001" customHeight="1">
      <c r="A11" s="8" t="s">
        <v>208</v>
      </c>
      <c r="B11" s="7">
        <v>2020</v>
      </c>
      <c r="C11" s="168"/>
      <c r="D11" s="168"/>
      <c r="E11" s="168"/>
      <c r="F11" s="168"/>
      <c r="G11" s="168"/>
      <c r="H11" s="168"/>
      <c r="I11" s="168"/>
    </row>
    <row r="12" spans="1:9" s="47" customFormat="1" ht="20.100000000000001" customHeight="1">
      <c r="A12" s="46" t="s">
        <v>75</v>
      </c>
      <c r="B12" s="7">
        <v>2030</v>
      </c>
      <c r="C12" s="168"/>
      <c r="D12" s="168"/>
      <c r="E12" s="168"/>
      <c r="F12" s="168"/>
      <c r="G12" s="168"/>
      <c r="H12" s="168"/>
      <c r="I12" s="168"/>
    </row>
    <row r="13" spans="1:9" ht="37.5">
      <c r="A13" s="46" t="s">
        <v>388</v>
      </c>
      <c r="B13" s="7">
        <v>2031</v>
      </c>
      <c r="C13" s="168"/>
      <c r="D13" s="168"/>
      <c r="E13" s="168"/>
      <c r="F13" s="168"/>
      <c r="G13" s="168"/>
      <c r="H13" s="168"/>
      <c r="I13" s="168"/>
    </row>
    <row r="14" spans="1:9" ht="20.100000000000001" customHeight="1">
      <c r="A14" s="46" t="s">
        <v>26</v>
      </c>
      <c r="B14" s="7">
        <v>2040</v>
      </c>
      <c r="C14" s="168"/>
      <c r="D14" s="168"/>
      <c r="E14" s="168"/>
      <c r="F14" s="168"/>
      <c r="G14" s="168"/>
      <c r="H14" s="168"/>
      <c r="I14" s="168"/>
    </row>
    <row r="15" spans="1:9" ht="20.100000000000001" customHeight="1">
      <c r="A15" s="163" t="s">
        <v>127</v>
      </c>
      <c r="B15" s="7">
        <v>2050</v>
      </c>
      <c r="C15" s="168"/>
      <c r="D15" s="168"/>
      <c r="E15" s="168"/>
      <c r="F15" s="168"/>
      <c r="G15" s="168"/>
      <c r="H15" s="168"/>
      <c r="I15" s="168"/>
    </row>
    <row r="16" spans="1:9" ht="20.100000000000001" customHeight="1">
      <c r="A16" s="163" t="s">
        <v>128</v>
      </c>
      <c r="B16" s="7">
        <v>2060</v>
      </c>
      <c r="C16" s="168"/>
      <c r="D16" s="168"/>
      <c r="E16" s="168"/>
      <c r="F16" s="168"/>
      <c r="G16" s="168"/>
      <c r="H16" s="168"/>
      <c r="I16" s="168"/>
    </row>
    <row r="17" spans="1:9" ht="42.75" customHeight="1">
      <c r="A17" s="58" t="s">
        <v>63</v>
      </c>
      <c r="B17" s="92">
        <v>2070</v>
      </c>
      <c r="C17" s="170">
        <f>'I. Фін результат'!C79+'ІІ. Розр. з бюджетом'!C7-('ІІ. Розр. з бюджетом'!C8+'ІІ. Розр. з бюджетом'!C11+'ІІ. Розр. з бюджетом'!C12+'ІІ. Розр. з бюджетом'!C14+'ІІ. Розр. з бюджетом'!C15+'ІІ. Розр. з бюджетом'!C16)</f>
        <v>366.74</v>
      </c>
      <c r="D17" s="170">
        <f>'I. Фін результат'!D79+'ІІ. Розр. з бюджетом'!D7-('ІІ. Розр. з бюджетом'!D8+'ІІ. Розр. з бюджетом'!D11+'ІІ. Розр. з бюджетом'!D12+'ІІ. Розр. з бюджетом'!D14+'ІІ. Розр. з бюджетом'!D15+'ІІ. Розр. з бюджетом'!D16)</f>
        <v>-72.319999999999993</v>
      </c>
      <c r="E17" s="170">
        <f>'I. Фін результат'!E79+'ІІ. Розр. з бюджетом'!E7-('ІІ. Розр. з бюджетом'!E8+'ІІ. Розр. з бюджетом'!E11+'ІІ. Розр. з бюджетом'!E12+'ІІ. Розр. з бюджетом'!E14+'ІІ. Розр. з бюджетом'!E15+'ІІ. Розр. з бюджетом'!E16)</f>
        <v>379.72</v>
      </c>
      <c r="F17" s="170">
        <f>'I. Фін результат'!F79+'ІІ. Розр. з бюджетом'!F7-('ІІ. Розр. з бюджетом'!F8+'ІІ. Розр. з бюджетом'!F11+'ІІ. Розр. з бюджетом'!F12+'ІІ. Розр. з бюджетом'!F14+'ІІ. Розр. з бюджетом'!F15+'ІІ. Розр. з бюджетом'!F16)</f>
        <v>390.34672848750017</v>
      </c>
      <c r="G17" s="170">
        <f>'I. Фін результат'!G79+'ІІ. Розр. з бюджетом'!G7-('ІІ. Розр. з бюджетом'!G8+'ІІ. Розр. з бюджетом'!G11+'ІІ. Розр. з бюджетом'!G12+'ІІ. Розр. з бюджетом'!G14+'ІІ. Розр. з бюджетом'!G15+'ІІ. Розр. з бюджетом'!G16)</f>
        <v>496.97345697500032</v>
      </c>
      <c r="H17" s="170">
        <f>'I. Фін результат'!H79+'ІІ. Розр. з бюджетом'!H7-('ІІ. Розр. з бюджетом'!H8+'ІІ. Розр. з бюджетом'!H11+'ІІ. Розр. з бюджетом'!H12+'ІІ. Розр. з бюджетом'!H14+'ІІ. Розр. з бюджетом'!H15+'ІІ. Розр. з бюджетом'!H16)</f>
        <v>402.60018546250035</v>
      </c>
      <c r="I17" s="170">
        <f>'I. Фін результат'!I79+'ІІ. Розр. з бюджетом'!I7-('ІІ. Розр. з бюджетом'!I8+'ІІ. Розр. з бюджетом'!I11+'ІІ. Розр. з бюджетом'!I12+'ІІ. Розр. з бюджетом'!I14+'ІІ. Розр. з бюджетом'!I15+'ІІ. Розр. з бюджетом'!I16)</f>
        <v>185.22691395000061</v>
      </c>
    </row>
    <row r="18" spans="1:9" ht="39.75" customHeight="1">
      <c r="A18" s="357" t="s">
        <v>166</v>
      </c>
      <c r="B18" s="358"/>
      <c r="C18" s="358"/>
      <c r="D18" s="358"/>
      <c r="E18" s="358"/>
      <c r="F18" s="358"/>
      <c r="G18" s="358"/>
      <c r="H18" s="358"/>
      <c r="I18" s="359"/>
    </row>
    <row r="19" spans="1:9" ht="37.5">
      <c r="A19" s="163" t="s">
        <v>222</v>
      </c>
      <c r="B19" s="162">
        <v>2100</v>
      </c>
      <c r="C19" s="169">
        <f t="shared" ref="C19:I19" si="2">SUM(C20:C21)</f>
        <v>31</v>
      </c>
      <c r="D19" s="169">
        <f t="shared" si="2"/>
        <v>500</v>
      </c>
      <c r="E19" s="169">
        <f>SUM(E20:E21)</f>
        <v>25</v>
      </c>
      <c r="F19" s="169">
        <f t="shared" si="2"/>
        <v>22</v>
      </c>
      <c r="G19" s="169">
        <f t="shared" si="2"/>
        <v>229</v>
      </c>
      <c r="H19" s="169">
        <f t="shared" si="2"/>
        <v>229</v>
      </c>
      <c r="I19" s="169">
        <f t="shared" si="2"/>
        <v>229</v>
      </c>
    </row>
    <row r="20" spans="1:9" ht="42.75" customHeight="1">
      <c r="A20" s="230" t="s">
        <v>370</v>
      </c>
      <c r="B20" s="162">
        <v>2101</v>
      </c>
      <c r="C20" s="169">
        <f t="shared" ref="C20:I20" si="3">C9</f>
        <v>7</v>
      </c>
      <c r="D20" s="169">
        <v>114</v>
      </c>
      <c r="E20" s="169">
        <f>E9</f>
        <v>6</v>
      </c>
      <c r="F20" s="169">
        <f t="shared" si="3"/>
        <v>5</v>
      </c>
      <c r="G20" s="169">
        <f t="shared" si="3"/>
        <v>52</v>
      </c>
      <c r="H20" s="169">
        <f t="shared" si="3"/>
        <v>52</v>
      </c>
      <c r="I20" s="169">
        <f t="shared" si="3"/>
        <v>52</v>
      </c>
    </row>
    <row r="21" spans="1:9" ht="93.75">
      <c r="A21" s="230" t="s">
        <v>371</v>
      </c>
      <c r="B21" s="162">
        <v>2102</v>
      </c>
      <c r="C21" s="169">
        <f>C10</f>
        <v>24</v>
      </c>
      <c r="D21" s="169">
        <v>386</v>
      </c>
      <c r="E21" s="169">
        <f>E10</f>
        <v>19</v>
      </c>
      <c r="F21" s="169">
        <f t="shared" ref="F21:I21" si="4">F10</f>
        <v>17</v>
      </c>
      <c r="G21" s="169">
        <f t="shared" si="4"/>
        <v>177</v>
      </c>
      <c r="H21" s="169">
        <f t="shared" si="4"/>
        <v>177</v>
      </c>
      <c r="I21" s="169">
        <f t="shared" si="4"/>
        <v>177</v>
      </c>
    </row>
    <row r="22" spans="1:9" s="47" customFormat="1" ht="20.100000000000001" customHeight="1">
      <c r="A22" s="163" t="s">
        <v>168</v>
      </c>
      <c r="B22" s="164">
        <v>2110</v>
      </c>
      <c r="C22" s="169">
        <f>'I. Фін результат'!C77</f>
        <v>10.26</v>
      </c>
      <c r="D22" s="169">
        <f>'I. Фін результат'!D77</f>
        <v>13.32</v>
      </c>
      <c r="E22" s="169">
        <f>'I. Фін результат'!E77</f>
        <v>8.2799999999999994</v>
      </c>
      <c r="F22" s="169">
        <f>'I. Фін результат'!F77</f>
        <v>0</v>
      </c>
      <c r="G22" s="169">
        <f>'I. Фін результат'!G77</f>
        <v>0</v>
      </c>
      <c r="H22" s="169">
        <f>'I. Фін результат'!H77</f>
        <v>0</v>
      </c>
      <c r="I22" s="169">
        <f>'I. Фін результат'!I77</f>
        <v>8</v>
      </c>
    </row>
    <row r="23" spans="1:9" ht="56.25">
      <c r="A23" s="163" t="s">
        <v>335</v>
      </c>
      <c r="B23" s="164">
        <v>2120</v>
      </c>
      <c r="C23" s="168">
        <v>68</v>
      </c>
      <c r="D23" s="168">
        <v>89</v>
      </c>
      <c r="E23" s="168">
        <v>118</v>
      </c>
      <c r="F23" s="224">
        <v>25.400000000000002</v>
      </c>
      <c r="G23" s="224">
        <v>45</v>
      </c>
      <c r="H23" s="224">
        <v>70</v>
      </c>
      <c r="I23" s="224">
        <v>89</v>
      </c>
    </row>
    <row r="24" spans="1:9" ht="56.25">
      <c r="A24" s="163" t="s">
        <v>336</v>
      </c>
      <c r="B24" s="164">
        <v>2130</v>
      </c>
      <c r="C24" s="168"/>
      <c r="D24" s="168"/>
      <c r="E24" s="168"/>
      <c r="F24" s="168"/>
      <c r="G24" s="168"/>
      <c r="H24" s="168"/>
      <c r="I24" s="168"/>
    </row>
    <row r="25" spans="1:9" s="49" customFormat="1" ht="56.25">
      <c r="A25" s="165" t="s">
        <v>259</v>
      </c>
      <c r="B25" s="166">
        <v>2140</v>
      </c>
      <c r="C25" s="170">
        <f t="shared" ref="C25:I25" si="5">SUM(C26:C30,C33,C35)</f>
        <v>753</v>
      </c>
      <c r="D25" s="170">
        <f t="shared" si="5"/>
        <v>893</v>
      </c>
      <c r="E25" s="170">
        <f>SUM(E26:E30,E33,E35)</f>
        <v>893</v>
      </c>
      <c r="F25" s="170">
        <f t="shared" si="5"/>
        <v>221</v>
      </c>
      <c r="G25" s="170">
        <f t="shared" si="5"/>
        <v>442</v>
      </c>
      <c r="H25" s="170">
        <f t="shared" si="5"/>
        <v>665</v>
      </c>
      <c r="I25" s="170">
        <f t="shared" si="5"/>
        <v>887</v>
      </c>
    </row>
    <row r="26" spans="1:9" ht="20.100000000000001" customHeight="1">
      <c r="A26" s="163" t="s">
        <v>91</v>
      </c>
      <c r="B26" s="164">
        <v>2141</v>
      </c>
      <c r="C26" s="168"/>
      <c r="D26" s="168"/>
      <c r="E26" s="168"/>
      <c r="F26" s="168"/>
      <c r="G26" s="168"/>
      <c r="H26" s="168"/>
      <c r="I26" s="168"/>
    </row>
    <row r="27" spans="1:9" ht="20.100000000000001" customHeight="1">
      <c r="A27" s="163" t="s">
        <v>118</v>
      </c>
      <c r="B27" s="164">
        <v>2142</v>
      </c>
      <c r="C27" s="168"/>
      <c r="D27" s="168"/>
      <c r="E27" s="168"/>
      <c r="F27" s="168"/>
      <c r="G27" s="168"/>
      <c r="H27" s="168"/>
      <c r="I27" s="168"/>
    </row>
    <row r="28" spans="1:9" ht="20.100000000000001" customHeight="1">
      <c r="A28" s="163" t="s">
        <v>109</v>
      </c>
      <c r="B28" s="164">
        <v>2143</v>
      </c>
      <c r="C28" s="168"/>
      <c r="D28" s="168"/>
      <c r="E28" s="168"/>
      <c r="F28" s="168"/>
      <c r="G28" s="168"/>
      <c r="H28" s="168"/>
      <c r="I28" s="168"/>
    </row>
    <row r="29" spans="1:9" ht="20.100000000000001" customHeight="1">
      <c r="A29" s="163" t="s">
        <v>89</v>
      </c>
      <c r="B29" s="164">
        <v>2144</v>
      </c>
      <c r="C29" s="168">
        <v>690</v>
      </c>
      <c r="D29" s="168">
        <v>819</v>
      </c>
      <c r="E29" s="226">
        <v>819</v>
      </c>
      <c r="F29" s="226">
        <f>ROUND('I. Фін результат'!F100*18%,0)</f>
        <v>203</v>
      </c>
      <c r="G29" s="226">
        <f>ROUND('I. Фін результат'!G100*18%,0)</f>
        <v>406</v>
      </c>
      <c r="H29" s="226">
        <f>ROUND('I. Фін результат'!H100*18%,0)</f>
        <v>610</v>
      </c>
      <c r="I29" s="226">
        <f>ROUND('I. Фін результат'!I100*18%,0)</f>
        <v>813</v>
      </c>
    </row>
    <row r="30" spans="1:9" s="47" customFormat="1" ht="20.100000000000001" customHeight="1">
      <c r="A30" s="163" t="s">
        <v>188</v>
      </c>
      <c r="B30" s="164">
        <v>2145</v>
      </c>
      <c r="C30" s="168"/>
      <c r="D30" s="171"/>
      <c r="E30" s="171"/>
      <c r="F30" s="168"/>
      <c r="G30" s="168"/>
      <c r="H30" s="168"/>
      <c r="I30" s="168"/>
    </row>
    <row r="31" spans="1:9" ht="56.25">
      <c r="A31" s="163" t="s">
        <v>268</v>
      </c>
      <c r="B31" s="164" t="s">
        <v>237</v>
      </c>
      <c r="C31" s="168"/>
      <c r="D31" s="171"/>
      <c r="E31" s="171"/>
      <c r="F31" s="168"/>
      <c r="G31" s="168"/>
      <c r="H31" s="168"/>
      <c r="I31" s="168"/>
    </row>
    <row r="32" spans="1:9" ht="20.100000000000001" customHeight="1">
      <c r="A32" s="163" t="s">
        <v>27</v>
      </c>
      <c r="B32" s="164" t="s">
        <v>238</v>
      </c>
      <c r="C32" s="168"/>
      <c r="D32" s="168"/>
      <c r="E32" s="168"/>
      <c r="F32" s="168"/>
      <c r="G32" s="168"/>
      <c r="H32" s="168"/>
      <c r="I32" s="168"/>
    </row>
    <row r="33" spans="1:10" s="47" customFormat="1" ht="20.100000000000001" customHeight="1">
      <c r="A33" s="163" t="s">
        <v>129</v>
      </c>
      <c r="B33" s="164">
        <v>2146</v>
      </c>
      <c r="C33" s="168">
        <v>6</v>
      </c>
      <c r="D33" s="168">
        <v>6</v>
      </c>
      <c r="E33" s="168">
        <v>6</v>
      </c>
      <c r="F33" s="168">
        <v>1</v>
      </c>
      <c r="G33" s="168">
        <v>2</v>
      </c>
      <c r="H33" s="168">
        <v>4</v>
      </c>
      <c r="I33" s="168">
        <v>6</v>
      </c>
    </row>
    <row r="34" spans="1:10" s="47" customFormat="1" ht="20.100000000000001" customHeight="1">
      <c r="A34" s="163" t="s">
        <v>412</v>
      </c>
      <c r="B34" s="164" t="s">
        <v>413</v>
      </c>
      <c r="C34" s="168">
        <v>6</v>
      </c>
      <c r="D34" s="168">
        <v>6</v>
      </c>
      <c r="E34" s="168">
        <v>6</v>
      </c>
      <c r="F34" s="168">
        <v>1</v>
      </c>
      <c r="G34" s="168">
        <v>2</v>
      </c>
      <c r="H34" s="168">
        <v>4</v>
      </c>
      <c r="I34" s="168">
        <v>6</v>
      </c>
    </row>
    <row r="35" spans="1:10" ht="20.100000000000001" customHeight="1">
      <c r="A35" s="163" t="s">
        <v>97</v>
      </c>
      <c r="B35" s="164">
        <v>2147</v>
      </c>
      <c r="C35" s="168">
        <f t="shared" ref="C35:I35" si="6">C36</f>
        <v>57</v>
      </c>
      <c r="D35" s="168">
        <v>68</v>
      </c>
      <c r="E35" s="168">
        <v>68</v>
      </c>
      <c r="F35" s="168">
        <f t="shared" si="6"/>
        <v>17</v>
      </c>
      <c r="G35" s="168">
        <f t="shared" si="6"/>
        <v>34</v>
      </c>
      <c r="H35" s="168">
        <f>H36</f>
        <v>51</v>
      </c>
      <c r="I35" s="168">
        <f t="shared" si="6"/>
        <v>68</v>
      </c>
    </row>
    <row r="36" spans="1:10" ht="20.100000000000001" customHeight="1">
      <c r="A36" s="163" t="s">
        <v>381</v>
      </c>
      <c r="B36" s="164" t="s">
        <v>389</v>
      </c>
      <c r="C36" s="168">
        <v>57</v>
      </c>
      <c r="D36" s="168">
        <v>68</v>
      </c>
      <c r="E36" s="167">
        <v>68</v>
      </c>
      <c r="F36" s="167">
        <f>ROUND('I. Фін результат'!F100*1.5%,0)</f>
        <v>17</v>
      </c>
      <c r="G36" s="167">
        <f>ROUND('I. Фін результат'!G100*1.5%,0)</f>
        <v>34</v>
      </c>
      <c r="H36" s="167">
        <f>ROUND('I. Фін результат'!H100*1.5%,0)</f>
        <v>51</v>
      </c>
      <c r="I36" s="167">
        <f>ROUND('I. Фін результат'!I100*1.5%,0)</f>
        <v>68</v>
      </c>
    </row>
    <row r="37" spans="1:10" s="47" customFormat="1" ht="37.5">
      <c r="A37" s="163" t="s">
        <v>90</v>
      </c>
      <c r="B37" s="164">
        <v>2150</v>
      </c>
      <c r="C37" s="168">
        <f>'I. Фін результат'!C101</f>
        <v>834</v>
      </c>
      <c r="D37" s="168">
        <v>952</v>
      </c>
      <c r="E37" s="168">
        <f>'I. Фін результат'!E101</f>
        <v>952</v>
      </c>
      <c r="F37" s="168">
        <f>'I. Фін результат'!F101</f>
        <v>233.4122215125</v>
      </c>
      <c r="G37" s="168">
        <f>'I. Фін результат'!G101</f>
        <v>466.82444302499999</v>
      </c>
      <c r="H37" s="168">
        <f>'I. Фін результат'!H101</f>
        <v>700.23666453750002</v>
      </c>
      <c r="I37" s="168">
        <f>'I. Фін результат'!I101</f>
        <v>933.64888604999999</v>
      </c>
    </row>
    <row r="38" spans="1:10" s="47" customFormat="1" ht="20.100000000000001" customHeight="1">
      <c r="A38" s="165" t="s">
        <v>361</v>
      </c>
      <c r="B38" s="166">
        <v>2200</v>
      </c>
      <c r="C38" s="170">
        <f t="shared" ref="C38:I38" si="7">SUM(C19,C22:C24,C25,C37)</f>
        <v>1696.26</v>
      </c>
      <c r="D38" s="170">
        <f t="shared" si="7"/>
        <v>2447.3200000000002</v>
      </c>
      <c r="E38" s="170">
        <f t="shared" si="7"/>
        <v>1996.28</v>
      </c>
      <c r="F38" s="170">
        <f t="shared" si="7"/>
        <v>501.81222151249995</v>
      </c>
      <c r="G38" s="170">
        <f t="shared" si="7"/>
        <v>1182.8244430249999</v>
      </c>
      <c r="H38" s="170">
        <f t="shared" si="7"/>
        <v>1664.2366645375</v>
      </c>
      <c r="I38" s="170">
        <f t="shared" si="7"/>
        <v>2146.6488860499999</v>
      </c>
    </row>
    <row r="39" spans="1:10" s="47" customFormat="1" ht="20.100000000000001" customHeight="1">
      <c r="A39" s="143"/>
      <c r="B39" s="144"/>
      <c r="C39" s="145"/>
      <c r="D39" s="146"/>
      <c r="E39" s="146"/>
      <c r="F39" s="146"/>
      <c r="G39" s="146"/>
      <c r="H39" s="146"/>
      <c r="I39" s="146"/>
    </row>
    <row r="40" spans="1:10" s="47" customFormat="1" ht="20.100000000000001" customHeight="1">
      <c r="A40" s="143"/>
      <c r="B40" s="144"/>
      <c r="C40" s="145"/>
      <c r="D40" s="146"/>
      <c r="E40" s="146"/>
      <c r="F40" s="146"/>
      <c r="G40" s="146"/>
      <c r="H40" s="146"/>
      <c r="I40" s="146"/>
    </row>
    <row r="41" spans="1:10" s="2" customFormat="1" ht="20.100000000000001" customHeight="1">
      <c r="A41" s="173" t="s">
        <v>403</v>
      </c>
      <c r="B41" s="132"/>
      <c r="C41" s="360" t="s">
        <v>119</v>
      </c>
      <c r="D41" s="361"/>
      <c r="E41" s="361"/>
      <c r="F41" s="133"/>
      <c r="G41" s="354" t="s">
        <v>402</v>
      </c>
      <c r="H41" s="354"/>
      <c r="I41" s="354"/>
    </row>
    <row r="42" spans="1:10" s="1" customFormat="1" ht="20.100000000000001" customHeight="1">
      <c r="A42" s="95" t="s">
        <v>380</v>
      </c>
      <c r="B42" s="108"/>
      <c r="C42" s="344" t="s">
        <v>84</v>
      </c>
      <c r="D42" s="344"/>
      <c r="E42" s="344"/>
      <c r="F42" s="134"/>
      <c r="G42" s="345" t="s">
        <v>443</v>
      </c>
      <c r="H42" s="345"/>
      <c r="I42" s="345"/>
    </row>
    <row r="43" spans="1:10" s="48" customFormat="1">
      <c r="A43" s="61"/>
      <c r="F43" s="45"/>
      <c r="G43" s="45"/>
      <c r="H43" s="45"/>
      <c r="I43" s="45"/>
      <c r="J43" s="45"/>
    </row>
    <row r="44" spans="1:10" s="48" customFormat="1">
      <c r="A44" s="61"/>
      <c r="F44" s="45"/>
      <c r="G44" s="45"/>
      <c r="H44" s="45"/>
      <c r="I44" s="45"/>
      <c r="J44" s="45"/>
    </row>
    <row r="45" spans="1:10" s="48" customFormat="1">
      <c r="A45" s="61"/>
      <c r="E45" s="245"/>
      <c r="F45" s="217"/>
      <c r="G45" s="217"/>
      <c r="H45" s="217"/>
      <c r="I45" s="217"/>
      <c r="J45" s="45"/>
    </row>
    <row r="46" spans="1:10" s="48" customFormat="1">
      <c r="A46" s="61"/>
      <c r="E46" s="245"/>
      <c r="F46" s="219"/>
      <c r="G46" s="219"/>
      <c r="H46" s="219"/>
      <c r="I46" s="219"/>
      <c r="J46" s="45"/>
    </row>
    <row r="47" spans="1:10" s="48" customFormat="1">
      <c r="A47" s="61"/>
      <c r="E47" s="246"/>
      <c r="F47" s="218"/>
      <c r="G47" s="218"/>
      <c r="H47" s="218"/>
      <c r="I47" s="218"/>
      <c r="J47" s="45"/>
    </row>
    <row r="48" spans="1:10" s="48" customFormat="1">
      <c r="A48" s="61"/>
      <c r="E48" s="246"/>
      <c r="F48" s="218"/>
      <c r="G48" s="218"/>
      <c r="H48" s="218"/>
      <c r="I48" s="218"/>
      <c r="J48" s="45"/>
    </row>
    <row r="49" spans="1:10" s="48" customFormat="1">
      <c r="A49" s="61"/>
      <c r="F49" s="45"/>
      <c r="G49" s="45"/>
      <c r="H49" s="45"/>
      <c r="I49" s="45"/>
      <c r="J49" s="45"/>
    </row>
    <row r="50" spans="1:10" s="48" customFormat="1">
      <c r="A50" s="61"/>
      <c r="F50" s="45"/>
      <c r="G50" s="45"/>
      <c r="H50" s="45"/>
      <c r="I50" s="45"/>
      <c r="J50" s="45"/>
    </row>
    <row r="51" spans="1:10" s="48" customFormat="1">
      <c r="A51" s="61"/>
      <c r="F51" s="45"/>
      <c r="G51" s="45"/>
      <c r="H51" s="45"/>
      <c r="I51" s="45"/>
      <c r="J51" s="45"/>
    </row>
    <row r="52" spans="1:10" s="48" customFormat="1">
      <c r="A52" s="61"/>
      <c r="F52" s="45"/>
      <c r="G52" s="45"/>
      <c r="H52" s="45"/>
      <c r="I52" s="45"/>
      <c r="J52" s="45"/>
    </row>
    <row r="53" spans="1:10" s="48" customFormat="1">
      <c r="A53" s="61"/>
      <c r="F53" s="45"/>
      <c r="G53" s="45"/>
      <c r="H53" s="45"/>
      <c r="I53" s="45"/>
      <c r="J53" s="45"/>
    </row>
    <row r="54" spans="1:10" s="48" customFormat="1">
      <c r="A54" s="61"/>
      <c r="F54" s="45"/>
      <c r="G54" s="45"/>
      <c r="H54" s="45"/>
      <c r="I54" s="45"/>
      <c r="J54" s="45"/>
    </row>
    <row r="55" spans="1:10" s="48" customFormat="1">
      <c r="A55" s="61"/>
      <c r="F55" s="45"/>
      <c r="G55" s="45"/>
      <c r="H55" s="45"/>
      <c r="I55" s="45"/>
      <c r="J55" s="45"/>
    </row>
    <row r="56" spans="1:10" s="48" customFormat="1">
      <c r="A56" s="61"/>
      <c r="F56" s="45"/>
      <c r="G56" s="45"/>
      <c r="H56" s="45"/>
      <c r="I56" s="45"/>
      <c r="J56" s="45"/>
    </row>
    <row r="57" spans="1:10" s="48" customFormat="1">
      <c r="A57" s="61"/>
      <c r="F57" s="45"/>
      <c r="G57" s="45"/>
      <c r="H57" s="45"/>
      <c r="I57" s="45"/>
      <c r="J57" s="45"/>
    </row>
    <row r="58" spans="1:10" s="48" customFormat="1">
      <c r="A58" s="61"/>
      <c r="F58" s="45"/>
      <c r="G58" s="45"/>
      <c r="H58" s="45"/>
      <c r="I58" s="45"/>
      <c r="J58" s="45"/>
    </row>
    <row r="59" spans="1:10" s="48" customFormat="1">
      <c r="A59" s="61"/>
      <c r="F59" s="45"/>
      <c r="G59" s="45"/>
      <c r="H59" s="45"/>
      <c r="I59" s="45"/>
      <c r="J59" s="45"/>
    </row>
    <row r="60" spans="1:10" s="48" customFormat="1">
      <c r="A60" s="61"/>
      <c r="F60" s="45"/>
      <c r="G60" s="45"/>
      <c r="H60" s="45"/>
      <c r="I60" s="45"/>
      <c r="J60" s="45"/>
    </row>
    <row r="61" spans="1:10" s="48" customFormat="1">
      <c r="A61" s="61"/>
      <c r="F61" s="45"/>
      <c r="G61" s="45"/>
      <c r="H61" s="45"/>
      <c r="I61" s="45"/>
      <c r="J61" s="45"/>
    </row>
    <row r="62" spans="1:10" s="48" customFormat="1">
      <c r="A62" s="61"/>
      <c r="F62" s="45"/>
      <c r="G62" s="45"/>
      <c r="H62" s="45"/>
      <c r="I62" s="45"/>
      <c r="J62" s="45"/>
    </row>
    <row r="63" spans="1:10" s="48" customFormat="1">
      <c r="A63" s="61"/>
      <c r="F63" s="45"/>
      <c r="G63" s="45"/>
      <c r="H63" s="45"/>
      <c r="I63" s="45"/>
      <c r="J63" s="45"/>
    </row>
    <row r="64" spans="1:10" s="48" customFormat="1">
      <c r="A64" s="61"/>
      <c r="F64" s="45"/>
      <c r="G64" s="45"/>
      <c r="H64" s="45"/>
      <c r="I64" s="45"/>
      <c r="J64" s="45"/>
    </row>
    <row r="65" spans="1:10" s="48" customFormat="1">
      <c r="A65" s="61"/>
      <c r="F65" s="45"/>
      <c r="G65" s="45"/>
      <c r="H65" s="45"/>
      <c r="I65" s="45"/>
      <c r="J65" s="45"/>
    </row>
    <row r="66" spans="1:10" s="48" customFormat="1">
      <c r="A66" s="61"/>
      <c r="F66" s="45"/>
      <c r="G66" s="45"/>
      <c r="H66" s="45"/>
      <c r="I66" s="45"/>
      <c r="J66" s="45"/>
    </row>
    <row r="67" spans="1:10" s="48" customFormat="1">
      <c r="A67" s="61"/>
      <c r="F67" s="45"/>
      <c r="G67" s="45"/>
      <c r="H67" s="45"/>
      <c r="I67" s="45"/>
      <c r="J67" s="45"/>
    </row>
    <row r="68" spans="1:10" s="48" customFormat="1">
      <c r="A68" s="61"/>
      <c r="F68" s="45"/>
      <c r="G68" s="45"/>
      <c r="H68" s="45"/>
      <c r="I68" s="45"/>
      <c r="J68" s="45"/>
    </row>
    <row r="69" spans="1:10" s="48" customFormat="1">
      <c r="A69" s="61"/>
      <c r="F69" s="45"/>
      <c r="G69" s="45"/>
      <c r="H69" s="45"/>
      <c r="I69" s="45"/>
      <c r="J69" s="45"/>
    </row>
    <row r="70" spans="1:10" s="48" customFormat="1">
      <c r="A70" s="61"/>
      <c r="F70" s="45"/>
      <c r="G70" s="45"/>
      <c r="H70" s="45"/>
      <c r="I70" s="45"/>
      <c r="J70" s="45"/>
    </row>
    <row r="71" spans="1:10" s="48" customFormat="1">
      <c r="A71" s="61"/>
      <c r="F71" s="45"/>
      <c r="G71" s="45"/>
      <c r="H71" s="45"/>
      <c r="I71" s="45"/>
      <c r="J71" s="45"/>
    </row>
    <row r="72" spans="1:10" s="48" customFormat="1">
      <c r="A72" s="61"/>
      <c r="F72" s="45"/>
      <c r="G72" s="45"/>
      <c r="H72" s="45"/>
      <c r="I72" s="45"/>
      <c r="J72" s="45"/>
    </row>
    <row r="73" spans="1:10" s="48" customFormat="1">
      <c r="A73" s="61"/>
      <c r="F73" s="45"/>
      <c r="G73" s="45"/>
      <c r="H73" s="45"/>
      <c r="I73" s="45"/>
      <c r="J73" s="45"/>
    </row>
    <row r="74" spans="1:10" s="48" customFormat="1">
      <c r="A74" s="61"/>
      <c r="F74" s="45"/>
      <c r="G74" s="45"/>
      <c r="H74" s="45"/>
      <c r="I74" s="45"/>
      <c r="J74" s="45"/>
    </row>
    <row r="75" spans="1:10" s="48" customFormat="1">
      <c r="A75" s="61"/>
      <c r="F75" s="45"/>
      <c r="G75" s="45"/>
      <c r="H75" s="45"/>
      <c r="I75" s="45"/>
      <c r="J75" s="45"/>
    </row>
    <row r="76" spans="1:10" s="48" customFormat="1">
      <c r="A76" s="61"/>
      <c r="F76" s="45"/>
      <c r="G76" s="45"/>
      <c r="H76" s="45"/>
      <c r="I76" s="45"/>
      <c r="J76" s="45"/>
    </row>
    <row r="77" spans="1:10" s="48" customFormat="1">
      <c r="A77" s="61"/>
      <c r="F77" s="45"/>
      <c r="G77" s="45"/>
      <c r="H77" s="45"/>
      <c r="I77" s="45"/>
      <c r="J77" s="45"/>
    </row>
    <row r="78" spans="1:10" s="48" customFormat="1">
      <c r="A78" s="61"/>
      <c r="F78" s="45"/>
      <c r="G78" s="45"/>
      <c r="H78" s="45"/>
      <c r="I78" s="45"/>
      <c r="J78" s="45"/>
    </row>
    <row r="79" spans="1:10" s="48" customFormat="1">
      <c r="A79" s="61"/>
      <c r="F79" s="45"/>
      <c r="G79" s="45"/>
      <c r="H79" s="45"/>
      <c r="I79" s="45"/>
      <c r="J79" s="45"/>
    </row>
    <row r="80" spans="1:10" s="48" customFormat="1">
      <c r="A80" s="61"/>
      <c r="F80" s="45"/>
      <c r="G80" s="45"/>
      <c r="H80" s="45"/>
      <c r="I80" s="45"/>
      <c r="J80" s="45"/>
    </row>
    <row r="81" spans="1:10" s="48" customFormat="1">
      <c r="A81" s="61"/>
      <c r="F81" s="45"/>
      <c r="G81" s="45"/>
      <c r="H81" s="45"/>
      <c r="I81" s="45"/>
      <c r="J81" s="45"/>
    </row>
    <row r="82" spans="1:10" s="48" customFormat="1">
      <c r="A82" s="61"/>
      <c r="F82" s="45"/>
      <c r="G82" s="45"/>
      <c r="H82" s="45"/>
      <c r="I82" s="45"/>
      <c r="J82" s="45"/>
    </row>
    <row r="83" spans="1:10" s="48" customFormat="1">
      <c r="A83" s="61"/>
      <c r="F83" s="45"/>
      <c r="G83" s="45"/>
      <c r="H83" s="45"/>
      <c r="I83" s="45"/>
      <c r="J83" s="45"/>
    </row>
    <row r="84" spans="1:10" s="48" customFormat="1">
      <c r="A84" s="61"/>
      <c r="F84" s="45"/>
      <c r="G84" s="45"/>
      <c r="H84" s="45"/>
      <c r="I84" s="45"/>
      <c r="J84" s="45"/>
    </row>
    <row r="85" spans="1:10" s="48" customFormat="1">
      <c r="A85" s="61"/>
      <c r="F85" s="45"/>
      <c r="G85" s="45"/>
      <c r="H85" s="45"/>
      <c r="I85" s="45"/>
      <c r="J85" s="45"/>
    </row>
    <row r="86" spans="1:10" s="48" customFormat="1">
      <c r="A86" s="61"/>
      <c r="F86" s="45"/>
      <c r="G86" s="45"/>
      <c r="H86" s="45"/>
      <c r="I86" s="45"/>
      <c r="J86" s="45"/>
    </row>
    <row r="87" spans="1:10" s="48" customFormat="1">
      <c r="A87" s="61"/>
      <c r="F87" s="45"/>
      <c r="G87" s="45"/>
      <c r="H87" s="45"/>
      <c r="I87" s="45"/>
      <c r="J87" s="45"/>
    </row>
    <row r="88" spans="1:10" s="48" customFormat="1">
      <c r="A88" s="61"/>
      <c r="F88" s="45"/>
      <c r="G88" s="45"/>
      <c r="H88" s="45"/>
      <c r="I88" s="45"/>
      <c r="J88" s="45"/>
    </row>
    <row r="89" spans="1:10" s="48" customFormat="1">
      <c r="A89" s="61"/>
      <c r="F89" s="45"/>
      <c r="G89" s="45"/>
      <c r="H89" s="45"/>
      <c r="I89" s="45"/>
      <c r="J89" s="45"/>
    </row>
    <row r="90" spans="1:10" s="48" customFormat="1">
      <c r="A90" s="61"/>
      <c r="F90" s="45"/>
      <c r="G90" s="45"/>
      <c r="H90" s="45"/>
      <c r="I90" s="45"/>
      <c r="J90" s="45"/>
    </row>
    <row r="91" spans="1:10" s="48" customFormat="1">
      <c r="A91" s="61"/>
      <c r="F91" s="45"/>
      <c r="G91" s="45"/>
      <c r="H91" s="45"/>
      <c r="I91" s="45"/>
      <c r="J91" s="45"/>
    </row>
    <row r="92" spans="1:10" s="48" customFormat="1">
      <c r="A92" s="61"/>
      <c r="F92" s="45"/>
      <c r="G92" s="45"/>
      <c r="H92" s="45"/>
      <c r="I92" s="45"/>
      <c r="J92" s="45"/>
    </row>
    <row r="93" spans="1:10" s="48" customFormat="1">
      <c r="A93" s="61"/>
      <c r="F93" s="45"/>
      <c r="G93" s="45"/>
      <c r="H93" s="45"/>
      <c r="I93" s="45"/>
      <c r="J93" s="45"/>
    </row>
    <row r="94" spans="1:10" s="48" customFormat="1">
      <c r="A94" s="61"/>
      <c r="F94" s="45"/>
      <c r="G94" s="45"/>
      <c r="H94" s="45"/>
      <c r="I94" s="45"/>
      <c r="J94" s="45"/>
    </row>
    <row r="95" spans="1:10" s="48" customFormat="1">
      <c r="A95" s="61"/>
      <c r="F95" s="45"/>
      <c r="G95" s="45"/>
      <c r="H95" s="45"/>
      <c r="I95" s="45"/>
      <c r="J95" s="45"/>
    </row>
    <row r="96" spans="1:10" s="48" customFormat="1">
      <c r="A96" s="61"/>
      <c r="F96" s="45"/>
      <c r="G96" s="45"/>
      <c r="H96" s="45"/>
      <c r="I96" s="45"/>
      <c r="J96" s="45"/>
    </row>
    <row r="97" spans="1:10" s="48" customFormat="1">
      <c r="A97" s="61"/>
      <c r="F97" s="45"/>
      <c r="G97" s="45"/>
      <c r="H97" s="45"/>
      <c r="I97" s="45"/>
      <c r="J97" s="45"/>
    </row>
    <row r="98" spans="1:10" s="48" customFormat="1">
      <c r="A98" s="61"/>
      <c r="F98" s="45"/>
      <c r="G98" s="45"/>
      <c r="H98" s="45"/>
      <c r="I98" s="45"/>
      <c r="J98" s="45"/>
    </row>
    <row r="99" spans="1:10" s="48" customFormat="1">
      <c r="A99" s="61"/>
      <c r="F99" s="45"/>
      <c r="G99" s="45"/>
      <c r="H99" s="45"/>
      <c r="I99" s="45"/>
      <c r="J99" s="45"/>
    </row>
    <row r="100" spans="1:10" s="48" customFormat="1">
      <c r="A100" s="61"/>
      <c r="F100" s="45"/>
      <c r="G100" s="45"/>
      <c r="H100" s="45"/>
      <c r="I100" s="45"/>
      <c r="J100" s="45"/>
    </row>
    <row r="101" spans="1:10" s="48" customFormat="1">
      <c r="A101" s="61"/>
      <c r="F101" s="45"/>
      <c r="G101" s="45"/>
      <c r="H101" s="45"/>
      <c r="I101" s="45"/>
      <c r="J101" s="45"/>
    </row>
    <row r="102" spans="1:10" s="48" customFormat="1">
      <c r="A102" s="61"/>
      <c r="F102" s="45"/>
      <c r="G102" s="45"/>
      <c r="H102" s="45"/>
      <c r="I102" s="45"/>
      <c r="J102" s="45"/>
    </row>
    <row r="103" spans="1:10" s="48" customFormat="1">
      <c r="A103" s="61"/>
      <c r="F103" s="45"/>
      <c r="G103" s="45"/>
      <c r="H103" s="45"/>
      <c r="I103" s="45"/>
      <c r="J103" s="45"/>
    </row>
    <row r="104" spans="1:10" s="48" customFormat="1">
      <c r="A104" s="61"/>
      <c r="F104" s="45"/>
      <c r="G104" s="45"/>
      <c r="H104" s="45"/>
      <c r="I104" s="45"/>
      <c r="J104" s="45"/>
    </row>
    <row r="105" spans="1:10" s="48" customFormat="1">
      <c r="A105" s="61"/>
      <c r="F105" s="45"/>
      <c r="G105" s="45"/>
      <c r="H105" s="45"/>
      <c r="I105" s="45"/>
      <c r="J105" s="45"/>
    </row>
    <row r="106" spans="1:10" s="48" customFormat="1">
      <c r="A106" s="61"/>
      <c r="F106" s="45"/>
      <c r="G106" s="45"/>
      <c r="H106" s="45"/>
      <c r="I106" s="45"/>
      <c r="J106" s="45"/>
    </row>
    <row r="107" spans="1:10" s="48" customFormat="1">
      <c r="A107" s="61"/>
      <c r="F107" s="45"/>
      <c r="G107" s="45"/>
      <c r="H107" s="45"/>
      <c r="I107" s="45"/>
      <c r="J107" s="45"/>
    </row>
    <row r="108" spans="1:10" s="48" customFormat="1">
      <c r="A108" s="61"/>
      <c r="F108" s="45"/>
      <c r="G108" s="45"/>
      <c r="H108" s="45"/>
      <c r="I108" s="45"/>
      <c r="J108" s="45"/>
    </row>
    <row r="109" spans="1:10" s="48" customFormat="1">
      <c r="A109" s="61"/>
      <c r="F109" s="45"/>
      <c r="G109" s="45"/>
      <c r="H109" s="45"/>
      <c r="I109" s="45"/>
      <c r="J109" s="45"/>
    </row>
    <row r="110" spans="1:10" s="48" customFormat="1">
      <c r="A110" s="61"/>
      <c r="F110" s="45"/>
      <c r="G110" s="45"/>
      <c r="H110" s="45"/>
      <c r="I110" s="45"/>
      <c r="J110" s="45"/>
    </row>
    <row r="111" spans="1:10" s="48" customFormat="1">
      <c r="A111" s="61"/>
      <c r="F111" s="45"/>
      <c r="G111" s="45"/>
      <c r="H111" s="45"/>
      <c r="I111" s="45"/>
      <c r="J111" s="45"/>
    </row>
    <row r="112" spans="1:10" s="48" customFormat="1">
      <c r="A112" s="61"/>
      <c r="F112" s="45"/>
      <c r="G112" s="45"/>
      <c r="H112" s="45"/>
      <c r="I112" s="45"/>
      <c r="J112" s="45"/>
    </row>
    <row r="113" spans="1:10" s="48" customFormat="1">
      <c r="A113" s="61"/>
      <c r="F113" s="45"/>
      <c r="G113" s="45"/>
      <c r="H113" s="45"/>
      <c r="I113" s="45"/>
      <c r="J113" s="45"/>
    </row>
    <row r="114" spans="1:10" s="48" customFormat="1">
      <c r="A114" s="61"/>
      <c r="F114" s="45"/>
      <c r="G114" s="45"/>
      <c r="H114" s="45"/>
      <c r="I114" s="45"/>
      <c r="J114" s="45"/>
    </row>
    <row r="115" spans="1:10" s="48" customFormat="1">
      <c r="A115" s="61"/>
      <c r="F115" s="45"/>
      <c r="G115" s="45"/>
      <c r="H115" s="45"/>
      <c r="I115" s="45"/>
      <c r="J115" s="45"/>
    </row>
    <row r="116" spans="1:10" s="48" customFormat="1">
      <c r="A116" s="61"/>
      <c r="F116" s="45"/>
      <c r="G116" s="45"/>
      <c r="H116" s="45"/>
      <c r="I116" s="45"/>
      <c r="J116" s="45"/>
    </row>
    <row r="117" spans="1:10" s="48" customFormat="1">
      <c r="A117" s="61"/>
      <c r="F117" s="45"/>
      <c r="G117" s="45"/>
      <c r="H117" s="45"/>
      <c r="I117" s="45"/>
      <c r="J117" s="45"/>
    </row>
    <row r="118" spans="1:10" s="48" customFormat="1">
      <c r="A118" s="61"/>
      <c r="F118" s="45"/>
      <c r="G118" s="45"/>
      <c r="H118" s="45"/>
      <c r="I118" s="45"/>
      <c r="J118" s="45"/>
    </row>
    <row r="119" spans="1:10" s="48" customFormat="1">
      <c r="A119" s="61"/>
      <c r="F119" s="45"/>
      <c r="G119" s="45"/>
      <c r="H119" s="45"/>
      <c r="I119" s="45"/>
      <c r="J119" s="45"/>
    </row>
    <row r="120" spans="1:10" s="48" customFormat="1">
      <c r="A120" s="61"/>
      <c r="F120" s="45"/>
      <c r="G120" s="45"/>
      <c r="H120" s="45"/>
      <c r="I120" s="45"/>
      <c r="J120" s="45"/>
    </row>
    <row r="121" spans="1:10" s="48" customFormat="1">
      <c r="A121" s="61"/>
      <c r="F121" s="45"/>
      <c r="G121" s="45"/>
      <c r="H121" s="45"/>
      <c r="I121" s="45"/>
      <c r="J121" s="45"/>
    </row>
    <row r="122" spans="1:10" s="48" customFormat="1">
      <c r="A122" s="61"/>
      <c r="F122" s="45"/>
      <c r="G122" s="45"/>
      <c r="H122" s="45"/>
      <c r="I122" s="45"/>
      <c r="J122" s="45"/>
    </row>
    <row r="123" spans="1:10" s="48" customFormat="1">
      <c r="A123" s="61"/>
      <c r="F123" s="45"/>
      <c r="G123" s="45"/>
      <c r="H123" s="45"/>
      <c r="I123" s="45"/>
      <c r="J123" s="45"/>
    </row>
    <row r="124" spans="1:10" s="48" customFormat="1">
      <c r="A124" s="61"/>
      <c r="F124" s="45"/>
      <c r="G124" s="45"/>
      <c r="H124" s="45"/>
      <c r="I124" s="45"/>
      <c r="J124" s="45"/>
    </row>
    <row r="125" spans="1:10" s="48" customFormat="1">
      <c r="A125" s="61"/>
      <c r="F125" s="45"/>
      <c r="G125" s="45"/>
      <c r="H125" s="45"/>
      <c r="I125" s="45"/>
      <c r="J125" s="45"/>
    </row>
    <row r="126" spans="1:10" s="48" customFormat="1">
      <c r="A126" s="61"/>
      <c r="F126" s="45"/>
      <c r="G126" s="45"/>
      <c r="H126" s="45"/>
      <c r="I126" s="45"/>
      <c r="J126" s="45"/>
    </row>
    <row r="127" spans="1:10" s="48" customFormat="1">
      <c r="A127" s="61"/>
      <c r="F127" s="45"/>
      <c r="G127" s="45"/>
      <c r="H127" s="45"/>
      <c r="I127" s="45"/>
      <c r="J127" s="45"/>
    </row>
    <row r="128" spans="1:10" s="48" customFormat="1">
      <c r="A128" s="61"/>
      <c r="F128" s="45"/>
      <c r="G128" s="45"/>
      <c r="H128" s="45"/>
      <c r="I128" s="45"/>
      <c r="J128" s="45"/>
    </row>
    <row r="129" spans="1:10" s="48" customFormat="1">
      <c r="A129" s="61"/>
      <c r="F129" s="45"/>
      <c r="G129" s="45"/>
      <c r="H129" s="45"/>
      <c r="I129" s="45"/>
      <c r="J129" s="45"/>
    </row>
    <row r="130" spans="1:10" s="48" customFormat="1">
      <c r="A130" s="61"/>
      <c r="F130" s="45"/>
      <c r="G130" s="45"/>
      <c r="H130" s="45"/>
      <c r="I130" s="45"/>
      <c r="J130" s="45"/>
    </row>
    <row r="131" spans="1:10" s="48" customFormat="1">
      <c r="A131" s="61"/>
      <c r="F131" s="45"/>
      <c r="G131" s="45"/>
      <c r="H131" s="45"/>
      <c r="I131" s="45"/>
      <c r="J131" s="45"/>
    </row>
    <row r="132" spans="1:10" s="48" customFormat="1">
      <c r="A132" s="61"/>
      <c r="F132" s="45"/>
      <c r="G132" s="45"/>
      <c r="H132" s="45"/>
      <c r="I132" s="45"/>
      <c r="J132" s="45"/>
    </row>
    <row r="133" spans="1:10" s="48" customFormat="1">
      <c r="A133" s="61"/>
      <c r="F133" s="45"/>
      <c r="G133" s="45"/>
      <c r="H133" s="45"/>
      <c r="I133" s="45"/>
      <c r="J133" s="45"/>
    </row>
    <row r="134" spans="1:10" s="48" customFormat="1">
      <c r="A134" s="61"/>
      <c r="F134" s="45"/>
      <c r="G134" s="45"/>
      <c r="H134" s="45"/>
      <c r="I134" s="45"/>
      <c r="J134" s="45"/>
    </row>
    <row r="135" spans="1:10" s="48" customFormat="1">
      <c r="A135" s="61"/>
      <c r="F135" s="45"/>
      <c r="G135" s="45"/>
      <c r="H135" s="45"/>
      <c r="I135" s="45"/>
      <c r="J135" s="45"/>
    </row>
    <row r="136" spans="1:10" s="48" customFormat="1">
      <c r="A136" s="61"/>
      <c r="F136" s="45"/>
      <c r="G136" s="45"/>
      <c r="H136" s="45"/>
      <c r="I136" s="45"/>
      <c r="J136" s="45"/>
    </row>
    <row r="137" spans="1:10" s="48" customFormat="1">
      <c r="A137" s="61"/>
      <c r="F137" s="45"/>
      <c r="G137" s="45"/>
      <c r="H137" s="45"/>
      <c r="I137" s="45"/>
      <c r="J137" s="45"/>
    </row>
    <row r="138" spans="1:10" s="48" customFormat="1">
      <c r="A138" s="61"/>
      <c r="F138" s="45"/>
      <c r="G138" s="45"/>
      <c r="H138" s="45"/>
      <c r="I138" s="45"/>
      <c r="J138" s="45"/>
    </row>
    <row r="139" spans="1:10" s="48" customFormat="1">
      <c r="A139" s="61"/>
      <c r="F139" s="45"/>
      <c r="G139" s="45"/>
      <c r="H139" s="45"/>
      <c r="I139" s="45"/>
      <c r="J139" s="45"/>
    </row>
    <row r="140" spans="1:10" s="48" customFormat="1">
      <c r="A140" s="61"/>
      <c r="F140" s="45"/>
      <c r="G140" s="45"/>
      <c r="H140" s="45"/>
      <c r="I140" s="45"/>
      <c r="J140" s="45"/>
    </row>
    <row r="141" spans="1:10" s="48" customFormat="1">
      <c r="A141" s="61"/>
      <c r="F141" s="45"/>
      <c r="G141" s="45"/>
      <c r="H141" s="45"/>
      <c r="I141" s="45"/>
      <c r="J141" s="45"/>
    </row>
    <row r="142" spans="1:10" s="48" customFormat="1">
      <c r="A142" s="61"/>
      <c r="F142" s="45"/>
      <c r="G142" s="45"/>
      <c r="H142" s="45"/>
      <c r="I142" s="45"/>
      <c r="J142" s="45"/>
    </row>
    <row r="143" spans="1:10" s="48" customFormat="1">
      <c r="A143" s="61"/>
      <c r="F143" s="45"/>
      <c r="G143" s="45"/>
      <c r="H143" s="45"/>
      <c r="I143" s="45"/>
      <c r="J143" s="45"/>
    </row>
    <row r="144" spans="1:10" s="48" customFormat="1">
      <c r="A144" s="61"/>
      <c r="F144" s="45"/>
      <c r="G144" s="45"/>
      <c r="H144" s="45"/>
      <c r="I144" s="45"/>
      <c r="J144" s="45"/>
    </row>
    <row r="145" spans="1:10" s="48" customFormat="1">
      <c r="A145" s="61"/>
      <c r="F145" s="45"/>
      <c r="G145" s="45"/>
      <c r="H145" s="45"/>
      <c r="I145" s="45"/>
      <c r="J145" s="45"/>
    </row>
    <row r="146" spans="1:10" s="48" customFormat="1">
      <c r="A146" s="61"/>
      <c r="F146" s="45"/>
      <c r="G146" s="45"/>
      <c r="H146" s="45"/>
      <c r="I146" s="45"/>
      <c r="J146" s="45"/>
    </row>
    <row r="147" spans="1:10" s="48" customFormat="1">
      <c r="A147" s="61"/>
      <c r="F147" s="45"/>
      <c r="G147" s="45"/>
      <c r="H147" s="45"/>
      <c r="I147" s="45"/>
      <c r="J147" s="45"/>
    </row>
    <row r="148" spans="1:10" s="48" customFormat="1">
      <c r="A148" s="61"/>
      <c r="F148" s="45"/>
      <c r="G148" s="45"/>
      <c r="H148" s="45"/>
      <c r="I148" s="45"/>
      <c r="J148" s="45"/>
    </row>
    <row r="149" spans="1:10" s="48" customFormat="1">
      <c r="A149" s="61"/>
      <c r="F149" s="45"/>
      <c r="G149" s="45"/>
      <c r="H149" s="45"/>
      <c r="I149" s="45"/>
      <c r="J149" s="45"/>
    </row>
    <row r="150" spans="1:10" s="48" customFormat="1">
      <c r="A150" s="61"/>
      <c r="F150" s="45"/>
      <c r="G150" s="45"/>
      <c r="H150" s="45"/>
      <c r="I150" s="45"/>
      <c r="J150" s="45"/>
    </row>
    <row r="151" spans="1:10" s="48" customFormat="1">
      <c r="A151" s="61"/>
      <c r="F151" s="45"/>
      <c r="G151" s="45"/>
      <c r="H151" s="45"/>
      <c r="I151" s="45"/>
      <c r="J151" s="45"/>
    </row>
    <row r="152" spans="1:10" s="48" customFormat="1">
      <c r="A152" s="61"/>
      <c r="F152" s="45"/>
      <c r="G152" s="45"/>
      <c r="H152" s="45"/>
      <c r="I152" s="45"/>
      <c r="J152" s="45"/>
    </row>
    <row r="153" spans="1:10" s="48" customFormat="1">
      <c r="A153" s="61"/>
      <c r="F153" s="45"/>
      <c r="G153" s="45"/>
      <c r="H153" s="45"/>
      <c r="I153" s="45"/>
      <c r="J153" s="45"/>
    </row>
    <row r="154" spans="1:10" s="48" customFormat="1">
      <c r="A154" s="61"/>
      <c r="F154" s="45"/>
      <c r="G154" s="45"/>
      <c r="H154" s="45"/>
      <c r="I154" s="45"/>
      <c r="J154" s="45"/>
    </row>
    <row r="155" spans="1:10" s="48" customFormat="1">
      <c r="A155" s="61"/>
      <c r="F155" s="45"/>
      <c r="G155" s="45"/>
      <c r="H155" s="45"/>
      <c r="I155" s="45"/>
      <c r="J155" s="45"/>
    </row>
    <row r="156" spans="1:10" s="48" customFormat="1">
      <c r="A156" s="61"/>
      <c r="F156" s="45"/>
      <c r="G156" s="45"/>
      <c r="H156" s="45"/>
      <c r="I156" s="45"/>
      <c r="J156" s="45"/>
    </row>
    <row r="157" spans="1:10" s="48" customFormat="1">
      <c r="A157" s="61"/>
      <c r="F157" s="45"/>
      <c r="G157" s="45"/>
      <c r="H157" s="45"/>
      <c r="I157" s="45"/>
      <c r="J157" s="45"/>
    </row>
    <row r="158" spans="1:10" s="48" customFormat="1">
      <c r="A158" s="61"/>
      <c r="F158" s="45"/>
      <c r="G158" s="45"/>
      <c r="H158" s="45"/>
      <c r="I158" s="45"/>
      <c r="J158" s="45"/>
    </row>
    <row r="159" spans="1:10" s="48" customFormat="1">
      <c r="A159" s="61"/>
      <c r="F159" s="45"/>
      <c r="G159" s="45"/>
      <c r="H159" s="45"/>
      <c r="I159" s="45"/>
      <c r="J159" s="45"/>
    </row>
    <row r="160" spans="1:10" s="48" customFormat="1">
      <c r="A160" s="61"/>
      <c r="F160" s="45"/>
      <c r="G160" s="45"/>
      <c r="H160" s="45"/>
      <c r="I160" s="45"/>
      <c r="J160" s="45"/>
    </row>
    <row r="161" spans="1:10" s="48" customFormat="1">
      <c r="A161" s="61"/>
      <c r="F161" s="45"/>
      <c r="G161" s="45"/>
      <c r="H161" s="45"/>
      <c r="I161" s="45"/>
      <c r="J161" s="45"/>
    </row>
    <row r="162" spans="1:10" s="48" customFormat="1">
      <c r="A162" s="61"/>
      <c r="F162" s="45"/>
      <c r="G162" s="45"/>
      <c r="H162" s="45"/>
      <c r="I162" s="45"/>
      <c r="J162" s="45"/>
    </row>
    <row r="163" spans="1:10" s="48" customFormat="1">
      <c r="A163" s="61"/>
      <c r="F163" s="45"/>
      <c r="G163" s="45"/>
      <c r="H163" s="45"/>
      <c r="I163" s="45"/>
      <c r="J163" s="45"/>
    </row>
    <row r="164" spans="1:10" s="48" customFormat="1">
      <c r="A164" s="61"/>
      <c r="F164" s="45"/>
      <c r="G164" s="45"/>
      <c r="H164" s="45"/>
      <c r="I164" s="45"/>
      <c r="J164" s="45"/>
    </row>
    <row r="165" spans="1:10" s="48" customFormat="1">
      <c r="A165" s="61"/>
      <c r="F165" s="45"/>
      <c r="G165" s="45"/>
      <c r="H165" s="45"/>
      <c r="I165" s="45"/>
      <c r="J165" s="45"/>
    </row>
    <row r="166" spans="1:10" s="48" customFormat="1">
      <c r="A166" s="61"/>
      <c r="F166" s="45"/>
      <c r="G166" s="45"/>
      <c r="H166" s="45"/>
      <c r="I166" s="45"/>
      <c r="J166" s="45"/>
    </row>
    <row r="167" spans="1:10" s="48" customFormat="1">
      <c r="A167" s="61"/>
      <c r="F167" s="45"/>
      <c r="G167" s="45"/>
      <c r="H167" s="45"/>
      <c r="I167" s="45"/>
      <c r="J167" s="45"/>
    </row>
    <row r="168" spans="1:10" s="48" customFormat="1">
      <c r="A168" s="61"/>
      <c r="F168" s="45"/>
      <c r="G168" s="45"/>
      <c r="H168" s="45"/>
      <c r="I168" s="45"/>
      <c r="J168" s="45"/>
    </row>
    <row r="169" spans="1:10" s="48" customFormat="1">
      <c r="A169" s="61"/>
      <c r="F169" s="45"/>
      <c r="G169" s="45"/>
      <c r="H169" s="45"/>
      <c r="I169" s="45"/>
      <c r="J169" s="45"/>
    </row>
    <row r="170" spans="1:10" s="48" customFormat="1">
      <c r="A170" s="61"/>
      <c r="F170" s="45"/>
      <c r="G170" s="45"/>
      <c r="H170" s="45"/>
      <c r="I170" s="45"/>
      <c r="J170" s="45"/>
    </row>
    <row r="171" spans="1:10" s="48" customFormat="1">
      <c r="A171" s="61"/>
      <c r="F171" s="45"/>
      <c r="G171" s="45"/>
      <c r="H171" s="45"/>
      <c r="I171" s="45"/>
      <c r="J171" s="45"/>
    </row>
    <row r="172" spans="1:10" s="48" customFormat="1">
      <c r="A172" s="61"/>
      <c r="F172" s="45"/>
      <c r="G172" s="45"/>
      <c r="H172" s="45"/>
      <c r="I172" s="45"/>
      <c r="J172" s="45"/>
    </row>
    <row r="173" spans="1:10" s="48" customFormat="1">
      <c r="A173" s="61"/>
      <c r="F173" s="45"/>
      <c r="G173" s="45"/>
      <c r="H173" s="45"/>
      <c r="I173" s="45"/>
      <c r="J173" s="45"/>
    </row>
    <row r="174" spans="1:10" s="48" customFormat="1">
      <c r="A174" s="61"/>
      <c r="F174" s="45"/>
      <c r="G174" s="45"/>
      <c r="H174" s="45"/>
      <c r="I174" s="45"/>
      <c r="J174" s="45"/>
    </row>
    <row r="175" spans="1:10" s="48" customFormat="1">
      <c r="A175" s="61"/>
      <c r="F175" s="45"/>
      <c r="G175" s="45"/>
      <c r="H175" s="45"/>
      <c r="I175" s="45"/>
      <c r="J175" s="45"/>
    </row>
    <row r="176" spans="1:10" s="48" customFormat="1">
      <c r="A176" s="61"/>
      <c r="F176" s="45"/>
      <c r="G176" s="45"/>
      <c r="H176" s="45"/>
      <c r="I176" s="45"/>
      <c r="J176" s="45"/>
    </row>
    <row r="177" spans="1:10" s="48" customFormat="1">
      <c r="A177" s="61"/>
      <c r="F177" s="45"/>
      <c r="G177" s="45"/>
      <c r="H177" s="45"/>
      <c r="I177" s="45"/>
      <c r="J177" s="45"/>
    </row>
    <row r="178" spans="1:10" s="48" customFormat="1">
      <c r="A178" s="61"/>
      <c r="F178" s="45"/>
      <c r="G178" s="45"/>
      <c r="H178" s="45"/>
      <c r="I178" s="45"/>
      <c r="J178" s="45"/>
    </row>
    <row r="179" spans="1:10" s="48" customFormat="1">
      <c r="A179" s="61"/>
      <c r="F179" s="45"/>
      <c r="G179" s="45"/>
      <c r="H179" s="45"/>
      <c r="I179" s="45"/>
      <c r="J179" s="45"/>
    </row>
    <row r="180" spans="1:10" s="48" customFormat="1">
      <c r="A180" s="61"/>
      <c r="F180" s="45"/>
      <c r="G180" s="45"/>
      <c r="H180" s="45"/>
      <c r="I180" s="45"/>
      <c r="J180" s="45"/>
    </row>
    <row r="181" spans="1:10" s="48" customFormat="1">
      <c r="A181" s="61"/>
      <c r="F181" s="45"/>
      <c r="G181" s="45"/>
      <c r="H181" s="45"/>
      <c r="I181" s="45"/>
      <c r="J181" s="45"/>
    </row>
    <row r="182" spans="1:10" s="48" customFormat="1">
      <c r="A182" s="61"/>
      <c r="F182" s="45"/>
      <c r="G182" s="45"/>
      <c r="H182" s="45"/>
      <c r="I182" s="45"/>
      <c r="J182" s="45"/>
    </row>
    <row r="183" spans="1:10" s="48" customFormat="1">
      <c r="A183" s="61"/>
      <c r="F183" s="45"/>
      <c r="G183" s="45"/>
      <c r="H183" s="45"/>
      <c r="I183" s="45"/>
      <c r="J183" s="45"/>
    </row>
    <row r="184" spans="1:10" s="48" customFormat="1">
      <c r="A184" s="61"/>
      <c r="F184" s="45"/>
      <c r="G184" s="45"/>
      <c r="H184" s="45"/>
      <c r="I184" s="45"/>
      <c r="J184" s="45"/>
    </row>
    <row r="185" spans="1:10" s="48" customFormat="1">
      <c r="A185" s="61"/>
      <c r="F185" s="45"/>
      <c r="G185" s="45"/>
      <c r="H185" s="45"/>
      <c r="I185" s="45"/>
      <c r="J185" s="45"/>
    </row>
    <row r="186" spans="1:10" s="48" customFormat="1">
      <c r="A186" s="61"/>
      <c r="F186" s="45"/>
      <c r="G186" s="45"/>
      <c r="H186" s="45"/>
      <c r="I186" s="45"/>
      <c r="J186" s="45"/>
    </row>
    <row r="187" spans="1:10" s="48" customFormat="1">
      <c r="A187" s="61"/>
      <c r="F187" s="45"/>
      <c r="G187" s="45"/>
      <c r="H187" s="45"/>
      <c r="I187" s="45"/>
      <c r="J187" s="45"/>
    </row>
    <row r="188" spans="1:10" s="48" customFormat="1">
      <c r="A188" s="61"/>
      <c r="F188" s="45"/>
      <c r="G188" s="45"/>
      <c r="H188" s="45"/>
      <c r="I188" s="45"/>
      <c r="J188" s="45"/>
    </row>
    <row r="189" spans="1:10" s="48" customFormat="1">
      <c r="A189" s="61"/>
      <c r="F189" s="45"/>
      <c r="G189" s="45"/>
      <c r="H189" s="45"/>
      <c r="I189" s="45"/>
      <c r="J189" s="45"/>
    </row>
    <row r="190" spans="1:10" s="48" customFormat="1">
      <c r="A190" s="61"/>
      <c r="F190" s="45"/>
      <c r="G190" s="45"/>
      <c r="H190" s="45"/>
      <c r="I190" s="45"/>
      <c r="J190" s="45"/>
    </row>
    <row r="191" spans="1:10" s="48" customFormat="1">
      <c r="A191" s="61"/>
      <c r="F191" s="45"/>
      <c r="G191" s="45"/>
      <c r="H191" s="45"/>
      <c r="I191" s="45"/>
      <c r="J191" s="45"/>
    </row>
    <row r="192" spans="1:10" s="48" customFormat="1">
      <c r="A192" s="61"/>
      <c r="F192" s="45"/>
      <c r="G192" s="45"/>
      <c r="H192" s="45"/>
      <c r="I192" s="45"/>
      <c r="J192" s="45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5" showPageBreaks="1" printArea="1" view="pageBreakPreview">
      <pane ySplit="5" topLeftCell="A6" activePane="bottomLeft" state="frozen"/>
      <selection pane="bottomLeft" activeCell="I36" sqref="I36"/>
      <pageMargins left="0.78740157480314965" right="0.39370078740157483" top="0.59055118110236227" bottom="0.59055118110236227" header="0.19685039370078741" footer="0.11811023622047245"/>
      <pageSetup paperSize="9" scale="50" fitToHeight="2" orientation="portrait" verticalDpi="300" r:id="rId1"/>
      <headerFooter alignWithMargins="0"/>
    </customSheetView>
    <customSheetView guid="{43DCEB14-ADF8-4168-9283-6542A71D3CF7}" scale="75" showPageBreaks="1" printArea="1" view="pageBreakPreview">
      <pane ySplit="5" topLeftCell="A6" activePane="bottomLeft" state="frozen"/>
      <selection pane="bottomLeft" activeCell="J7" sqref="J7"/>
      <pageMargins left="0.78740157480314965" right="0.39370078740157483" top="0.59055118110236227" bottom="0.59055118110236227" header="0.19685039370078741" footer="0.11811023622047245"/>
      <pageSetup paperSize="9" scale="50" fitToHeight="2" orientation="portrait" verticalDpi="300" r:id="rId2"/>
      <headerFooter alignWithMargins="0"/>
    </customSheetView>
  </customSheetViews>
  <mergeCells count="13">
    <mergeCell ref="A1:I1"/>
    <mergeCell ref="A3:A4"/>
    <mergeCell ref="B3:B4"/>
    <mergeCell ref="C3:C4"/>
    <mergeCell ref="D3:D4"/>
    <mergeCell ref="E3:E4"/>
    <mergeCell ref="F3:I3"/>
    <mergeCell ref="C42:E42"/>
    <mergeCell ref="G42:I42"/>
    <mergeCell ref="A6:I6"/>
    <mergeCell ref="A18:I18"/>
    <mergeCell ref="C41:E41"/>
    <mergeCell ref="G41:I41"/>
  </mergeCells>
  <phoneticPr fontId="3" type="noConversion"/>
  <pageMargins left="0.78740157480314965" right="0.39370078740157483" top="0.59055118110236227" bottom="0.59055118110236227" header="0.19685039370078741" footer="0.11811023622047245"/>
  <pageSetup paperSize="9" scale="50" fitToHeight="2" orientation="portrait" verticalDpi="300" r:id="rId3"/>
  <headerFooter alignWithMargins="0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3"/>
  </sheetPr>
  <dimension ref="A1:I116"/>
  <sheetViews>
    <sheetView view="pageBreakPreview" zoomScale="75" zoomScaleNormal="75" zoomScaleSheetLayoutView="50" workbookViewId="0">
      <selection activeCell="A50" sqref="A50"/>
    </sheetView>
  </sheetViews>
  <sheetFormatPr defaultColWidth="9.140625" defaultRowHeight="18.75" outlineLevelRow="1"/>
  <cols>
    <col min="1" max="1" width="53.28515625" style="1" customWidth="1"/>
    <col min="2" max="2" width="13.7109375" style="1" customWidth="1"/>
    <col min="3" max="3" width="12.140625" style="1" customWidth="1"/>
    <col min="4" max="4" width="13.140625" style="1" customWidth="1"/>
    <col min="5" max="5" width="13.85546875" style="1" customWidth="1"/>
    <col min="6" max="6" width="12.42578125" style="1" bestFit="1" customWidth="1"/>
    <col min="7" max="7" width="10.7109375" style="1" bestFit="1" customWidth="1"/>
    <col min="8" max="8" width="11.42578125" style="1" bestFit="1" customWidth="1"/>
    <col min="9" max="9" width="10.7109375" style="1" bestFit="1" customWidth="1"/>
    <col min="10" max="16384" width="9.140625" style="1"/>
  </cols>
  <sheetData>
    <row r="1" spans="1:9">
      <c r="A1" s="366" t="s">
        <v>372</v>
      </c>
      <c r="B1" s="366"/>
      <c r="C1" s="366"/>
      <c r="D1" s="366"/>
      <c r="E1" s="366"/>
      <c r="F1" s="366"/>
      <c r="G1" s="366"/>
      <c r="H1" s="366"/>
      <c r="I1" s="366"/>
    </row>
    <row r="2" spans="1:9" outlineLevel="1">
      <c r="A2" s="21"/>
      <c r="B2" s="21"/>
      <c r="C2" s="21"/>
      <c r="D2" s="21"/>
      <c r="E2" s="21"/>
      <c r="F2" s="21"/>
      <c r="G2" s="21"/>
      <c r="H2" s="21"/>
      <c r="I2" s="21"/>
    </row>
    <row r="3" spans="1:9" ht="48" customHeight="1">
      <c r="A3" s="367" t="s">
        <v>272</v>
      </c>
      <c r="B3" s="365" t="s">
        <v>0</v>
      </c>
      <c r="C3" s="369" t="s">
        <v>31</v>
      </c>
      <c r="D3" s="369" t="s">
        <v>70</v>
      </c>
      <c r="E3" s="365" t="s">
        <v>181</v>
      </c>
      <c r="F3" s="346" t="s">
        <v>364</v>
      </c>
      <c r="G3" s="346"/>
      <c r="H3" s="346"/>
      <c r="I3" s="346"/>
    </row>
    <row r="4" spans="1:9" ht="38.25" customHeight="1">
      <c r="A4" s="368"/>
      <c r="B4" s="365"/>
      <c r="C4" s="369"/>
      <c r="D4" s="369"/>
      <c r="E4" s="365"/>
      <c r="F4" s="13" t="s">
        <v>373</v>
      </c>
      <c r="G4" s="13" t="s">
        <v>366</v>
      </c>
      <c r="H4" s="13" t="s">
        <v>367</v>
      </c>
      <c r="I4" s="13" t="s">
        <v>86</v>
      </c>
    </row>
    <row r="5" spans="1:9" ht="18" customHeight="1">
      <c r="A5" s="7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</row>
    <row r="6" spans="1:9" s="59" customFormat="1" ht="20.100000000000001" customHeight="1">
      <c r="A6" s="357" t="s">
        <v>171</v>
      </c>
      <c r="B6" s="358"/>
      <c r="C6" s="358"/>
      <c r="D6" s="358"/>
      <c r="E6" s="358"/>
      <c r="F6" s="358"/>
      <c r="G6" s="358"/>
      <c r="H6" s="358"/>
      <c r="I6" s="359"/>
    </row>
    <row r="7" spans="1:9" ht="37.5">
      <c r="A7" s="46" t="s">
        <v>191</v>
      </c>
      <c r="B7" s="9">
        <v>1170</v>
      </c>
      <c r="C7" s="169">
        <f>'I. Фін результат'!C76</f>
        <v>57</v>
      </c>
      <c r="D7" s="169">
        <f>'I. Фін результат'!D76</f>
        <v>74</v>
      </c>
      <c r="E7" s="169">
        <f>'I. Фін результат'!E76</f>
        <v>46</v>
      </c>
      <c r="F7" s="169">
        <f>'I. Фін результат'!F76</f>
        <v>32.626728487500145</v>
      </c>
      <c r="G7" s="169">
        <f>'I. Фін результат'!G76</f>
        <v>346.25345697500029</v>
      </c>
      <c r="H7" s="169">
        <f>'I. Фін результат'!H76</f>
        <v>251.88018546250032</v>
      </c>
      <c r="I7" s="169">
        <f>'I. Фін результат'!I76</f>
        <v>42.50691395000058</v>
      </c>
    </row>
    <row r="8" spans="1:9" ht="20.100000000000001" customHeight="1">
      <c r="A8" s="46" t="s">
        <v>192</v>
      </c>
      <c r="B8" s="14"/>
      <c r="C8" s="172"/>
      <c r="D8" s="172"/>
      <c r="E8" s="172"/>
      <c r="F8" s="172"/>
      <c r="G8" s="172"/>
      <c r="H8" s="172"/>
      <c r="I8" s="172"/>
    </row>
    <row r="9" spans="1:9" ht="20.100000000000001" customHeight="1">
      <c r="A9" s="46" t="s">
        <v>195</v>
      </c>
      <c r="B9" s="6">
        <v>3000</v>
      </c>
      <c r="C9" s="169">
        <f>'I. Фін результат'!C102</f>
        <v>268</v>
      </c>
      <c r="D9" s="169">
        <f>'I. Фін результат'!D102</f>
        <v>293</v>
      </c>
      <c r="E9" s="169">
        <f>'I. Фін результат'!E102</f>
        <v>299</v>
      </c>
      <c r="F9" s="169">
        <f>'I. Фін результат'!F102</f>
        <v>36</v>
      </c>
      <c r="G9" s="169">
        <f>'I. Фін результат'!G102</f>
        <v>175</v>
      </c>
      <c r="H9" s="169">
        <f>'I. Фін результат'!H102</f>
        <v>254</v>
      </c>
      <c r="I9" s="169">
        <f>'I. Фін результат'!I102</f>
        <v>293</v>
      </c>
    </row>
    <row r="10" spans="1:9" ht="20.100000000000001" customHeight="1">
      <c r="A10" s="46" t="s">
        <v>196</v>
      </c>
      <c r="B10" s="6">
        <v>3010</v>
      </c>
      <c r="C10" s="168"/>
      <c r="D10" s="168"/>
      <c r="E10" s="168"/>
      <c r="F10" s="168"/>
      <c r="G10" s="168"/>
      <c r="H10" s="168"/>
      <c r="I10" s="168"/>
    </row>
    <row r="11" spans="1:9" ht="37.5">
      <c r="A11" s="46" t="s">
        <v>197</v>
      </c>
      <c r="B11" s="6">
        <v>3020</v>
      </c>
      <c r="C11" s="168"/>
      <c r="D11" s="168"/>
      <c r="E11" s="168"/>
      <c r="F11" s="168"/>
      <c r="G11" s="168"/>
      <c r="H11" s="168"/>
      <c r="I11" s="168"/>
    </row>
    <row r="12" spans="1:9" ht="56.25">
      <c r="A12" s="46" t="s">
        <v>198</v>
      </c>
      <c r="B12" s="6">
        <v>3030</v>
      </c>
      <c r="C12" s="168">
        <f>C13+C14</f>
        <v>0</v>
      </c>
      <c r="D12" s="168">
        <f t="shared" ref="D12:I12" si="0">D13+D14</f>
        <v>0</v>
      </c>
      <c r="E12" s="168">
        <f t="shared" si="0"/>
        <v>0</v>
      </c>
      <c r="F12" s="168">
        <f t="shared" si="0"/>
        <v>0</v>
      </c>
      <c r="G12" s="168">
        <f t="shared" si="0"/>
        <v>0</v>
      </c>
      <c r="H12" s="168">
        <f t="shared" si="0"/>
        <v>0</v>
      </c>
      <c r="I12" s="168">
        <f t="shared" si="0"/>
        <v>0</v>
      </c>
    </row>
    <row r="13" spans="1:9" ht="37.5">
      <c r="A13" s="46" t="s">
        <v>445</v>
      </c>
      <c r="B13" s="229" t="s">
        <v>446</v>
      </c>
      <c r="C13" s="168">
        <v>0</v>
      </c>
      <c r="D13" s="168">
        <v>0</v>
      </c>
      <c r="E13" s="168"/>
      <c r="F13" s="168">
        <f>-'I. Фін результат'!F72</f>
        <v>0</v>
      </c>
      <c r="G13" s="168">
        <f>-'I. Фін результат'!G72</f>
        <v>0</v>
      </c>
      <c r="H13" s="168">
        <f>-'I. Фін результат'!H72</f>
        <v>0</v>
      </c>
      <c r="I13" s="168">
        <f>-'I. Фін результат'!I72</f>
        <v>0</v>
      </c>
    </row>
    <row r="14" spans="1:9" ht="23.25" customHeight="1">
      <c r="A14" s="46" t="s">
        <v>452</v>
      </c>
      <c r="B14" s="229" t="s">
        <v>453</v>
      </c>
      <c r="C14" s="168">
        <v>0</v>
      </c>
      <c r="D14" s="168">
        <v>0</v>
      </c>
      <c r="E14" s="168">
        <v>0</v>
      </c>
      <c r="F14" s="168"/>
      <c r="G14" s="168"/>
      <c r="H14" s="168"/>
      <c r="I14" s="168"/>
    </row>
    <row r="15" spans="1:9" ht="42.75" customHeight="1">
      <c r="A15" s="58" t="s">
        <v>258</v>
      </c>
      <c r="B15" s="91">
        <v>3040</v>
      </c>
      <c r="C15" s="170">
        <f t="shared" ref="C15:I15" si="1">SUM(C7:C12)</f>
        <v>325</v>
      </c>
      <c r="D15" s="170">
        <f>SUM(D7:D12)</f>
        <v>367</v>
      </c>
      <c r="E15" s="170">
        <f>SUM(E7:E12)</f>
        <v>345</v>
      </c>
      <c r="F15" s="170">
        <f t="shared" si="1"/>
        <v>68.626728487500145</v>
      </c>
      <c r="G15" s="170">
        <f t="shared" si="1"/>
        <v>521.25345697500029</v>
      </c>
      <c r="H15" s="170">
        <f t="shared" si="1"/>
        <v>505.88018546250032</v>
      </c>
      <c r="I15" s="170">
        <f t="shared" si="1"/>
        <v>335.50691395000058</v>
      </c>
    </row>
    <row r="16" spans="1:9" ht="37.5">
      <c r="A16" s="46" t="s">
        <v>199</v>
      </c>
      <c r="B16" s="6">
        <v>3050</v>
      </c>
      <c r="C16" s="168">
        <f>SUM(C17:C20)</f>
        <v>79</v>
      </c>
      <c r="D16" s="168"/>
      <c r="E16" s="168">
        <f>E17+E18+E19+E20</f>
        <v>559</v>
      </c>
      <c r="F16" s="168"/>
      <c r="G16" s="168"/>
      <c r="H16" s="168"/>
      <c r="I16" s="168"/>
    </row>
    <row r="17" spans="1:9">
      <c r="A17" s="46" t="s">
        <v>447</v>
      </c>
      <c r="B17" s="6" t="s">
        <v>421</v>
      </c>
      <c r="C17" s="168">
        <v>79</v>
      </c>
      <c r="D17" s="168"/>
      <c r="E17" s="168">
        <v>179</v>
      </c>
      <c r="F17" s="168"/>
      <c r="G17" s="168"/>
      <c r="H17" s="168"/>
      <c r="I17" s="168"/>
    </row>
    <row r="18" spans="1:9">
      <c r="A18" s="46" t="s">
        <v>448</v>
      </c>
      <c r="B18" s="229" t="s">
        <v>422</v>
      </c>
      <c r="C18" s="168"/>
      <c r="D18" s="168"/>
      <c r="E18" s="168">
        <v>7</v>
      </c>
      <c r="F18" s="168"/>
      <c r="G18" s="168"/>
      <c r="H18" s="168"/>
      <c r="I18" s="168"/>
    </row>
    <row r="19" spans="1:9">
      <c r="A19" s="46" t="s">
        <v>449</v>
      </c>
      <c r="B19" s="229" t="s">
        <v>450</v>
      </c>
      <c r="C19" s="168"/>
      <c r="D19" s="168"/>
      <c r="E19" s="168">
        <v>373</v>
      </c>
      <c r="F19" s="168"/>
      <c r="G19" s="168"/>
      <c r="H19" s="168"/>
      <c r="I19" s="168"/>
    </row>
    <row r="20" spans="1:9">
      <c r="A20" s="46" t="s">
        <v>420</v>
      </c>
      <c r="B20" s="229" t="s">
        <v>451</v>
      </c>
      <c r="C20" s="168"/>
      <c r="D20" s="168"/>
      <c r="E20" s="168"/>
      <c r="F20" s="168"/>
      <c r="G20" s="168"/>
      <c r="H20" s="168"/>
      <c r="I20" s="168"/>
    </row>
    <row r="21" spans="1:9" ht="37.5">
      <c r="A21" s="46" t="s">
        <v>200</v>
      </c>
      <c r="B21" s="6">
        <v>3060</v>
      </c>
      <c r="C21" s="168">
        <f t="shared" ref="C21:E21" si="2">SUM(C22:C24)</f>
        <v>0</v>
      </c>
      <c r="D21" s="168">
        <f t="shared" si="2"/>
        <v>0</v>
      </c>
      <c r="E21" s="168">
        <f t="shared" si="2"/>
        <v>0</v>
      </c>
      <c r="F21" s="168"/>
      <c r="G21" s="168"/>
      <c r="H21" s="168"/>
      <c r="I21" s="168"/>
    </row>
    <row r="22" spans="1:9">
      <c r="A22" s="46" t="s">
        <v>454</v>
      </c>
      <c r="B22" s="6" t="s">
        <v>423</v>
      </c>
      <c r="C22" s="168"/>
      <c r="D22" s="168"/>
      <c r="E22" s="168"/>
      <c r="F22" s="168"/>
      <c r="G22" s="168"/>
      <c r="H22" s="168"/>
      <c r="I22" s="168"/>
    </row>
    <row r="23" spans="1:9">
      <c r="A23" s="46" t="s">
        <v>455</v>
      </c>
      <c r="B23" s="6" t="s">
        <v>424</v>
      </c>
      <c r="C23" s="168"/>
      <c r="D23" s="168"/>
      <c r="E23" s="168"/>
      <c r="F23" s="168"/>
      <c r="G23" s="168"/>
      <c r="H23" s="168"/>
      <c r="I23" s="168"/>
    </row>
    <row r="24" spans="1:9">
      <c r="A24" s="46" t="s">
        <v>456</v>
      </c>
      <c r="B24" s="229" t="s">
        <v>457</v>
      </c>
      <c r="C24" s="168"/>
      <c r="D24" s="168"/>
      <c r="E24" s="168"/>
      <c r="F24" s="168"/>
      <c r="G24" s="168"/>
      <c r="H24" s="168"/>
      <c r="I24" s="168"/>
    </row>
    <row r="25" spans="1:9" ht="20.100000000000001" customHeight="1">
      <c r="A25" s="58" t="s">
        <v>193</v>
      </c>
      <c r="B25" s="91">
        <v>3070</v>
      </c>
      <c r="C25" s="170">
        <f>C15+C16+C21</f>
        <v>404</v>
      </c>
      <c r="D25" s="170">
        <f t="shared" ref="D25:I25" si="3">D15+D16+D21</f>
        <v>367</v>
      </c>
      <c r="E25" s="170">
        <f>E15+E16+E21</f>
        <v>904</v>
      </c>
      <c r="F25" s="170">
        <f t="shared" si="3"/>
        <v>68.626728487500145</v>
      </c>
      <c r="G25" s="170">
        <f t="shared" si="3"/>
        <v>521.25345697500029</v>
      </c>
      <c r="H25" s="170">
        <f t="shared" si="3"/>
        <v>505.88018546250032</v>
      </c>
      <c r="I25" s="170">
        <f t="shared" si="3"/>
        <v>335.50691395000058</v>
      </c>
    </row>
    <row r="26" spans="1:9" ht="20.100000000000001" customHeight="1">
      <c r="A26" s="46" t="s">
        <v>194</v>
      </c>
      <c r="B26" s="6">
        <v>3080</v>
      </c>
      <c r="C26" s="169">
        <f>'I. Фін результат'!C77</f>
        <v>10.26</v>
      </c>
      <c r="D26" s="169">
        <f>'I. Фін результат'!D77</f>
        <v>13.32</v>
      </c>
      <c r="E26" s="169">
        <f>'I. Фін результат'!E77</f>
        <v>8.2799999999999994</v>
      </c>
      <c r="F26" s="169">
        <f>'I. Фін результат'!F77</f>
        <v>0</v>
      </c>
      <c r="G26" s="169">
        <f>'I. Фін результат'!G77</f>
        <v>0</v>
      </c>
      <c r="H26" s="169">
        <f>'I. Фін результат'!H77</f>
        <v>0</v>
      </c>
      <c r="I26" s="169">
        <f>'I. Фін результат'!I77</f>
        <v>8</v>
      </c>
    </row>
    <row r="27" spans="1:9" ht="37.5">
      <c r="A27" s="10" t="s">
        <v>170</v>
      </c>
      <c r="B27" s="91">
        <v>3090</v>
      </c>
      <c r="C27" s="170">
        <f>C25-C26</f>
        <v>393.74</v>
      </c>
      <c r="D27" s="170">
        <f t="shared" ref="D27:I27" si="4">D25-D26</f>
        <v>353.68</v>
      </c>
      <c r="E27" s="170">
        <f t="shared" si="4"/>
        <v>895.72</v>
      </c>
      <c r="F27" s="170">
        <f t="shared" si="4"/>
        <v>68.626728487500145</v>
      </c>
      <c r="G27" s="170">
        <f t="shared" si="4"/>
        <v>521.25345697500029</v>
      </c>
      <c r="H27" s="170">
        <f t="shared" si="4"/>
        <v>505.88018546250032</v>
      </c>
      <c r="I27" s="170">
        <f t="shared" si="4"/>
        <v>327.50691395000058</v>
      </c>
    </row>
    <row r="28" spans="1:9" ht="20.100000000000001" customHeight="1">
      <c r="A28" s="357" t="s">
        <v>172</v>
      </c>
      <c r="B28" s="358"/>
      <c r="C28" s="358"/>
      <c r="D28" s="358"/>
      <c r="E28" s="358"/>
      <c r="F28" s="358"/>
      <c r="G28" s="358"/>
      <c r="H28" s="358"/>
      <c r="I28" s="359"/>
    </row>
    <row r="29" spans="1:9" ht="20.100000000000001" customHeight="1">
      <c r="A29" s="58" t="s">
        <v>287</v>
      </c>
      <c r="B29" s="9"/>
      <c r="C29" s="168"/>
      <c r="D29" s="168"/>
      <c r="E29" s="168"/>
      <c r="F29" s="168"/>
      <c r="G29" s="168"/>
      <c r="H29" s="168"/>
      <c r="I29" s="168"/>
    </row>
    <row r="30" spans="1:9" ht="20.100000000000001" customHeight="1">
      <c r="A30" s="8" t="s">
        <v>32</v>
      </c>
      <c r="B30" s="9">
        <v>3200</v>
      </c>
      <c r="C30" s="168"/>
      <c r="D30" s="168"/>
      <c r="E30" s="168"/>
      <c r="F30" s="168"/>
      <c r="G30" s="168"/>
      <c r="H30" s="168"/>
      <c r="I30" s="168"/>
    </row>
    <row r="31" spans="1:9" ht="20.100000000000001" customHeight="1">
      <c r="A31" s="8" t="s">
        <v>33</v>
      </c>
      <c r="B31" s="9">
        <v>3210</v>
      </c>
      <c r="C31" s="168"/>
      <c r="D31" s="168"/>
      <c r="E31" s="168"/>
      <c r="F31" s="168"/>
      <c r="G31" s="168"/>
      <c r="H31" s="168"/>
      <c r="I31" s="168"/>
    </row>
    <row r="32" spans="1:9" ht="20.100000000000001" customHeight="1">
      <c r="A32" s="8" t="s">
        <v>56</v>
      </c>
      <c r="B32" s="9">
        <v>3220</v>
      </c>
      <c r="C32" s="168"/>
      <c r="D32" s="168"/>
      <c r="E32" s="168"/>
      <c r="F32" s="168"/>
      <c r="G32" s="168"/>
      <c r="H32" s="168"/>
      <c r="I32" s="168"/>
    </row>
    <row r="33" spans="1:9" ht="20.100000000000001" customHeight="1">
      <c r="A33" s="46" t="s">
        <v>176</v>
      </c>
      <c r="B33" s="9"/>
      <c r="C33" s="168"/>
      <c r="D33" s="168"/>
      <c r="E33" s="168"/>
      <c r="F33" s="168"/>
      <c r="G33" s="168"/>
      <c r="H33" s="168"/>
      <c r="I33" s="168"/>
    </row>
    <row r="34" spans="1:9" ht="20.100000000000001" customHeight="1">
      <c r="A34" s="8" t="s">
        <v>177</v>
      </c>
      <c r="B34" s="9">
        <v>3230</v>
      </c>
      <c r="C34" s="168"/>
      <c r="D34" s="168"/>
      <c r="E34" s="168"/>
      <c r="F34" s="168"/>
      <c r="G34" s="168"/>
      <c r="H34" s="168"/>
      <c r="I34" s="168"/>
    </row>
    <row r="35" spans="1:9" ht="20.100000000000001" customHeight="1">
      <c r="A35" s="8" t="s">
        <v>178</v>
      </c>
      <c r="B35" s="9">
        <v>3240</v>
      </c>
      <c r="C35" s="168"/>
      <c r="D35" s="168"/>
      <c r="E35" s="168"/>
      <c r="F35" s="168"/>
      <c r="G35" s="168"/>
      <c r="H35" s="168"/>
      <c r="I35" s="168"/>
    </row>
    <row r="36" spans="1:9" ht="20.100000000000001" customHeight="1">
      <c r="A36" s="46" t="s">
        <v>179</v>
      </c>
      <c r="B36" s="9">
        <v>3250</v>
      </c>
      <c r="C36" s="168"/>
      <c r="D36" s="168"/>
      <c r="E36" s="168"/>
      <c r="F36" s="168"/>
      <c r="G36" s="168"/>
      <c r="H36" s="168"/>
      <c r="I36" s="168"/>
    </row>
    <row r="37" spans="1:9" ht="20.100000000000001" customHeight="1">
      <c r="A37" s="8" t="s">
        <v>131</v>
      </c>
      <c r="B37" s="9">
        <v>3260</v>
      </c>
      <c r="C37" s="168"/>
      <c r="D37" s="168"/>
      <c r="E37" s="168"/>
      <c r="F37" s="168"/>
      <c r="G37" s="168"/>
      <c r="H37" s="168"/>
      <c r="I37" s="168"/>
    </row>
    <row r="38" spans="1:9" ht="20.100000000000001" customHeight="1">
      <c r="A38" s="58" t="s">
        <v>289</v>
      </c>
      <c r="B38" s="9"/>
      <c r="C38" s="168"/>
      <c r="D38" s="168"/>
      <c r="E38" s="168"/>
      <c r="F38" s="168"/>
      <c r="G38" s="168"/>
      <c r="H38" s="168"/>
      <c r="I38" s="168"/>
    </row>
    <row r="39" spans="1:9" ht="37.5">
      <c r="A39" s="8" t="s">
        <v>132</v>
      </c>
      <c r="B39" s="9">
        <v>3270</v>
      </c>
      <c r="C39" s="168">
        <f t="shared" ref="C39:I39" si="5">C40</f>
        <v>0</v>
      </c>
      <c r="D39" s="168">
        <f t="shared" si="5"/>
        <v>0</v>
      </c>
      <c r="E39" s="168">
        <f t="shared" si="5"/>
        <v>2499</v>
      </c>
      <c r="F39" s="168">
        <f t="shared" si="5"/>
        <v>0</v>
      </c>
      <c r="G39" s="168">
        <f t="shared" si="5"/>
        <v>0</v>
      </c>
      <c r="H39" s="168">
        <f t="shared" si="5"/>
        <v>0</v>
      </c>
      <c r="I39" s="168">
        <f t="shared" si="5"/>
        <v>0</v>
      </c>
    </row>
    <row r="40" spans="1:9">
      <c r="A40" s="8" t="s">
        <v>536</v>
      </c>
      <c r="B40" s="229" t="s">
        <v>458</v>
      </c>
      <c r="C40" s="168">
        <v>0</v>
      </c>
      <c r="D40" s="168">
        <v>0</v>
      </c>
      <c r="E40" s="168">
        <v>2499</v>
      </c>
      <c r="F40" s="168">
        <v>0</v>
      </c>
      <c r="G40" s="168">
        <v>0</v>
      </c>
      <c r="H40" s="168">
        <v>0</v>
      </c>
      <c r="I40" s="168">
        <v>0</v>
      </c>
    </row>
    <row r="41" spans="1:9">
      <c r="A41" s="8" t="s">
        <v>460</v>
      </c>
      <c r="B41" s="229" t="s">
        <v>459</v>
      </c>
      <c r="C41" s="168"/>
      <c r="D41" s="168"/>
      <c r="E41" s="168"/>
      <c r="F41" s="168"/>
      <c r="G41" s="168"/>
      <c r="H41" s="168"/>
      <c r="I41" s="168"/>
    </row>
    <row r="42" spans="1:9" ht="20.100000000000001" customHeight="1">
      <c r="A42" s="8" t="s">
        <v>133</v>
      </c>
      <c r="B42" s="9">
        <v>3280</v>
      </c>
      <c r="C42" s="168"/>
      <c r="D42" s="168"/>
      <c r="E42" s="168"/>
      <c r="F42" s="168"/>
      <c r="G42" s="168"/>
      <c r="H42" s="168"/>
      <c r="I42" s="168"/>
    </row>
    <row r="43" spans="1:9" ht="37.5">
      <c r="A43" s="8" t="s">
        <v>134</v>
      </c>
      <c r="B43" s="9">
        <v>3290</v>
      </c>
      <c r="C43" s="168"/>
      <c r="D43" s="168"/>
      <c r="E43" s="168"/>
      <c r="F43" s="168"/>
      <c r="G43" s="168"/>
      <c r="H43" s="168"/>
      <c r="I43" s="168"/>
    </row>
    <row r="44" spans="1:9" ht="20.100000000000001" customHeight="1">
      <c r="A44" s="8" t="s">
        <v>57</v>
      </c>
      <c r="B44" s="9">
        <v>3300</v>
      </c>
      <c r="C44" s="168"/>
      <c r="D44" s="168"/>
      <c r="E44" s="168"/>
      <c r="F44" s="168"/>
      <c r="G44" s="168"/>
      <c r="H44" s="168"/>
      <c r="I44" s="168"/>
    </row>
    <row r="45" spans="1:9" ht="20.100000000000001" customHeight="1">
      <c r="A45" s="8" t="s">
        <v>126</v>
      </c>
      <c r="B45" s="9">
        <v>3310</v>
      </c>
      <c r="C45" s="168">
        <v>12855</v>
      </c>
      <c r="D45" s="168">
        <f t="shared" ref="D45:I45" si="6">D46</f>
        <v>2500</v>
      </c>
      <c r="E45" s="168">
        <f t="shared" si="6"/>
        <v>7146</v>
      </c>
      <c r="F45" s="168">
        <f t="shared" si="6"/>
        <v>0</v>
      </c>
      <c r="G45" s="168">
        <f t="shared" si="6"/>
        <v>0</v>
      </c>
      <c r="H45" s="168">
        <f t="shared" si="6"/>
        <v>0</v>
      </c>
      <c r="I45" s="168">
        <f t="shared" si="6"/>
        <v>0</v>
      </c>
    </row>
    <row r="46" spans="1:9" ht="20.100000000000001" customHeight="1">
      <c r="A46" s="8" t="s">
        <v>414</v>
      </c>
      <c r="B46" s="6" t="s">
        <v>425</v>
      </c>
      <c r="C46" s="168">
        <v>12855</v>
      </c>
      <c r="D46" s="168">
        <v>2500</v>
      </c>
      <c r="E46" s="168">
        <v>7146</v>
      </c>
      <c r="F46" s="224">
        <v>0</v>
      </c>
      <c r="G46" s="224">
        <v>0</v>
      </c>
      <c r="H46" s="224">
        <v>0</v>
      </c>
      <c r="I46" s="224">
        <v>0</v>
      </c>
    </row>
    <row r="47" spans="1:9" ht="37.5">
      <c r="A47" s="58" t="s">
        <v>173</v>
      </c>
      <c r="B47" s="11">
        <v>3320</v>
      </c>
      <c r="C47" s="170">
        <f>(C30+C31+C32+C34+C35+C36+C37)-(C39+C42+C43+C44+C45)</f>
        <v>-12855</v>
      </c>
      <c r="D47" s="170">
        <f t="shared" ref="D47:I47" si="7">(D30+D31+D32+D34+D35+D36+D37)-(D39+D42+D43+D44+D45)</f>
        <v>-2500</v>
      </c>
      <c r="E47" s="170">
        <f t="shared" si="7"/>
        <v>-9645</v>
      </c>
      <c r="F47" s="170">
        <f t="shared" si="7"/>
        <v>0</v>
      </c>
      <c r="G47" s="170">
        <f t="shared" si="7"/>
        <v>0</v>
      </c>
      <c r="H47" s="170">
        <f t="shared" si="7"/>
        <v>0</v>
      </c>
      <c r="I47" s="170">
        <f t="shared" si="7"/>
        <v>0</v>
      </c>
    </row>
    <row r="48" spans="1:9" ht="20.100000000000001" customHeight="1">
      <c r="A48" s="357" t="s">
        <v>174</v>
      </c>
      <c r="B48" s="358"/>
      <c r="C48" s="358"/>
      <c r="D48" s="358"/>
      <c r="E48" s="358"/>
      <c r="F48" s="358"/>
      <c r="G48" s="358"/>
      <c r="H48" s="358"/>
      <c r="I48" s="359"/>
    </row>
    <row r="49" spans="1:9" ht="20.100000000000001" customHeight="1">
      <c r="A49" s="58" t="s">
        <v>288</v>
      </c>
      <c r="B49" s="9"/>
      <c r="C49" s="168"/>
      <c r="D49" s="168"/>
      <c r="E49" s="168"/>
      <c r="F49" s="168"/>
      <c r="G49" s="168"/>
      <c r="H49" s="168"/>
      <c r="I49" s="168"/>
    </row>
    <row r="50" spans="1:9" ht="20.100000000000001" customHeight="1">
      <c r="A50" s="46" t="s">
        <v>180</v>
      </c>
      <c r="B50" s="9">
        <v>3400</v>
      </c>
      <c r="C50" s="168"/>
      <c r="D50" s="168"/>
      <c r="E50" s="168"/>
      <c r="F50" s="168"/>
      <c r="G50" s="168"/>
      <c r="H50" s="168"/>
      <c r="I50" s="168"/>
    </row>
    <row r="51" spans="1:9" ht="37.5">
      <c r="A51" s="8" t="s">
        <v>100</v>
      </c>
      <c r="C51" s="168"/>
      <c r="D51" s="168"/>
      <c r="E51" s="168"/>
      <c r="F51" s="168"/>
      <c r="G51" s="168"/>
      <c r="H51" s="168"/>
      <c r="I51" s="168"/>
    </row>
    <row r="52" spans="1:9" ht="20.100000000000001" customHeight="1">
      <c r="A52" s="8" t="s">
        <v>99</v>
      </c>
      <c r="B52" s="9">
        <v>3410</v>
      </c>
      <c r="C52" s="168"/>
      <c r="D52" s="168"/>
      <c r="E52" s="168"/>
      <c r="F52" s="168"/>
      <c r="G52" s="168"/>
      <c r="H52" s="168"/>
      <c r="I52" s="168"/>
    </row>
    <row r="53" spans="1:9" ht="20.100000000000001" customHeight="1">
      <c r="A53" s="8" t="s">
        <v>104</v>
      </c>
      <c r="B53" s="6">
        <v>3420</v>
      </c>
      <c r="C53" s="168"/>
      <c r="D53" s="168"/>
      <c r="E53" s="168"/>
      <c r="F53" s="168"/>
      <c r="G53" s="168"/>
      <c r="H53" s="168"/>
      <c r="I53" s="168"/>
    </row>
    <row r="54" spans="1:9" ht="20.100000000000001" customHeight="1">
      <c r="A54" s="8" t="s">
        <v>135</v>
      </c>
      <c r="B54" s="9">
        <v>3430</v>
      </c>
      <c r="C54" s="168"/>
      <c r="D54" s="168"/>
      <c r="E54" s="168"/>
      <c r="F54" s="168"/>
      <c r="G54" s="168"/>
      <c r="H54" s="168"/>
      <c r="I54" s="168"/>
    </row>
    <row r="55" spans="1:9" ht="37.5">
      <c r="A55" s="8" t="s">
        <v>102</v>
      </c>
      <c r="B55" s="9"/>
      <c r="C55" s="168"/>
      <c r="D55" s="168"/>
      <c r="E55" s="168"/>
      <c r="F55" s="168"/>
      <c r="G55" s="168"/>
      <c r="H55" s="168"/>
      <c r="I55" s="168"/>
    </row>
    <row r="56" spans="1:9" ht="20.100000000000001" customHeight="1">
      <c r="A56" s="8" t="s">
        <v>99</v>
      </c>
      <c r="B56" s="6">
        <v>3440</v>
      </c>
      <c r="C56" s="168"/>
      <c r="D56" s="168"/>
      <c r="E56" s="168"/>
      <c r="F56" s="168"/>
      <c r="G56" s="168"/>
      <c r="H56" s="168"/>
      <c r="I56" s="168"/>
    </row>
    <row r="57" spans="1:9" ht="20.100000000000001" customHeight="1">
      <c r="A57" s="8" t="s">
        <v>104</v>
      </c>
      <c r="B57" s="6">
        <v>3450</v>
      </c>
      <c r="C57" s="168"/>
      <c r="D57" s="168"/>
      <c r="E57" s="168"/>
      <c r="F57" s="168"/>
      <c r="G57" s="168"/>
      <c r="H57" s="168"/>
      <c r="I57" s="168"/>
    </row>
    <row r="58" spans="1:9" ht="20.100000000000001" customHeight="1">
      <c r="A58" s="8" t="s">
        <v>135</v>
      </c>
      <c r="B58" s="6">
        <v>3460</v>
      </c>
      <c r="C58" s="168"/>
      <c r="D58" s="168"/>
      <c r="E58" s="168"/>
      <c r="F58" s="168"/>
      <c r="G58" s="168"/>
      <c r="H58" s="168"/>
      <c r="I58" s="168"/>
    </row>
    <row r="59" spans="1:9" ht="20.100000000000001" customHeight="1">
      <c r="A59" s="8" t="s">
        <v>130</v>
      </c>
      <c r="B59" s="6">
        <v>3470</v>
      </c>
      <c r="C59" s="168">
        <v>12855</v>
      </c>
      <c r="D59" s="168">
        <f>D60</f>
        <v>2500</v>
      </c>
      <c r="E59" s="168">
        <f>E60</f>
        <v>9645</v>
      </c>
      <c r="F59" s="168">
        <f>F60</f>
        <v>0</v>
      </c>
      <c r="G59" s="168">
        <f t="shared" ref="G59:I59" si="8">G60</f>
        <v>0</v>
      </c>
      <c r="H59" s="168">
        <f t="shared" si="8"/>
        <v>0</v>
      </c>
      <c r="I59" s="168">
        <f t="shared" si="8"/>
        <v>0</v>
      </c>
    </row>
    <row r="60" spans="1:9" ht="20.100000000000001" customHeight="1">
      <c r="A60" s="8" t="s">
        <v>428</v>
      </c>
      <c r="B60" s="6" t="s">
        <v>427</v>
      </c>
      <c r="C60" s="168">
        <v>12855</v>
      </c>
      <c r="D60" s="168">
        <v>2500</v>
      </c>
      <c r="E60" s="168">
        <v>9645</v>
      </c>
      <c r="F60" s="224">
        <v>0</v>
      </c>
      <c r="G60" s="224">
        <v>0</v>
      </c>
      <c r="H60" s="224">
        <v>0</v>
      </c>
      <c r="I60" s="224">
        <v>0</v>
      </c>
    </row>
    <row r="61" spans="1:9" ht="20.100000000000001" customHeight="1">
      <c r="A61" s="8" t="s">
        <v>131</v>
      </c>
      <c r="B61" s="6">
        <v>3480</v>
      </c>
      <c r="C61" s="168"/>
      <c r="D61" s="168"/>
      <c r="E61" s="168"/>
      <c r="F61" s="168"/>
      <c r="G61" s="168"/>
      <c r="H61" s="168"/>
      <c r="I61" s="168"/>
    </row>
    <row r="62" spans="1:9" ht="20.100000000000001" customHeight="1">
      <c r="A62" s="8" t="s">
        <v>418</v>
      </c>
      <c r="B62" s="6" t="s">
        <v>419</v>
      </c>
      <c r="C62" s="168"/>
      <c r="D62" s="168"/>
      <c r="E62" s="168"/>
      <c r="F62" s="168"/>
      <c r="G62" s="168"/>
      <c r="H62" s="168"/>
      <c r="I62" s="168"/>
    </row>
    <row r="63" spans="1:9" ht="20.100000000000001" customHeight="1">
      <c r="A63" s="58" t="s">
        <v>289</v>
      </c>
      <c r="B63" s="9"/>
      <c r="C63" s="168"/>
      <c r="D63" s="168"/>
      <c r="E63" s="168"/>
      <c r="F63" s="168"/>
      <c r="G63" s="168"/>
      <c r="H63" s="168"/>
      <c r="I63" s="168"/>
    </row>
    <row r="64" spans="1:9" ht="37.5">
      <c r="A64" s="8" t="s">
        <v>370</v>
      </c>
      <c r="B64" s="9">
        <v>3490</v>
      </c>
      <c r="C64" s="169">
        <f>'ІІ. Розр. з бюджетом'!C9</f>
        <v>7</v>
      </c>
      <c r="D64" s="169">
        <f>'ІІ. Розр. з бюджетом'!D9</f>
        <v>114</v>
      </c>
      <c r="E64" s="169">
        <f>'ІІ. Розр. з бюджетом'!E9</f>
        <v>6</v>
      </c>
      <c r="F64" s="169">
        <f>'ІІ. Розр. з бюджетом'!F9</f>
        <v>5</v>
      </c>
      <c r="G64" s="169">
        <f>'ІІ. Розр. з бюджетом'!G9</f>
        <v>52</v>
      </c>
      <c r="H64" s="169">
        <f>'ІІ. Розр. з бюджетом'!H9</f>
        <v>52</v>
      </c>
      <c r="I64" s="169">
        <f>'ІІ. Розр. з бюджетом'!I9</f>
        <v>52</v>
      </c>
    </row>
    <row r="65" spans="1:9" ht="112.5">
      <c r="A65" s="8" t="s">
        <v>371</v>
      </c>
      <c r="B65" s="9">
        <v>3500</v>
      </c>
      <c r="C65" s="169">
        <f>'ІІ. Розр. з бюджетом'!C10</f>
        <v>24</v>
      </c>
      <c r="D65" s="169">
        <f>'ІІ. Розр. з бюджетом'!D10</f>
        <v>386</v>
      </c>
      <c r="E65" s="169">
        <f>'ІІ. Розр. з бюджетом'!E10</f>
        <v>19</v>
      </c>
      <c r="F65" s="169">
        <f>'ІІ. Розр. з бюджетом'!F10</f>
        <v>17</v>
      </c>
      <c r="G65" s="169">
        <f>'ІІ. Розр. з бюджетом'!G10</f>
        <v>177</v>
      </c>
      <c r="H65" s="169">
        <f>'ІІ. Розр. з бюджетом'!H10</f>
        <v>177</v>
      </c>
      <c r="I65" s="169">
        <f>'ІІ. Розр. з бюджетом'!I10</f>
        <v>177</v>
      </c>
    </row>
    <row r="66" spans="1:9" ht="37.5">
      <c r="A66" s="8" t="s">
        <v>103</v>
      </c>
      <c r="B66" s="9"/>
      <c r="C66" s="168"/>
      <c r="D66" s="168"/>
      <c r="E66" s="168"/>
      <c r="F66" s="168"/>
      <c r="G66" s="168"/>
      <c r="H66" s="168"/>
      <c r="I66" s="168"/>
    </row>
    <row r="67" spans="1:9" ht="20.100000000000001" customHeight="1">
      <c r="A67" s="8" t="s">
        <v>99</v>
      </c>
      <c r="B67" s="6">
        <v>3510</v>
      </c>
      <c r="C67" s="168"/>
      <c r="D67" s="168"/>
      <c r="E67" s="168"/>
      <c r="F67" s="168"/>
      <c r="G67" s="168"/>
      <c r="H67" s="168"/>
      <c r="I67" s="168"/>
    </row>
    <row r="68" spans="1:9" ht="20.100000000000001" customHeight="1">
      <c r="A68" s="8" t="s">
        <v>104</v>
      </c>
      <c r="B68" s="6">
        <v>3520</v>
      </c>
      <c r="C68" s="168"/>
      <c r="D68" s="168"/>
      <c r="E68" s="168"/>
      <c r="F68" s="168"/>
      <c r="G68" s="168"/>
      <c r="H68" s="168"/>
      <c r="I68" s="168"/>
    </row>
    <row r="69" spans="1:9" ht="20.100000000000001" customHeight="1">
      <c r="A69" s="8" t="s">
        <v>135</v>
      </c>
      <c r="B69" s="6">
        <v>3530</v>
      </c>
      <c r="C69" s="168"/>
      <c r="D69" s="168"/>
      <c r="E69" s="168"/>
      <c r="F69" s="168"/>
      <c r="G69" s="168"/>
      <c r="H69" s="168"/>
      <c r="I69" s="168"/>
    </row>
    <row r="70" spans="1:9" ht="37.5">
      <c r="A70" s="8" t="s">
        <v>101</v>
      </c>
      <c r="B70" s="9"/>
      <c r="C70" s="168"/>
      <c r="D70" s="168"/>
      <c r="E70" s="168"/>
      <c r="F70" s="168"/>
      <c r="G70" s="168"/>
      <c r="H70" s="168"/>
      <c r="I70" s="168"/>
    </row>
    <row r="71" spans="1:9" ht="20.100000000000001" customHeight="1">
      <c r="A71" s="8" t="s">
        <v>99</v>
      </c>
      <c r="B71" s="6">
        <v>3540</v>
      </c>
      <c r="C71" s="168"/>
      <c r="D71" s="168"/>
      <c r="E71" s="168"/>
      <c r="F71" s="168"/>
      <c r="G71" s="168"/>
      <c r="H71" s="168"/>
      <c r="I71" s="168"/>
    </row>
    <row r="72" spans="1:9" ht="20.100000000000001" customHeight="1">
      <c r="A72" s="8" t="s">
        <v>104</v>
      </c>
      <c r="B72" s="6">
        <v>3550</v>
      </c>
      <c r="C72" s="168"/>
      <c r="D72" s="168"/>
      <c r="E72" s="168"/>
      <c r="F72" s="168"/>
      <c r="G72" s="168"/>
      <c r="H72" s="168"/>
      <c r="I72" s="168"/>
    </row>
    <row r="73" spans="1:9" ht="20.100000000000001" customHeight="1">
      <c r="A73" s="8" t="s">
        <v>135</v>
      </c>
      <c r="B73" s="6">
        <v>3560</v>
      </c>
      <c r="C73" s="168"/>
      <c r="D73" s="168"/>
      <c r="E73" s="168"/>
      <c r="F73" s="168"/>
      <c r="G73" s="168"/>
      <c r="H73" s="168"/>
      <c r="I73" s="168"/>
    </row>
    <row r="74" spans="1:9" ht="20.100000000000001" customHeight="1">
      <c r="A74" s="8" t="s">
        <v>126</v>
      </c>
      <c r="B74" s="6">
        <v>3570</v>
      </c>
      <c r="C74" s="168"/>
      <c r="D74" s="168"/>
      <c r="E74" s="168"/>
      <c r="F74" s="168"/>
      <c r="G74" s="168"/>
      <c r="H74" s="168"/>
      <c r="I74" s="168"/>
    </row>
    <row r="75" spans="1:9" ht="37.5">
      <c r="A75" s="58" t="s">
        <v>175</v>
      </c>
      <c r="B75" s="91">
        <v>3580</v>
      </c>
      <c r="C75" s="170">
        <f t="shared" ref="C75:I75" si="9">(C50+C52+C53+C54+C56+C57+C58+C59+C61)-(C64+C65+C67+C68+C69+C71+C72+C73+C74)</f>
        <v>12824</v>
      </c>
      <c r="D75" s="170">
        <f t="shared" si="9"/>
        <v>2000</v>
      </c>
      <c r="E75" s="170">
        <f t="shared" si="9"/>
        <v>9620</v>
      </c>
      <c r="F75" s="170">
        <f t="shared" si="9"/>
        <v>-22</v>
      </c>
      <c r="G75" s="170">
        <f t="shared" si="9"/>
        <v>-229</v>
      </c>
      <c r="H75" s="170">
        <f t="shared" si="9"/>
        <v>-229</v>
      </c>
      <c r="I75" s="170">
        <f t="shared" si="9"/>
        <v>-229</v>
      </c>
    </row>
    <row r="76" spans="1:9" s="15" customFormat="1" ht="20.100000000000001" customHeight="1">
      <c r="A76" s="8" t="s">
        <v>34</v>
      </c>
      <c r="B76" s="6"/>
      <c r="C76" s="172"/>
      <c r="D76" s="172"/>
      <c r="E76" s="172"/>
      <c r="F76" s="172"/>
      <c r="G76" s="172"/>
      <c r="H76" s="172"/>
      <c r="I76" s="172"/>
    </row>
    <row r="77" spans="1:9" s="15" customFormat="1" ht="20.100000000000001" customHeight="1">
      <c r="A77" s="10" t="s">
        <v>35</v>
      </c>
      <c r="B77" s="6">
        <v>3600</v>
      </c>
      <c r="C77" s="168">
        <v>384</v>
      </c>
      <c r="D77" s="168">
        <v>747</v>
      </c>
      <c r="E77" s="169">
        <v>747</v>
      </c>
      <c r="F77" s="169">
        <f>E79</f>
        <v>1617.7200000000003</v>
      </c>
      <c r="G77" s="169">
        <f>E79</f>
        <v>1617.7200000000003</v>
      </c>
      <c r="H77" s="169">
        <f>E79</f>
        <v>1617.7200000000003</v>
      </c>
      <c r="I77" s="169">
        <f>E79</f>
        <v>1617.7200000000003</v>
      </c>
    </row>
    <row r="78" spans="1:9" s="15" customFormat="1" ht="37.5">
      <c r="A78" s="72" t="s">
        <v>184</v>
      </c>
      <c r="B78" s="6">
        <v>3610</v>
      </c>
      <c r="C78" s="168"/>
      <c r="D78" s="168"/>
      <c r="E78" s="168"/>
      <c r="F78" s="168"/>
      <c r="G78" s="168"/>
      <c r="H78" s="168"/>
      <c r="I78" s="168"/>
    </row>
    <row r="79" spans="1:9" s="15" customFormat="1" ht="20.100000000000001" customHeight="1">
      <c r="A79" s="10" t="s">
        <v>58</v>
      </c>
      <c r="B79" s="6">
        <v>3620</v>
      </c>
      <c r="C79" s="170">
        <f t="shared" ref="C79:I79" si="10">C77+C27+C47+C75</f>
        <v>746.73999999999978</v>
      </c>
      <c r="D79" s="170">
        <f t="shared" si="10"/>
        <v>600.68000000000006</v>
      </c>
      <c r="E79" s="170">
        <f t="shared" si="10"/>
        <v>1617.7200000000003</v>
      </c>
      <c r="F79" s="170">
        <f t="shared" si="10"/>
        <v>1664.3467284875005</v>
      </c>
      <c r="G79" s="170">
        <f t="shared" si="10"/>
        <v>1909.9734569750008</v>
      </c>
      <c r="H79" s="170">
        <f t="shared" si="10"/>
        <v>1894.6001854625006</v>
      </c>
      <c r="I79" s="170">
        <f t="shared" si="10"/>
        <v>1716.2269139500008</v>
      </c>
    </row>
    <row r="80" spans="1:9" s="15" customFormat="1" ht="20.100000000000001" customHeight="1">
      <c r="A80" s="10" t="s">
        <v>36</v>
      </c>
      <c r="B80" s="6">
        <v>3630</v>
      </c>
      <c r="C80" s="170">
        <f>C79-C77</f>
        <v>362.73999999999978</v>
      </c>
      <c r="D80" s="170">
        <f t="shared" ref="D80:I80" si="11">D79-D77</f>
        <v>-146.31999999999994</v>
      </c>
      <c r="E80" s="170">
        <f t="shared" si="11"/>
        <v>870.72000000000025</v>
      </c>
      <c r="F80" s="170">
        <f t="shared" si="11"/>
        <v>46.626728487500259</v>
      </c>
      <c r="G80" s="170">
        <f t="shared" si="11"/>
        <v>292.25345697500052</v>
      </c>
      <c r="H80" s="170">
        <f t="shared" si="11"/>
        <v>276.88018546250032</v>
      </c>
      <c r="I80" s="170">
        <f t="shared" si="11"/>
        <v>98.50691395000058</v>
      </c>
    </row>
    <row r="81" spans="1:9" s="15" customFormat="1" ht="20.100000000000001" customHeight="1">
      <c r="A81" s="139"/>
      <c r="B81" s="147"/>
      <c r="H81" s="149"/>
      <c r="I81" s="149"/>
    </row>
    <row r="82" spans="1:9" s="15" customFormat="1" ht="20.100000000000001" customHeight="1">
      <c r="A82" s="139"/>
      <c r="B82" s="147"/>
      <c r="H82" s="149"/>
      <c r="I82" s="149"/>
    </row>
    <row r="83" spans="1:9" s="15" customFormat="1" ht="20.100000000000001" customHeight="1">
      <c r="A83" s="139"/>
      <c r="B83" s="147"/>
      <c r="C83" s="148"/>
      <c r="D83" s="149"/>
      <c r="E83" s="149"/>
      <c r="F83" s="149"/>
      <c r="G83" s="149"/>
      <c r="H83" s="149"/>
      <c r="I83" s="149"/>
    </row>
    <row r="84" spans="1:9" s="2" customFormat="1">
      <c r="A84" s="173" t="s">
        <v>403</v>
      </c>
      <c r="B84" s="132"/>
      <c r="C84" s="360" t="s">
        <v>119</v>
      </c>
      <c r="D84" s="361"/>
      <c r="E84" s="361"/>
      <c r="F84" s="133"/>
      <c r="G84" s="354" t="s">
        <v>402</v>
      </c>
      <c r="H84" s="354"/>
      <c r="I84" s="354"/>
    </row>
    <row r="85" spans="1:9" ht="20.100000000000001" customHeight="1">
      <c r="A85" s="95" t="s">
        <v>380</v>
      </c>
      <c r="B85" s="108"/>
      <c r="C85" s="344" t="s">
        <v>84</v>
      </c>
      <c r="D85" s="344"/>
      <c r="E85" s="344"/>
      <c r="F85" s="134"/>
      <c r="G85" s="345" t="s">
        <v>474</v>
      </c>
      <c r="H85" s="345"/>
      <c r="I85" s="345"/>
    </row>
    <row r="86" spans="1:9">
      <c r="C86" s="4"/>
    </row>
    <row r="87" spans="1:9">
      <c r="C87" s="148"/>
      <c r="D87" s="149"/>
      <c r="E87" s="149"/>
      <c r="F87" s="149"/>
      <c r="G87" s="149"/>
    </row>
    <row r="88" spans="1:9">
      <c r="C88" s="148"/>
      <c r="D88" s="149"/>
      <c r="E88" s="149"/>
      <c r="F88" s="149"/>
      <c r="G88" s="149"/>
    </row>
    <row r="89" spans="1:9">
      <c r="C89" s="4"/>
    </row>
    <row r="90" spans="1:9">
      <c r="C90" s="4"/>
    </row>
    <row r="91" spans="1:9">
      <c r="C91" s="4"/>
    </row>
    <row r="92" spans="1:9">
      <c r="C92" s="4"/>
    </row>
    <row r="93" spans="1:9">
      <c r="C93" s="4"/>
    </row>
    <row r="94" spans="1:9">
      <c r="C94" s="4"/>
    </row>
    <row r="95" spans="1:9">
      <c r="C95" s="4"/>
    </row>
    <row r="96" spans="1:9">
      <c r="C96" s="4"/>
    </row>
    <row r="97" spans="3:3">
      <c r="C97" s="4"/>
    </row>
    <row r="98" spans="3:3">
      <c r="C98" s="4"/>
    </row>
    <row r="99" spans="3:3">
      <c r="C99" s="4"/>
    </row>
    <row r="100" spans="3:3">
      <c r="C100" s="4"/>
    </row>
    <row r="101" spans="3:3">
      <c r="C101" s="4"/>
    </row>
    <row r="102" spans="3:3">
      <c r="C102" s="4"/>
    </row>
    <row r="103" spans="3:3">
      <c r="C103" s="4"/>
    </row>
    <row r="104" spans="3:3">
      <c r="C104" s="4"/>
    </row>
    <row r="105" spans="3:3">
      <c r="C105" s="4"/>
    </row>
    <row r="106" spans="3:3">
      <c r="C106" s="4"/>
    </row>
    <row r="107" spans="3:3">
      <c r="C107" s="4"/>
    </row>
    <row r="108" spans="3:3">
      <c r="C108" s="4"/>
    </row>
    <row r="109" spans="3:3">
      <c r="C109" s="4"/>
    </row>
    <row r="110" spans="3:3">
      <c r="C110" s="4"/>
    </row>
    <row r="111" spans="3:3">
      <c r="C111" s="4"/>
    </row>
    <row r="112" spans="3:3">
      <c r="C112" s="4"/>
    </row>
    <row r="113" spans="3:3">
      <c r="C113" s="4"/>
    </row>
    <row r="114" spans="3:3">
      <c r="C114" s="4"/>
    </row>
    <row r="115" spans="3:3">
      <c r="C115" s="4"/>
    </row>
    <row r="116" spans="3:3">
      <c r="C116" s="4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5" showPageBreaks="1" printArea="1" view="pageBreakPreview" topLeftCell="A55">
      <selection activeCell="C59" sqref="C58:C59"/>
      <pageMargins left="0.78740157480314965" right="0.39370078740157483" top="0.59055118110236227" bottom="0.59055118110236227" header="0.19685039370078741" footer="0.23622047244094491"/>
      <pageSetup paperSize="9" scale="50" orientation="portrait" r:id="rId1"/>
      <headerFooter alignWithMargins="0"/>
    </customSheetView>
    <customSheetView guid="{43DCEB14-ADF8-4168-9283-6542A71D3CF7}" scale="75" showPageBreaks="1" printArea="1" view="pageBreakPreview" topLeftCell="A52">
      <selection activeCell="K53" sqref="K53"/>
      <pageMargins left="0.78740157480314965" right="0.39370078740157483" top="0.59055118110236227" bottom="0.59055118110236227" header="0.19685039370078741" footer="0.23622047244094491"/>
      <pageSetup paperSize="9" scale="50" orientation="portrait" r:id="rId2"/>
      <headerFooter alignWithMargins="0"/>
    </customSheetView>
  </customSheetViews>
  <mergeCells count="14">
    <mergeCell ref="A1:I1"/>
    <mergeCell ref="A3:A4"/>
    <mergeCell ref="B3:B4"/>
    <mergeCell ref="C3:C4"/>
    <mergeCell ref="D3:D4"/>
    <mergeCell ref="E3:E4"/>
    <mergeCell ref="F3:I3"/>
    <mergeCell ref="C85:E85"/>
    <mergeCell ref="G85:I85"/>
    <mergeCell ref="A28:I28"/>
    <mergeCell ref="A6:I6"/>
    <mergeCell ref="A48:I48"/>
    <mergeCell ref="C84:E84"/>
    <mergeCell ref="G84:I84"/>
  </mergeCells>
  <phoneticPr fontId="3" type="noConversion"/>
  <pageMargins left="0.78740157480314965" right="0.39370078740157483" top="0.59055118110236227" bottom="0.59055118110236227" header="0.19685039370078741" footer="0.23622047244094491"/>
  <pageSetup paperSize="9" scale="50" orientation="portrait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82"/>
  <sheetViews>
    <sheetView view="pageBreakPreview" zoomScale="80" zoomScaleNormal="75" zoomScaleSheetLayoutView="80" workbookViewId="0">
      <selection activeCell="G29" sqref="G29"/>
    </sheetView>
  </sheetViews>
  <sheetFormatPr defaultColWidth="9.140625" defaultRowHeight="18.75"/>
  <cols>
    <col min="1" max="1" width="45" style="2" customWidth="1"/>
    <col min="2" max="2" width="11.7109375" style="25" customWidth="1"/>
    <col min="3" max="4" width="16" style="25" customWidth="1"/>
    <col min="5" max="5" width="15.28515625" style="25" customWidth="1"/>
    <col min="6" max="7" width="16.28515625" style="2" customWidth="1"/>
    <col min="8" max="8" width="15.85546875" style="2" customWidth="1"/>
    <col min="9" max="9" width="15.28515625" style="2" customWidth="1"/>
    <col min="10" max="10" width="9.85546875" style="2" customWidth="1"/>
    <col min="11" max="16384" width="9.140625" style="2"/>
  </cols>
  <sheetData>
    <row r="1" spans="1:15">
      <c r="A1" s="366" t="s">
        <v>229</v>
      </c>
      <c r="B1" s="366"/>
      <c r="C1" s="366"/>
      <c r="D1" s="366"/>
      <c r="E1" s="366"/>
      <c r="F1" s="366"/>
      <c r="G1" s="366"/>
      <c r="H1" s="366"/>
      <c r="I1" s="366"/>
    </row>
    <row r="2" spans="1:15">
      <c r="A2" s="370"/>
      <c r="B2" s="370"/>
      <c r="C2" s="370"/>
      <c r="D2" s="370"/>
      <c r="E2" s="370"/>
      <c r="F2" s="370"/>
      <c r="G2" s="370"/>
      <c r="H2" s="370"/>
      <c r="I2" s="370"/>
    </row>
    <row r="3" spans="1:15" ht="43.5" customHeight="1">
      <c r="A3" s="350" t="s">
        <v>272</v>
      </c>
      <c r="B3" s="346" t="s">
        <v>18</v>
      </c>
      <c r="C3" s="351" t="s">
        <v>31</v>
      </c>
      <c r="D3" s="351" t="s">
        <v>39</v>
      </c>
      <c r="E3" s="365" t="s">
        <v>181</v>
      </c>
      <c r="F3" s="346" t="s">
        <v>364</v>
      </c>
      <c r="G3" s="346"/>
      <c r="H3" s="346"/>
      <c r="I3" s="346"/>
    </row>
    <row r="4" spans="1:15" ht="56.25" customHeight="1">
      <c r="A4" s="350"/>
      <c r="B4" s="346"/>
      <c r="C4" s="351"/>
      <c r="D4" s="351"/>
      <c r="E4" s="365"/>
      <c r="F4" s="13" t="s">
        <v>373</v>
      </c>
      <c r="G4" s="13" t="s">
        <v>366</v>
      </c>
      <c r="H4" s="13" t="s">
        <v>367</v>
      </c>
      <c r="I4" s="13" t="s">
        <v>86</v>
      </c>
    </row>
    <row r="5" spans="1:15" ht="18" customHeight="1">
      <c r="A5" s="6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</row>
    <row r="6" spans="1:15" s="5" customFormat="1" ht="42.75" customHeight="1">
      <c r="A6" s="8" t="s">
        <v>88</v>
      </c>
      <c r="B6" s="75">
        <v>4000</v>
      </c>
      <c r="C6" s="93">
        <f t="shared" ref="C6:I6" si="0">SUM(C7:C11)</f>
        <v>10713</v>
      </c>
      <c r="D6" s="93">
        <f t="shared" si="0"/>
        <v>2083</v>
      </c>
      <c r="E6" s="93">
        <f t="shared" si="0"/>
        <v>8038</v>
      </c>
      <c r="F6" s="169">
        <f t="shared" si="0"/>
        <v>0</v>
      </c>
      <c r="G6" s="169">
        <f t="shared" si="0"/>
        <v>0</v>
      </c>
      <c r="H6" s="169">
        <f t="shared" si="0"/>
        <v>0</v>
      </c>
      <c r="I6" s="169">
        <f t="shared" si="0"/>
        <v>0</v>
      </c>
    </row>
    <row r="7" spans="1:15" ht="20.100000000000001" customHeight="1">
      <c r="A7" s="8" t="s">
        <v>1</v>
      </c>
      <c r="B7" s="76" t="s">
        <v>239</v>
      </c>
      <c r="C7" s="107"/>
      <c r="D7" s="107"/>
      <c r="E7" s="107"/>
      <c r="F7" s="168"/>
      <c r="G7" s="168"/>
      <c r="H7" s="168"/>
      <c r="I7" s="168"/>
    </row>
    <row r="8" spans="1:15" ht="37.5">
      <c r="A8" s="8" t="s">
        <v>2</v>
      </c>
      <c r="B8" s="75">
        <v>4020</v>
      </c>
      <c r="C8" s="107"/>
      <c r="D8" s="107"/>
      <c r="E8" s="255">
        <v>2082</v>
      </c>
      <c r="F8" s="168"/>
      <c r="G8" s="168"/>
      <c r="H8" s="168"/>
      <c r="I8" s="168"/>
      <c r="O8" s="21"/>
    </row>
    <row r="9" spans="1:15" ht="37.5">
      <c r="A9" s="8" t="s">
        <v>30</v>
      </c>
      <c r="B9" s="76">
        <v>4030</v>
      </c>
      <c r="C9" s="107"/>
      <c r="D9" s="107"/>
      <c r="E9" s="255"/>
      <c r="F9" s="168"/>
      <c r="G9" s="168"/>
      <c r="H9" s="168"/>
      <c r="I9" s="168"/>
      <c r="N9" s="21"/>
    </row>
    <row r="10" spans="1:15" ht="37.5">
      <c r="A10" s="8" t="s">
        <v>3</v>
      </c>
      <c r="B10" s="75">
        <v>4040</v>
      </c>
      <c r="C10" s="107"/>
      <c r="D10" s="107"/>
      <c r="E10" s="255"/>
      <c r="F10" s="168"/>
      <c r="G10" s="168"/>
      <c r="H10" s="168"/>
      <c r="I10" s="168"/>
    </row>
    <row r="11" spans="1:15" ht="56.25">
      <c r="A11" s="8" t="s">
        <v>74</v>
      </c>
      <c r="B11" s="76">
        <v>4050</v>
      </c>
      <c r="C11" s="107">
        <v>10713</v>
      </c>
      <c r="D11" s="224">
        <v>2083</v>
      </c>
      <c r="E11" s="224">
        <v>5956</v>
      </c>
      <c r="F11" s="224"/>
      <c r="G11" s="224"/>
      <c r="H11" s="224"/>
      <c r="I11" s="224"/>
    </row>
    <row r="12" spans="1:15" ht="20.100000000000001" customHeight="1">
      <c r="A12" s="108"/>
      <c r="B12" s="108"/>
      <c r="C12" s="108"/>
      <c r="D12" s="108"/>
      <c r="E12" s="108"/>
      <c r="F12" s="150"/>
      <c r="G12" s="150"/>
      <c r="H12" s="150"/>
      <c r="I12" s="150"/>
    </row>
    <row r="13" spans="1:15" ht="20.100000000000001" customHeight="1">
      <c r="A13" s="108"/>
      <c r="B13" s="108"/>
      <c r="C13" s="108"/>
      <c r="D13" s="108"/>
      <c r="E13" s="108"/>
      <c r="F13" s="150"/>
      <c r="G13" s="150"/>
      <c r="H13" s="150"/>
      <c r="I13" s="150"/>
    </row>
    <row r="14" spans="1:15" s="1" customFormat="1">
      <c r="A14" s="128"/>
      <c r="B14" s="139"/>
      <c r="C14" s="108"/>
      <c r="D14" s="108"/>
      <c r="E14" s="108"/>
      <c r="F14" s="108"/>
      <c r="G14" s="108"/>
      <c r="H14" s="108"/>
      <c r="I14" s="108"/>
    </row>
    <row r="15" spans="1:15" s="5" customFormat="1" ht="19.5">
      <c r="A15" s="173" t="s">
        <v>405</v>
      </c>
      <c r="B15" s="147"/>
      <c r="C15" s="352" t="s">
        <v>119</v>
      </c>
      <c r="D15" s="353"/>
      <c r="E15" s="353"/>
      <c r="F15" s="178"/>
      <c r="G15" s="354" t="s">
        <v>402</v>
      </c>
      <c r="H15" s="354"/>
      <c r="I15" s="354"/>
    </row>
    <row r="16" spans="1:15" s="1" customFormat="1" ht="20.100000000000001" customHeight="1">
      <c r="A16" s="109" t="s">
        <v>83</v>
      </c>
      <c r="B16" s="108"/>
      <c r="C16" s="344" t="s">
        <v>84</v>
      </c>
      <c r="D16" s="344"/>
      <c r="E16" s="344"/>
      <c r="F16" s="134"/>
      <c r="G16" s="345" t="s">
        <v>444</v>
      </c>
      <c r="H16" s="345"/>
      <c r="I16" s="345"/>
    </row>
    <row r="17" spans="1:9">
      <c r="A17" s="151"/>
      <c r="B17" s="109"/>
      <c r="C17" s="109"/>
      <c r="D17" s="109"/>
      <c r="E17" s="109"/>
      <c r="F17" s="108"/>
      <c r="G17" s="108"/>
      <c r="H17" s="108"/>
      <c r="I17" s="108"/>
    </row>
    <row r="18" spans="1:9">
      <c r="A18" s="151"/>
      <c r="B18" s="109"/>
      <c r="C18" s="109"/>
      <c r="D18" s="109"/>
      <c r="E18" s="109"/>
      <c r="F18" s="108"/>
      <c r="G18" s="108"/>
      <c r="H18" s="108"/>
      <c r="I18" s="108"/>
    </row>
    <row r="19" spans="1:9">
      <c r="A19" s="50"/>
      <c r="F19" s="2">
        <f>'ІІІ. Рух грош. коштів'!F40/1.2</f>
        <v>0</v>
      </c>
      <c r="G19" s="259">
        <f>'ІІІ. Рух грош. коштів'!G40/1.2</f>
        <v>0</v>
      </c>
      <c r="H19" s="259">
        <f>'ІІІ. Рух грош. коштів'!H40/1.2</f>
        <v>0</v>
      </c>
      <c r="I19" s="261">
        <f>'ІІІ. Рух грош. коштів'!I40/1.2</f>
        <v>0</v>
      </c>
    </row>
    <row r="20" spans="1:9">
      <c r="A20" s="50"/>
      <c r="F20" s="2">
        <f>'ІІІ. Рух грош. коштів'!F45/1.2</f>
        <v>0</v>
      </c>
      <c r="G20" s="259">
        <f>'ІІІ. Рух грош. коштів'!G45/1.2</f>
        <v>0</v>
      </c>
      <c r="H20" s="261">
        <f>'ІІІ. Рух грош. коштів'!H45/1.2</f>
        <v>0</v>
      </c>
      <c r="I20" s="259">
        <f>'ІІІ. Рух грош. коштів'!I45/1.2</f>
        <v>0</v>
      </c>
    </row>
    <row r="21" spans="1:9">
      <c r="A21" s="50"/>
    </row>
    <row r="22" spans="1:9">
      <c r="A22" s="50"/>
      <c r="F22" s="2">
        <f>'ІІІ. Рух грош. коштів'!F60/1.2</f>
        <v>0</v>
      </c>
      <c r="G22" s="259">
        <f>'ІІІ. Рух грош. коштів'!G60/1.2</f>
        <v>0</v>
      </c>
      <c r="H22" s="261">
        <f>'ІІІ. Рух грош. коштів'!H60/1.2</f>
        <v>0</v>
      </c>
      <c r="I22" s="261">
        <f>'ІІІ. Рух грош. коштів'!I60/1.2</f>
        <v>0</v>
      </c>
    </row>
    <row r="23" spans="1:9">
      <c r="A23" s="50"/>
    </row>
    <row r="24" spans="1:9">
      <c r="A24" s="50"/>
    </row>
    <row r="25" spans="1:9">
      <c r="A25" s="50"/>
    </row>
    <row r="26" spans="1:9">
      <c r="A26" s="50"/>
    </row>
    <row r="27" spans="1:9">
      <c r="A27" s="50"/>
    </row>
    <row r="28" spans="1:9">
      <c r="A28" s="50"/>
    </row>
    <row r="29" spans="1:9">
      <c r="A29" s="50"/>
    </row>
    <row r="30" spans="1:9">
      <c r="A30" s="50"/>
    </row>
    <row r="31" spans="1:9">
      <c r="A31" s="50"/>
    </row>
    <row r="32" spans="1:9">
      <c r="A32" s="50"/>
    </row>
    <row r="33" spans="1:1">
      <c r="A33" s="50"/>
    </row>
    <row r="34" spans="1:1">
      <c r="A34" s="50"/>
    </row>
    <row r="35" spans="1:1">
      <c r="A35" s="50"/>
    </row>
    <row r="36" spans="1:1">
      <c r="A36" s="50"/>
    </row>
    <row r="37" spans="1:1">
      <c r="A37" s="50"/>
    </row>
    <row r="38" spans="1:1">
      <c r="A38" s="50"/>
    </row>
    <row r="39" spans="1:1">
      <c r="A39" s="50"/>
    </row>
    <row r="40" spans="1:1">
      <c r="A40" s="50"/>
    </row>
    <row r="41" spans="1:1">
      <c r="A41" s="50"/>
    </row>
    <row r="42" spans="1:1">
      <c r="A42" s="50"/>
    </row>
    <row r="43" spans="1:1">
      <c r="A43" s="50"/>
    </row>
    <row r="44" spans="1:1">
      <c r="A44" s="50"/>
    </row>
    <row r="45" spans="1:1">
      <c r="A45" s="50"/>
    </row>
    <row r="46" spans="1:1">
      <c r="A46" s="50"/>
    </row>
    <row r="47" spans="1:1">
      <c r="A47" s="50"/>
    </row>
    <row r="48" spans="1:1">
      <c r="A48" s="50"/>
    </row>
    <row r="49" spans="1:1">
      <c r="A49" s="50"/>
    </row>
    <row r="50" spans="1:1">
      <c r="A50" s="50"/>
    </row>
    <row r="51" spans="1:1">
      <c r="A51" s="50"/>
    </row>
    <row r="52" spans="1:1">
      <c r="A52" s="50"/>
    </row>
    <row r="53" spans="1:1">
      <c r="A53" s="50"/>
    </row>
    <row r="54" spans="1:1">
      <c r="A54" s="50"/>
    </row>
    <row r="55" spans="1:1">
      <c r="A55" s="50"/>
    </row>
    <row r="56" spans="1:1">
      <c r="A56" s="50"/>
    </row>
    <row r="57" spans="1:1">
      <c r="A57" s="50"/>
    </row>
    <row r="58" spans="1:1">
      <c r="A58" s="50"/>
    </row>
    <row r="59" spans="1:1">
      <c r="A59" s="50"/>
    </row>
    <row r="60" spans="1:1">
      <c r="A60" s="50"/>
    </row>
    <row r="61" spans="1:1">
      <c r="A61" s="50"/>
    </row>
    <row r="62" spans="1:1">
      <c r="A62" s="50"/>
    </row>
    <row r="63" spans="1:1">
      <c r="A63" s="50"/>
    </row>
    <row r="64" spans="1:1">
      <c r="A64" s="50"/>
    </row>
    <row r="65" spans="1:1">
      <c r="A65" s="50"/>
    </row>
    <row r="66" spans="1:1">
      <c r="A66" s="50"/>
    </row>
    <row r="67" spans="1:1">
      <c r="A67" s="50"/>
    </row>
    <row r="68" spans="1:1">
      <c r="A68" s="50"/>
    </row>
    <row r="69" spans="1:1">
      <c r="A69" s="50"/>
    </row>
    <row r="70" spans="1:1">
      <c r="A70" s="50"/>
    </row>
    <row r="71" spans="1:1">
      <c r="A71" s="50"/>
    </row>
    <row r="72" spans="1:1">
      <c r="A72" s="50"/>
    </row>
    <row r="73" spans="1:1">
      <c r="A73" s="50"/>
    </row>
    <row r="74" spans="1:1">
      <c r="A74" s="50"/>
    </row>
    <row r="75" spans="1:1">
      <c r="A75" s="50"/>
    </row>
    <row r="76" spans="1:1">
      <c r="A76" s="50"/>
    </row>
    <row r="77" spans="1:1">
      <c r="A77" s="50"/>
    </row>
    <row r="78" spans="1:1">
      <c r="A78" s="50"/>
    </row>
    <row r="79" spans="1:1">
      <c r="A79" s="50"/>
    </row>
    <row r="80" spans="1:1">
      <c r="A80" s="50"/>
    </row>
    <row r="81" spans="1:1">
      <c r="A81" s="50"/>
    </row>
    <row r="82" spans="1:1">
      <c r="A82" s="50"/>
    </row>
    <row r="83" spans="1:1">
      <c r="A83" s="50"/>
    </row>
    <row r="84" spans="1:1">
      <c r="A84" s="50"/>
    </row>
    <row r="85" spans="1:1">
      <c r="A85" s="50"/>
    </row>
    <row r="86" spans="1:1">
      <c r="A86" s="50"/>
    </row>
    <row r="87" spans="1:1">
      <c r="A87" s="50"/>
    </row>
    <row r="88" spans="1:1">
      <c r="A88" s="50"/>
    </row>
    <row r="89" spans="1:1">
      <c r="A89" s="50"/>
    </row>
    <row r="90" spans="1:1">
      <c r="A90" s="50"/>
    </row>
    <row r="91" spans="1:1">
      <c r="A91" s="50"/>
    </row>
    <row r="92" spans="1:1">
      <c r="A92" s="50"/>
    </row>
    <row r="93" spans="1:1">
      <c r="A93" s="50"/>
    </row>
    <row r="94" spans="1:1">
      <c r="A94" s="50"/>
    </row>
    <row r="95" spans="1:1">
      <c r="A95" s="50"/>
    </row>
    <row r="96" spans="1:1">
      <c r="A96" s="50"/>
    </row>
    <row r="97" spans="1:1">
      <c r="A97" s="50"/>
    </row>
    <row r="98" spans="1:1">
      <c r="A98" s="50"/>
    </row>
    <row r="99" spans="1:1">
      <c r="A99" s="50"/>
    </row>
    <row r="100" spans="1:1">
      <c r="A100" s="50"/>
    </row>
    <row r="101" spans="1:1">
      <c r="A101" s="50"/>
    </row>
    <row r="102" spans="1:1">
      <c r="A102" s="50"/>
    </row>
    <row r="103" spans="1:1">
      <c r="A103" s="50"/>
    </row>
    <row r="104" spans="1:1">
      <c r="A104" s="50"/>
    </row>
    <row r="105" spans="1:1">
      <c r="A105" s="50"/>
    </row>
    <row r="106" spans="1:1">
      <c r="A106" s="50"/>
    </row>
    <row r="107" spans="1:1">
      <c r="A107" s="50"/>
    </row>
    <row r="108" spans="1:1">
      <c r="A108" s="50"/>
    </row>
    <row r="109" spans="1:1">
      <c r="A109" s="50"/>
    </row>
    <row r="110" spans="1:1">
      <c r="A110" s="50"/>
    </row>
    <row r="111" spans="1:1">
      <c r="A111" s="50"/>
    </row>
    <row r="112" spans="1:1">
      <c r="A112" s="50"/>
    </row>
    <row r="113" spans="1:1">
      <c r="A113" s="50"/>
    </row>
    <row r="114" spans="1:1">
      <c r="A114" s="50"/>
    </row>
    <row r="115" spans="1:1">
      <c r="A115" s="50"/>
    </row>
    <row r="116" spans="1:1">
      <c r="A116" s="50"/>
    </row>
    <row r="117" spans="1:1">
      <c r="A117" s="50"/>
    </row>
    <row r="118" spans="1:1">
      <c r="A118" s="50"/>
    </row>
    <row r="119" spans="1:1">
      <c r="A119" s="50"/>
    </row>
    <row r="120" spans="1:1">
      <c r="A120" s="50"/>
    </row>
    <row r="121" spans="1:1">
      <c r="A121" s="50"/>
    </row>
    <row r="122" spans="1:1">
      <c r="A122" s="50"/>
    </row>
    <row r="123" spans="1:1">
      <c r="A123" s="50"/>
    </row>
    <row r="124" spans="1:1">
      <c r="A124" s="50"/>
    </row>
    <row r="125" spans="1:1">
      <c r="A125" s="50"/>
    </row>
    <row r="126" spans="1:1">
      <c r="A126" s="50"/>
    </row>
    <row r="127" spans="1:1">
      <c r="A127" s="50"/>
    </row>
    <row r="128" spans="1:1">
      <c r="A128" s="50"/>
    </row>
    <row r="129" spans="1:1">
      <c r="A129" s="50"/>
    </row>
    <row r="130" spans="1:1">
      <c r="A130" s="50"/>
    </row>
    <row r="131" spans="1:1">
      <c r="A131" s="50"/>
    </row>
    <row r="132" spans="1:1">
      <c r="A132" s="50"/>
    </row>
    <row r="133" spans="1:1">
      <c r="A133" s="50"/>
    </row>
    <row r="134" spans="1:1">
      <c r="A134" s="50"/>
    </row>
    <row r="135" spans="1:1">
      <c r="A135" s="50"/>
    </row>
    <row r="136" spans="1:1">
      <c r="A136" s="50"/>
    </row>
    <row r="137" spans="1:1">
      <c r="A137" s="50"/>
    </row>
    <row r="138" spans="1:1">
      <c r="A138" s="50"/>
    </row>
    <row r="139" spans="1:1">
      <c r="A139" s="50"/>
    </row>
    <row r="140" spans="1:1">
      <c r="A140" s="50"/>
    </row>
    <row r="141" spans="1:1">
      <c r="A141" s="50"/>
    </row>
    <row r="142" spans="1:1">
      <c r="A142" s="50"/>
    </row>
    <row r="143" spans="1:1">
      <c r="A143" s="50"/>
    </row>
    <row r="144" spans="1:1">
      <c r="A144" s="50"/>
    </row>
    <row r="145" spans="1:1">
      <c r="A145" s="50"/>
    </row>
    <row r="146" spans="1:1">
      <c r="A146" s="50"/>
    </row>
    <row r="147" spans="1:1">
      <c r="A147" s="50"/>
    </row>
    <row r="148" spans="1:1">
      <c r="A148" s="50"/>
    </row>
    <row r="149" spans="1:1">
      <c r="A149" s="50"/>
    </row>
    <row r="150" spans="1:1">
      <c r="A150" s="50"/>
    </row>
    <row r="151" spans="1:1">
      <c r="A151" s="50"/>
    </row>
    <row r="152" spans="1:1">
      <c r="A152" s="50"/>
    </row>
    <row r="153" spans="1:1">
      <c r="A153" s="50"/>
    </row>
    <row r="154" spans="1:1">
      <c r="A154" s="50"/>
    </row>
    <row r="155" spans="1:1">
      <c r="A155" s="50"/>
    </row>
    <row r="156" spans="1:1">
      <c r="A156" s="50"/>
    </row>
    <row r="157" spans="1:1">
      <c r="A157" s="50"/>
    </row>
    <row r="158" spans="1:1">
      <c r="A158" s="50"/>
    </row>
    <row r="159" spans="1:1">
      <c r="A159" s="50"/>
    </row>
    <row r="160" spans="1:1">
      <c r="A160" s="50"/>
    </row>
    <row r="161" spans="1:1">
      <c r="A161" s="50"/>
    </row>
    <row r="162" spans="1:1">
      <c r="A162" s="50"/>
    </row>
    <row r="163" spans="1:1">
      <c r="A163" s="50"/>
    </row>
    <row r="164" spans="1:1">
      <c r="A164" s="50"/>
    </row>
    <row r="165" spans="1:1">
      <c r="A165" s="50"/>
    </row>
    <row r="166" spans="1:1">
      <c r="A166" s="50"/>
    </row>
    <row r="167" spans="1:1">
      <c r="A167" s="50"/>
    </row>
    <row r="168" spans="1:1">
      <c r="A168" s="50"/>
    </row>
    <row r="169" spans="1:1">
      <c r="A169" s="50"/>
    </row>
    <row r="170" spans="1:1">
      <c r="A170" s="50"/>
    </row>
    <row r="171" spans="1:1">
      <c r="A171" s="50"/>
    </row>
    <row r="172" spans="1:1">
      <c r="A172" s="50"/>
    </row>
    <row r="173" spans="1:1">
      <c r="A173" s="50"/>
    </row>
    <row r="174" spans="1:1">
      <c r="A174" s="50"/>
    </row>
    <row r="175" spans="1:1">
      <c r="A175" s="50"/>
    </row>
    <row r="176" spans="1:1">
      <c r="A176" s="50"/>
    </row>
    <row r="177" spans="1:1">
      <c r="A177" s="50"/>
    </row>
    <row r="178" spans="1:1">
      <c r="A178" s="50"/>
    </row>
    <row r="179" spans="1:1">
      <c r="A179" s="50"/>
    </row>
    <row r="180" spans="1:1">
      <c r="A180" s="50"/>
    </row>
    <row r="181" spans="1:1">
      <c r="A181" s="50"/>
    </row>
    <row r="182" spans="1:1">
      <c r="A182" s="50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0" showPageBreaks="1" printArea="1" view="pageBreakPreview">
      <selection activeCell="E8" sqref="E8"/>
      <pageMargins left="0.78740157480314965" right="0.39370078740157483" top="0.59055118110236227" bottom="0.59055118110236227" header="0.27559055118110237" footer="0.31496062992125984"/>
      <pageSetup paperSize="9" scale="50" firstPageNumber="9" orientation="portrait" useFirstPageNumber="1" r:id="rId1"/>
      <headerFooter alignWithMargins="0"/>
    </customSheetView>
    <customSheetView guid="{43DCEB14-ADF8-4168-9283-6542A71D3CF7}" scale="70" showPageBreaks="1" printArea="1" view="pageBreakPreview">
      <selection activeCell="E8" sqref="E8"/>
      <pageMargins left="0.78740157480314965" right="0.39370078740157483" top="0.59055118110236227" bottom="0.59055118110236227" header="0.27559055118110237" footer="0.31496062992125984"/>
      <pageSetup paperSize="9" scale="50" firstPageNumber="9" orientation="portrait" useFirstPageNumber="1" r:id="rId2"/>
      <headerFooter alignWithMargins="0"/>
    </customSheetView>
  </customSheetViews>
  <mergeCells count="12">
    <mergeCell ref="C15:E15"/>
    <mergeCell ref="G15:I15"/>
    <mergeCell ref="C16:E16"/>
    <mergeCell ref="G16:I16"/>
    <mergeCell ref="A3:A4"/>
    <mergeCell ref="A1:I1"/>
    <mergeCell ref="B3:B4"/>
    <mergeCell ref="C3:C4"/>
    <mergeCell ref="D3:D4"/>
    <mergeCell ref="A2:I2"/>
    <mergeCell ref="F3:I3"/>
    <mergeCell ref="E3:E4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0" firstPageNumber="9" orientation="portrait" useFirstPageNumber="1" r:id="rId3"/>
  <headerFooter alignWithMargins="0"/>
  <ignoredErrors>
    <ignoredError sqref="B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J31"/>
  <sheetViews>
    <sheetView view="pageBreakPreview" zoomScale="75" zoomScaleNormal="75" zoomScaleSheetLayoutView="75" workbookViewId="0">
      <pane ySplit="5" topLeftCell="A6" activePane="bottomLeft" state="frozen"/>
      <selection pane="bottomLeft" activeCell="E15" sqref="E15"/>
    </sheetView>
  </sheetViews>
  <sheetFormatPr defaultColWidth="9.140625" defaultRowHeight="12.75"/>
  <cols>
    <col min="1" max="1" width="60.42578125" style="31" customWidth="1"/>
    <col min="2" max="2" width="11" style="31" customWidth="1"/>
    <col min="3" max="3" width="16" style="31" customWidth="1"/>
    <col min="4" max="4" width="18.28515625" style="31" customWidth="1"/>
    <col min="5" max="5" width="19.7109375" style="31" customWidth="1"/>
    <col min="6" max="6" width="18.5703125" style="31" customWidth="1"/>
    <col min="7" max="7" width="18.85546875" style="31" customWidth="1"/>
    <col min="8" max="8" width="37.42578125" style="31" customWidth="1"/>
    <col min="9" max="9" width="9.5703125" style="31" customWidth="1"/>
    <col min="10" max="16384" width="9.140625" style="31"/>
  </cols>
  <sheetData>
    <row r="1" spans="1:8" ht="25.5" customHeight="1">
      <c r="A1" s="371" t="s">
        <v>231</v>
      </c>
      <c r="B1" s="371"/>
      <c r="C1" s="371"/>
      <c r="D1" s="371"/>
      <c r="E1" s="371"/>
      <c r="F1" s="371"/>
      <c r="G1" s="371"/>
      <c r="H1" s="371"/>
    </row>
    <row r="2" spans="1:8" ht="16.5" customHeight="1"/>
    <row r="3" spans="1:8" ht="45" customHeight="1">
      <c r="A3" s="372" t="s">
        <v>272</v>
      </c>
      <c r="B3" s="372" t="s">
        <v>0</v>
      </c>
      <c r="C3" s="372" t="s">
        <v>110</v>
      </c>
      <c r="D3" s="372" t="s">
        <v>31</v>
      </c>
      <c r="E3" s="372" t="s">
        <v>111</v>
      </c>
      <c r="F3" s="376" t="s">
        <v>181</v>
      </c>
      <c r="G3" s="372" t="s">
        <v>112</v>
      </c>
      <c r="H3" s="372" t="s">
        <v>113</v>
      </c>
    </row>
    <row r="4" spans="1:8" ht="52.5" customHeight="1">
      <c r="A4" s="373"/>
      <c r="B4" s="373"/>
      <c r="C4" s="373"/>
      <c r="D4" s="373"/>
      <c r="E4" s="373"/>
      <c r="F4" s="377"/>
      <c r="G4" s="373"/>
      <c r="H4" s="373"/>
    </row>
    <row r="5" spans="1:8" s="63" customFormat="1" ht="18" customHeight="1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40">
        <v>6</v>
      </c>
      <c r="G5" s="40">
        <v>7</v>
      </c>
      <c r="H5" s="40">
        <v>8</v>
      </c>
    </row>
    <row r="6" spans="1:8" s="63" customFormat="1" ht="20.100000000000001" customHeight="1">
      <c r="A6" s="77" t="s">
        <v>203</v>
      </c>
      <c r="B6" s="62"/>
      <c r="C6" s="40"/>
      <c r="D6" s="40"/>
      <c r="E6" s="40"/>
      <c r="F6" s="40"/>
      <c r="G6" s="40"/>
      <c r="H6" s="40"/>
    </row>
    <row r="7" spans="1:8" ht="75">
      <c r="A7" s="8" t="s">
        <v>349</v>
      </c>
      <c r="B7" s="7">
        <v>5000</v>
      </c>
      <c r="C7" s="79" t="s">
        <v>337</v>
      </c>
      <c r="D7" s="94">
        <f>'Осн. фін. пок.'!C40*100/'Осн. фін. пок.'!C38</f>
        <v>-176.74169346195069</v>
      </c>
      <c r="E7" s="152">
        <v>100</v>
      </c>
      <c r="F7" s="94">
        <f>'Осн. фін. пок.'!F40*100/'Осн. фін. пок.'!F38</f>
        <v>-228.34254143646407</v>
      </c>
      <c r="G7" s="94">
        <f>'Осн. фін. пок.'!E40*100/'Осн. фін. пок.'!E38</f>
        <v>-191.01303407103822</v>
      </c>
      <c r="H7" s="87"/>
    </row>
    <row r="8" spans="1:8" ht="63.95" customHeight="1">
      <c r="A8" s="8" t="s">
        <v>350</v>
      </c>
      <c r="B8" s="7">
        <v>5010</v>
      </c>
      <c r="C8" s="79" t="s">
        <v>337</v>
      </c>
      <c r="D8" s="94">
        <f>'Осн. фін. пок.'!C45*100/'Осн. фін. пок.'!C38</f>
        <v>-58.09217577706324</v>
      </c>
      <c r="E8" s="152">
        <v>29.28</v>
      </c>
      <c r="F8" s="94">
        <f>'Осн. фін. пок.'!F45*100/'Осн. фін. пок.'!F38</f>
        <v>-9.88950276243094</v>
      </c>
      <c r="G8" s="94">
        <f>'Осн. фін. пок.'!E45*100/'Осн. фін. пок.'!E38</f>
        <v>18.333711144808778</v>
      </c>
      <c r="H8" s="87"/>
    </row>
    <row r="9" spans="1:8" ht="56.25">
      <c r="A9" s="89" t="s">
        <v>356</v>
      </c>
      <c r="B9" s="7">
        <v>5020</v>
      </c>
      <c r="C9" s="79" t="s">
        <v>337</v>
      </c>
      <c r="D9" s="182">
        <f>'Осн. фін. пок.'!C51/'Осн. фін. пок.'!C77</f>
        <v>1.2334081013326296E-3</v>
      </c>
      <c r="E9" s="254">
        <v>3.0000000000000001E-3</v>
      </c>
      <c r="F9" s="182">
        <f>'Осн. фін. пок.'!F51/'Осн. фін. пок.'!F77</f>
        <v>2.2068804118886027E-3</v>
      </c>
      <c r="G9" s="182">
        <f>'Осн. фін. пок.'!E51/'Осн. фін. пок.'!E77</f>
        <v>2.033226284793666E-3</v>
      </c>
      <c r="H9" s="87" t="s">
        <v>338</v>
      </c>
    </row>
    <row r="10" spans="1:8" ht="56.25">
      <c r="A10" s="89" t="s">
        <v>357</v>
      </c>
      <c r="B10" s="7">
        <v>5030</v>
      </c>
      <c r="C10" s="79" t="s">
        <v>337</v>
      </c>
      <c r="D10" s="181">
        <f>'Осн. фін. пок.'!C51/'Осн. фін. пок.'!C83</f>
        <v>7.7001647446457988E-2</v>
      </c>
      <c r="E10" s="253">
        <v>8.6999999999999994E-2</v>
      </c>
      <c r="F10" s="181">
        <f>'Осн. фін. пок.'!F51/'Осн. фін. пок.'!F83</f>
        <v>3.148580968280467E-2</v>
      </c>
      <c r="G10" s="181">
        <f>'Осн. фін. пок.'!E51/'Осн. фін. пок.'!E83</f>
        <v>3.4386324070428756E-2</v>
      </c>
      <c r="H10" s="87"/>
    </row>
    <row r="11" spans="1:8" ht="75">
      <c r="A11" s="89" t="s">
        <v>358</v>
      </c>
      <c r="B11" s="7">
        <v>5040</v>
      </c>
      <c r="C11" s="79" t="s">
        <v>114</v>
      </c>
      <c r="D11" s="181">
        <f>'Осн. фін. пок.'!C51/'Осн. фін. пок.'!C38</f>
        <v>2.5048231511254019E-2</v>
      </c>
      <c r="E11" s="253">
        <v>0.05</v>
      </c>
      <c r="F11" s="181">
        <f>'Осн. фін. пок.'!F51/'Осн. фін. пок.'!F38</f>
        <v>2.0839779005524861E-2</v>
      </c>
      <c r="G11" s="181">
        <f>'Осн. фін. пок.'!E51/'Осн. фін. пок.'!E38</f>
        <v>1.8856237131147858E-2</v>
      </c>
      <c r="H11" s="87" t="s">
        <v>339</v>
      </c>
    </row>
    <row r="12" spans="1:8" ht="20.100000000000001" customHeight="1">
      <c r="A12" s="77" t="s">
        <v>205</v>
      </c>
      <c r="B12" s="7"/>
      <c r="C12" s="80"/>
      <c r="D12" s="88"/>
      <c r="E12" s="152"/>
      <c r="F12" s="88"/>
      <c r="G12" s="88"/>
      <c r="H12" s="87"/>
    </row>
    <row r="13" spans="1:8" ht="63.95" customHeight="1">
      <c r="A13" s="78" t="s">
        <v>308</v>
      </c>
      <c r="B13" s="7">
        <v>5100</v>
      </c>
      <c r="C13" s="79"/>
      <c r="D13" s="181">
        <f>('Осн. фін. пок.'!C78+'Осн. фін. пок.'!C79)/'Осн. фін. пок.'!C45</f>
        <v>-34.398523985239855</v>
      </c>
      <c r="E13" s="253">
        <v>12.6</v>
      </c>
      <c r="F13" s="181">
        <f>('Осн. фін. пок.'!F78+'Осн. фін. пок.'!F79)/'Осн. фін. пок.'!F45</f>
        <v>-88.793296089385478</v>
      </c>
      <c r="G13" s="181">
        <f>('Осн. фін. пок.'!E78+'Осн. фін. пок.'!E79)/'Осн. фін. пок.'!E45</f>
        <v>47.593654068123485</v>
      </c>
      <c r="H13" s="87"/>
    </row>
    <row r="14" spans="1:8" s="63" customFormat="1" ht="75">
      <c r="A14" s="78" t="s">
        <v>309</v>
      </c>
      <c r="B14" s="7">
        <v>5110</v>
      </c>
      <c r="C14" s="79" t="s">
        <v>190</v>
      </c>
      <c r="D14" s="181">
        <f>'Осн. фін. пок.'!C83/('Осн. фін. пок.'!C78+'Осн. фін. пок.'!C79)</f>
        <v>1.6278695558892942E-2</v>
      </c>
      <c r="E14" s="253">
        <v>0.16</v>
      </c>
      <c r="F14" s="181">
        <f>'Осн. фін. пок.'!F83/('Осн. фін. пок.'!F78+'Осн. фін. пок.'!F79)</f>
        <v>7.5374355102554427E-2</v>
      </c>
      <c r="G14" s="181">
        <f>'Осн. фін. пок.'!E83/('Осн. фін. пок.'!E78+'Осн. фін. пок.'!E79)</f>
        <v>6.284487186560625E-2</v>
      </c>
      <c r="H14" s="87" t="s">
        <v>340</v>
      </c>
    </row>
    <row r="15" spans="1:8" s="63" customFormat="1" ht="112.5">
      <c r="A15" s="78" t="s">
        <v>310</v>
      </c>
      <c r="B15" s="7">
        <v>5120</v>
      </c>
      <c r="C15" s="79" t="s">
        <v>190</v>
      </c>
      <c r="D15" s="181">
        <f>'Осн. фін. пок.'!C75/'Осн. фін. пок.'!C79</f>
        <v>7.4152542372881353E-2</v>
      </c>
      <c r="E15" s="253">
        <v>0.23</v>
      </c>
      <c r="F15" s="181">
        <f>'Осн. фін. пок.'!F75/'Осн. фін. пок.'!F79</f>
        <v>0.4172803141875307</v>
      </c>
      <c r="G15" s="181">
        <f>'Осн. фін. пок.'!E75/'Осн. фін. пок.'!E79</f>
        <v>0.45142403904291251</v>
      </c>
      <c r="H15" s="87" t="s">
        <v>342</v>
      </c>
    </row>
    <row r="16" spans="1:8" ht="20.100000000000001" customHeight="1">
      <c r="A16" s="77" t="s">
        <v>204</v>
      </c>
      <c r="B16" s="7"/>
      <c r="C16" s="79"/>
      <c r="D16" s="88"/>
      <c r="E16" s="152"/>
      <c r="F16" s="88"/>
      <c r="G16" s="88"/>
      <c r="H16" s="87"/>
    </row>
    <row r="17" spans="1:10" ht="56.25">
      <c r="A17" s="78" t="s">
        <v>311</v>
      </c>
      <c r="B17" s="7">
        <v>5200</v>
      </c>
      <c r="C17" s="79"/>
      <c r="D17" s="181">
        <f>'Осн. фін. пок.'!C68/'I. Фін результат'!C102</f>
        <v>39.973880597014926</v>
      </c>
      <c r="E17" s="253">
        <v>0.21</v>
      </c>
      <c r="F17" s="181">
        <f>'Осн. фін. пок.'!F68/'I. Фін результат'!E102</f>
        <v>26.88294314381271</v>
      </c>
      <c r="G17" s="181">
        <f>'Осн. фін. пок.'!E68/'I. Фін результат'!I102</f>
        <v>0</v>
      </c>
      <c r="H17" s="87"/>
    </row>
    <row r="18" spans="1:10" ht="75">
      <c r="A18" s="78" t="s">
        <v>312</v>
      </c>
      <c r="B18" s="7">
        <v>5210</v>
      </c>
      <c r="C18" s="79"/>
      <c r="D18" s="181">
        <f>'Осн. фін. пок.'!C68/'Осн. фін. пок.'!C38</f>
        <v>5.7411575562700961</v>
      </c>
      <c r="E18" s="253">
        <v>4.9000000000000002E-2</v>
      </c>
      <c r="F18" s="181">
        <f>'Осн. фін. пок.'!F68/'Осн. фін. пок.'!F38</f>
        <v>4.4408839779005529</v>
      </c>
      <c r="G18" s="181">
        <f>'Осн. фін. пок.'!E68/'Осн. фін. пок.'!E38</f>
        <v>0</v>
      </c>
      <c r="H18" s="87"/>
    </row>
    <row r="19" spans="1:10" ht="63.95" customHeight="1">
      <c r="A19" s="78" t="s">
        <v>351</v>
      </c>
      <c r="B19" s="7">
        <v>5220</v>
      </c>
      <c r="C19" s="79" t="s">
        <v>337</v>
      </c>
      <c r="D19" s="253">
        <f>2471.2/5594.4</f>
        <v>0.44172744172744172</v>
      </c>
      <c r="E19" s="253">
        <v>0.43</v>
      </c>
      <c r="F19" s="253">
        <f>(2471.2+'I. Фін результат'!E102)/(5594.4+'IV. Кап. інвестиції'!E6)</f>
        <v>0.20320706552037793</v>
      </c>
      <c r="G19" s="253">
        <f>(2471.2+'I. Фін результат'!E102+'I. Фін результат'!I102)/((5594.4+'IV. Кап. інвестиції'!E6)+'IV. Кап. інвестиції'!I6)</f>
        <v>0.22469997946069656</v>
      </c>
      <c r="H19" s="87" t="s">
        <v>341</v>
      </c>
    </row>
    <row r="20" spans="1:10" ht="20.100000000000001" customHeight="1">
      <c r="A20" s="62" t="s">
        <v>290</v>
      </c>
      <c r="B20" s="7"/>
      <c r="C20" s="79"/>
      <c r="D20" s="88"/>
      <c r="E20" s="152"/>
      <c r="F20" s="88"/>
      <c r="G20" s="88"/>
      <c r="H20" s="87"/>
    </row>
    <row r="21" spans="1:10" ht="112.5">
      <c r="A21" s="89" t="s">
        <v>352</v>
      </c>
      <c r="B21" s="7">
        <v>5300</v>
      </c>
      <c r="C21" s="79"/>
      <c r="D21" s="152"/>
      <c r="E21" s="152"/>
      <c r="F21" s="152"/>
      <c r="G21" s="152"/>
      <c r="H21" s="153"/>
    </row>
    <row r="22" spans="1:10" ht="20.100000000000001" customHeight="1">
      <c r="A22" s="154"/>
      <c r="B22" s="154"/>
      <c r="C22" s="154"/>
      <c r="D22" s="154"/>
      <c r="E22" s="154"/>
      <c r="F22" s="154"/>
      <c r="G22" s="154"/>
      <c r="H22" s="154"/>
    </row>
    <row r="23" spans="1:10" ht="20.100000000000001" customHeight="1">
      <c r="A23" s="154"/>
      <c r="B23" s="154"/>
      <c r="C23" s="154"/>
      <c r="D23" s="154"/>
      <c r="E23" s="154"/>
      <c r="F23" s="154"/>
      <c r="G23" s="154"/>
      <c r="H23" s="154"/>
    </row>
    <row r="24" spans="1:10" ht="20.100000000000001" customHeight="1">
      <c r="A24" s="154"/>
      <c r="B24" s="154"/>
      <c r="C24" s="154"/>
      <c r="D24" s="154"/>
      <c r="E24" s="154"/>
      <c r="F24" s="154"/>
      <c r="G24" s="154"/>
      <c r="H24" s="154"/>
    </row>
    <row r="25" spans="1:10" s="185" customFormat="1" ht="24.75" customHeight="1">
      <c r="A25" s="183" t="s">
        <v>437</v>
      </c>
      <c r="B25" s="183"/>
      <c r="C25" s="184"/>
      <c r="D25" s="374" t="s">
        <v>119</v>
      </c>
      <c r="E25" s="375"/>
      <c r="F25" s="375"/>
      <c r="G25" s="375"/>
      <c r="H25" s="179" t="s">
        <v>402</v>
      </c>
    </row>
    <row r="26" spans="1:10" s="1" customFormat="1" ht="20.100000000000001" customHeight="1">
      <c r="A26" s="109" t="s">
        <v>417</v>
      </c>
      <c r="B26" s="155"/>
      <c r="C26" s="108"/>
      <c r="D26" s="344" t="s">
        <v>84</v>
      </c>
      <c r="E26" s="344"/>
      <c r="F26" s="344"/>
      <c r="G26" s="344"/>
      <c r="H26" s="139" t="s">
        <v>269</v>
      </c>
      <c r="I26" s="60"/>
      <c r="J26" s="60"/>
    </row>
    <row r="27" spans="1:10">
      <c r="A27" s="154"/>
      <c r="B27" s="154"/>
      <c r="C27" s="154"/>
      <c r="D27" s="154"/>
      <c r="E27" s="154"/>
      <c r="F27" s="154"/>
      <c r="G27" s="154"/>
      <c r="H27" s="154"/>
    </row>
    <row r="28" spans="1:10">
      <c r="A28" s="154"/>
      <c r="B28" s="154"/>
      <c r="C28" s="154"/>
      <c r="D28" s="154"/>
      <c r="E28" s="154"/>
      <c r="F28" s="154"/>
      <c r="G28" s="154"/>
      <c r="H28" s="154"/>
    </row>
    <row r="29" spans="1:10">
      <c r="A29" s="154"/>
      <c r="B29" s="154"/>
      <c r="C29" s="154"/>
      <c r="D29" s="154"/>
      <c r="E29" s="154"/>
      <c r="F29" s="154"/>
      <c r="G29" s="154"/>
      <c r="H29" s="154"/>
    </row>
    <row r="30" spans="1:10">
      <c r="A30" s="154"/>
      <c r="B30" s="154"/>
      <c r="C30" s="154"/>
      <c r="D30" s="154"/>
      <c r="E30" s="154"/>
      <c r="F30" s="154"/>
      <c r="G30" s="154"/>
      <c r="H30" s="154"/>
    </row>
    <row r="31" spans="1:10">
      <c r="A31" s="154"/>
      <c r="B31" s="154"/>
      <c r="C31" s="154"/>
      <c r="D31" s="154"/>
      <c r="E31" s="154"/>
      <c r="F31" s="154"/>
      <c r="G31" s="154"/>
      <c r="H31" s="154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5" showPageBreaks="1" printArea="1" view="pageBreakPreview">
      <pane ySplit="5" topLeftCell="A6" activePane="bottomLeft" state="frozen"/>
      <selection pane="bottomLeft" activeCell="B7" sqref="B7"/>
      <pageMargins left="0.78740157480314965" right="0.39370078740157483" top="0.59055118110236227" bottom="0.59055118110236227" header="0.27559055118110237" footer="0.31496062992125984"/>
      <pageSetup paperSize="9" scale="50" orientation="portrait" r:id="rId1"/>
      <headerFooter alignWithMargins="0"/>
    </customSheetView>
    <customSheetView guid="{43DCEB14-ADF8-4168-9283-6542A71D3CF7}" scale="75" showPageBreaks="1" printArea="1" view="pageBreakPreview">
      <pane ySplit="5" topLeftCell="A6" activePane="bottomLeft" state="frozen"/>
      <selection pane="bottomLeft" activeCell="B7" sqref="B7"/>
      <pageMargins left="0.78740157480314965" right="0.39370078740157483" top="0.59055118110236227" bottom="0.59055118110236227" header="0.27559055118110237" footer="0.31496062992125984"/>
      <pageSetup paperSize="9" scale="50" orientation="portrait" r:id="rId2"/>
      <headerFooter alignWithMargins="0"/>
    </customSheetView>
  </customSheetViews>
  <mergeCells count="11">
    <mergeCell ref="A1:H1"/>
    <mergeCell ref="H3:H4"/>
    <mergeCell ref="D25:G25"/>
    <mergeCell ref="D26:G26"/>
    <mergeCell ref="A3:A4"/>
    <mergeCell ref="B3:B4"/>
    <mergeCell ref="C3:C4"/>
    <mergeCell ref="D3:D4"/>
    <mergeCell ref="E3:E4"/>
    <mergeCell ref="F3:F4"/>
    <mergeCell ref="G3:G4"/>
  </mergeCells>
  <phoneticPr fontId="3" type="noConversion"/>
  <pageMargins left="0.78740157480314965" right="0.39370078740157483" top="0.59055118110236227" bottom="0.59055118110236227" header="0.27559055118110237" footer="0.31496062992125984"/>
  <pageSetup paperSize="9" scale="45" orientation="portrait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95"/>
  <sheetViews>
    <sheetView view="pageBreakPreview" zoomScale="60" zoomScaleNormal="60" workbookViewId="0">
      <selection activeCell="A18" sqref="A18:K18"/>
    </sheetView>
  </sheetViews>
  <sheetFormatPr defaultColWidth="9.140625" defaultRowHeight="18.75"/>
  <cols>
    <col min="1" max="1" width="44.85546875" style="1" customWidth="1"/>
    <col min="2" max="2" width="13.5703125" style="20" customWidth="1"/>
    <col min="3" max="3" width="12.7109375" style="1" customWidth="1"/>
    <col min="4" max="4" width="16.140625" style="1" customWidth="1"/>
    <col min="5" max="5" width="15.42578125" style="1" customWidth="1"/>
    <col min="6" max="6" width="16.5703125" style="1" customWidth="1"/>
    <col min="7" max="7" width="15.28515625" style="1" customWidth="1"/>
    <col min="8" max="8" width="16.5703125" style="1" customWidth="1"/>
    <col min="9" max="9" width="16.140625" style="1" customWidth="1"/>
    <col min="10" max="10" width="16.42578125" style="1" customWidth="1"/>
    <col min="11" max="11" width="16.5703125" style="1" customWidth="1"/>
    <col min="12" max="12" width="16.85546875" style="1" customWidth="1"/>
    <col min="13" max="15" width="16.7109375" style="1" customWidth="1"/>
    <col min="16" max="16" width="48.5703125" style="1" customWidth="1"/>
    <col min="17" max="16384" width="9.140625" style="1"/>
  </cols>
  <sheetData>
    <row r="1" spans="1:15">
      <c r="A1" s="426" t="s">
        <v>136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</row>
    <row r="2" spans="1:15">
      <c r="A2" s="427" t="s">
        <v>531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</row>
    <row r="3" spans="1:15" ht="22.5">
      <c r="A3" s="428" t="s">
        <v>397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</row>
    <row r="4" spans="1:15" ht="20.100000000000001" customHeight="1">
      <c r="A4" s="430" t="s">
        <v>146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</row>
    <row r="5" spans="1:15" ht="21.95" customHeight="1">
      <c r="A5" s="425" t="s">
        <v>98</v>
      </c>
      <c r="B5" s="425"/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</row>
    <row r="6" spans="1:15" ht="10.5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ht="43.5" customHeight="1">
      <c r="A7" s="431" t="s">
        <v>415</v>
      </c>
      <c r="B7" s="431"/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1"/>
    </row>
    <row r="8" spans="1:15" ht="10.5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</row>
    <row r="9" spans="1:15" s="2" customFormat="1" ht="40.5" customHeight="1">
      <c r="A9" s="314" t="s">
        <v>272</v>
      </c>
      <c r="B9" s="314"/>
      <c r="C9" s="314"/>
      <c r="D9" s="315" t="s">
        <v>148</v>
      </c>
      <c r="E9" s="315"/>
      <c r="F9" s="315" t="s">
        <v>31</v>
      </c>
      <c r="G9" s="315"/>
      <c r="H9" s="315" t="s">
        <v>70</v>
      </c>
      <c r="I9" s="315"/>
      <c r="J9" s="315" t="s">
        <v>149</v>
      </c>
      <c r="K9" s="315"/>
      <c r="L9" s="315" t="s">
        <v>293</v>
      </c>
      <c r="M9" s="315"/>
      <c r="N9" s="315" t="s">
        <v>294</v>
      </c>
      <c r="O9" s="315"/>
    </row>
    <row r="10" spans="1:15" s="2" customFormat="1" ht="18" customHeight="1">
      <c r="A10" s="314">
        <v>1</v>
      </c>
      <c r="B10" s="314"/>
      <c r="C10" s="314"/>
      <c r="D10" s="315">
        <v>2</v>
      </c>
      <c r="E10" s="315"/>
      <c r="F10" s="315">
        <v>3</v>
      </c>
      <c r="G10" s="315"/>
      <c r="H10" s="315">
        <v>4</v>
      </c>
      <c r="I10" s="315"/>
      <c r="J10" s="315">
        <v>5</v>
      </c>
      <c r="K10" s="315"/>
      <c r="L10" s="315">
        <v>6</v>
      </c>
      <c r="M10" s="315"/>
      <c r="N10" s="315">
        <v>7</v>
      </c>
      <c r="O10" s="315"/>
    </row>
    <row r="11" spans="1:15" s="2" customFormat="1" ht="20.100000000000001" customHeight="1">
      <c r="A11" s="420" t="s">
        <v>147</v>
      </c>
      <c r="B11" s="421"/>
      <c r="C11" s="421"/>
      <c r="D11" s="421"/>
      <c r="E11" s="421"/>
      <c r="F11" s="421"/>
      <c r="G11" s="421"/>
      <c r="H11" s="421"/>
      <c r="I11" s="421"/>
      <c r="J11" s="421"/>
      <c r="K11" s="422"/>
      <c r="L11" s="432"/>
      <c r="M11" s="433"/>
      <c r="N11" s="432"/>
      <c r="O11" s="433"/>
    </row>
    <row r="12" spans="1:15" s="2" customFormat="1" ht="20.100000000000001" customHeight="1">
      <c r="A12" s="418" t="s">
        <v>313</v>
      </c>
      <c r="B12" s="418"/>
      <c r="C12" s="418"/>
      <c r="D12" s="388">
        <v>5</v>
      </c>
      <c r="E12" s="389"/>
      <c r="F12" s="423">
        <v>5</v>
      </c>
      <c r="G12" s="424"/>
      <c r="H12" s="388">
        <v>5</v>
      </c>
      <c r="I12" s="389"/>
      <c r="J12" s="388">
        <v>5</v>
      </c>
      <c r="K12" s="389"/>
      <c r="L12" s="378">
        <f>J12/H12*100%</f>
        <v>1</v>
      </c>
      <c r="M12" s="379"/>
      <c r="N12" s="378">
        <f>J12/F12*100%</f>
        <v>1</v>
      </c>
      <c r="O12" s="379"/>
    </row>
    <row r="13" spans="1:15" s="2" customFormat="1" ht="20.100000000000001" customHeight="1">
      <c r="A13" s="418" t="s">
        <v>314</v>
      </c>
      <c r="B13" s="418"/>
      <c r="C13" s="418"/>
      <c r="D13" s="388">
        <v>11</v>
      </c>
      <c r="E13" s="389"/>
      <c r="F13" s="423">
        <v>11</v>
      </c>
      <c r="G13" s="424"/>
      <c r="H13" s="388">
        <v>16</v>
      </c>
      <c r="I13" s="389"/>
      <c r="J13" s="388">
        <v>14</v>
      </c>
      <c r="K13" s="389"/>
      <c r="L13" s="378">
        <f t="shared" ref="L13:L33" si="0">J13/H13*100%</f>
        <v>0.875</v>
      </c>
      <c r="M13" s="379"/>
      <c r="N13" s="378">
        <f t="shared" ref="N13:N33" si="1">J13/F13*100%</f>
        <v>1.2727272727272727</v>
      </c>
      <c r="O13" s="379"/>
    </row>
    <row r="14" spans="1:15" s="2" customFormat="1" ht="20.100000000000001" customHeight="1">
      <c r="A14" s="418" t="s">
        <v>315</v>
      </c>
      <c r="B14" s="418"/>
      <c r="C14" s="418"/>
      <c r="D14" s="388"/>
      <c r="E14" s="389"/>
      <c r="F14" s="423"/>
      <c r="G14" s="424"/>
      <c r="H14" s="388"/>
      <c r="I14" s="389"/>
      <c r="J14" s="388"/>
      <c r="K14" s="389"/>
      <c r="L14" s="378"/>
      <c r="M14" s="379"/>
      <c r="N14" s="378"/>
      <c r="O14" s="379"/>
    </row>
    <row r="15" spans="1:15" s="2" customFormat="1" ht="20.100000000000001" customHeight="1">
      <c r="A15" s="418" t="s">
        <v>316</v>
      </c>
      <c r="B15" s="418"/>
      <c r="C15" s="418"/>
      <c r="D15" s="388">
        <v>0</v>
      </c>
      <c r="E15" s="389"/>
      <c r="F15" s="423"/>
      <c r="G15" s="424"/>
      <c r="H15" s="388"/>
      <c r="I15" s="389"/>
      <c r="J15" s="388"/>
      <c r="K15" s="389"/>
      <c r="L15" s="378"/>
      <c r="M15" s="379"/>
      <c r="N15" s="378"/>
      <c r="O15" s="379"/>
    </row>
    <row r="16" spans="1:15" s="2" customFormat="1" ht="20.100000000000001" customHeight="1">
      <c r="A16" s="418" t="s">
        <v>317</v>
      </c>
      <c r="B16" s="418"/>
      <c r="C16" s="418"/>
      <c r="D16" s="388">
        <v>25</v>
      </c>
      <c r="E16" s="389"/>
      <c r="F16" s="423">
        <v>25</v>
      </c>
      <c r="G16" s="424"/>
      <c r="H16" s="388">
        <v>20</v>
      </c>
      <c r="I16" s="389"/>
      <c r="J16" s="388">
        <v>22</v>
      </c>
      <c r="K16" s="389"/>
      <c r="L16" s="378">
        <f t="shared" si="0"/>
        <v>1.1000000000000001</v>
      </c>
      <c r="M16" s="379"/>
      <c r="N16" s="378">
        <f t="shared" si="1"/>
        <v>0.88</v>
      </c>
      <c r="O16" s="379"/>
    </row>
    <row r="17" spans="1:16" s="2" customFormat="1" ht="20.100000000000001" customHeight="1">
      <c r="A17" s="418" t="s">
        <v>318</v>
      </c>
      <c r="B17" s="418"/>
      <c r="C17" s="418"/>
      <c r="D17" s="388"/>
      <c r="E17" s="389"/>
      <c r="F17" s="423"/>
      <c r="G17" s="424"/>
      <c r="H17" s="388"/>
      <c r="I17" s="389"/>
      <c r="J17" s="388"/>
      <c r="K17" s="389"/>
      <c r="L17" s="378"/>
      <c r="M17" s="379"/>
      <c r="N17" s="378"/>
      <c r="O17" s="379"/>
    </row>
    <row r="18" spans="1:16" s="2" customFormat="1" ht="20.100000000000001" customHeight="1">
      <c r="A18" s="420" t="s">
        <v>291</v>
      </c>
      <c r="B18" s="421"/>
      <c r="C18" s="421"/>
      <c r="D18" s="421"/>
      <c r="E18" s="421"/>
      <c r="F18" s="421"/>
      <c r="G18" s="421"/>
      <c r="H18" s="421"/>
      <c r="I18" s="421"/>
      <c r="J18" s="421"/>
      <c r="K18" s="422"/>
      <c r="L18" s="378"/>
      <c r="M18" s="379"/>
      <c r="N18" s="378"/>
      <c r="O18" s="379"/>
    </row>
    <row r="19" spans="1:16" s="2" customFormat="1" ht="20.100000000000001" customHeight="1">
      <c r="A19" s="380" t="s">
        <v>270</v>
      </c>
      <c r="B19" s="380"/>
      <c r="C19" s="380"/>
      <c r="D19" s="381">
        <v>208</v>
      </c>
      <c r="E19" s="383"/>
      <c r="F19" s="381">
        <v>208</v>
      </c>
      <c r="G19" s="383"/>
      <c r="H19" s="381">
        <v>251</v>
      </c>
      <c r="I19" s="382"/>
      <c r="J19" s="381">
        <f>штатка!V54/1000</f>
        <v>272.13299999999998</v>
      </c>
      <c r="K19" s="382"/>
      <c r="L19" s="378">
        <f t="shared" si="0"/>
        <v>1.0841952191235058</v>
      </c>
      <c r="M19" s="379"/>
      <c r="N19" s="378">
        <f t="shared" si="1"/>
        <v>1.3083317307692306</v>
      </c>
      <c r="O19" s="379"/>
    </row>
    <row r="20" spans="1:16" s="2" customFormat="1" ht="20.100000000000001" customHeight="1">
      <c r="A20" s="380" t="s">
        <v>295</v>
      </c>
      <c r="B20" s="380"/>
      <c r="C20" s="380"/>
      <c r="D20" s="381">
        <v>1958</v>
      </c>
      <c r="E20" s="383"/>
      <c r="F20" s="381">
        <v>1958</v>
      </c>
      <c r="G20" s="383"/>
      <c r="H20" s="381">
        <v>765</v>
      </c>
      <c r="I20" s="382"/>
      <c r="J20" s="381">
        <f>штатка!V55/1000</f>
        <v>1145.1656</v>
      </c>
      <c r="K20" s="382"/>
      <c r="L20" s="378">
        <f t="shared" si="0"/>
        <v>1.4969484967320261</v>
      </c>
      <c r="M20" s="379"/>
      <c r="N20" s="378">
        <f t="shared" si="1"/>
        <v>0.58486496424923395</v>
      </c>
      <c r="O20" s="379"/>
    </row>
    <row r="21" spans="1:16" s="2" customFormat="1" ht="20.100000000000001" customHeight="1">
      <c r="A21" s="380" t="s">
        <v>271</v>
      </c>
      <c r="B21" s="380"/>
      <c r="C21" s="380"/>
      <c r="D21" s="381">
        <v>1666</v>
      </c>
      <c r="E21" s="383"/>
      <c r="F21" s="381">
        <v>1666</v>
      </c>
      <c r="G21" s="383"/>
      <c r="H21" s="381">
        <v>3534</v>
      </c>
      <c r="I21" s="382"/>
      <c r="J21" s="381">
        <f>штатка!V56/1000</f>
        <v>3098.5455999999995</v>
      </c>
      <c r="K21" s="382"/>
      <c r="L21" s="378">
        <f t="shared" si="0"/>
        <v>0.87678143746462911</v>
      </c>
      <c r="M21" s="379"/>
      <c r="N21" s="378">
        <f t="shared" si="1"/>
        <v>1.8598713085234091</v>
      </c>
      <c r="O21" s="379"/>
    </row>
    <row r="22" spans="1:16" s="2" customFormat="1" ht="20.100000000000001" customHeight="1">
      <c r="A22" s="434" t="s">
        <v>292</v>
      </c>
      <c r="B22" s="435"/>
      <c r="C22" s="435"/>
      <c r="D22" s="435"/>
      <c r="E22" s="435"/>
      <c r="F22" s="435"/>
      <c r="G22" s="435"/>
      <c r="H22" s="435"/>
      <c r="I22" s="435"/>
      <c r="J22" s="435"/>
      <c r="K22" s="436"/>
      <c r="L22" s="378"/>
      <c r="M22" s="379"/>
      <c r="N22" s="378"/>
      <c r="O22" s="379"/>
    </row>
    <row r="23" spans="1:16" s="2" customFormat="1" ht="20.100000000000001" customHeight="1">
      <c r="A23" s="380" t="s">
        <v>270</v>
      </c>
      <c r="B23" s="380"/>
      <c r="C23" s="380"/>
      <c r="D23" s="381">
        <v>208</v>
      </c>
      <c r="E23" s="383"/>
      <c r="F23" s="381">
        <v>254</v>
      </c>
      <c r="G23" s="383"/>
      <c r="H23" s="381">
        <v>306</v>
      </c>
      <c r="I23" s="382"/>
      <c r="J23" s="381">
        <f>штатка!V59/1000</f>
        <v>332.00226000000004</v>
      </c>
      <c r="K23" s="382"/>
      <c r="L23" s="378">
        <f t="shared" si="0"/>
        <v>1.0849747058823531</v>
      </c>
      <c r="M23" s="379"/>
      <c r="N23" s="378">
        <f t="shared" si="1"/>
        <v>1.3070955118110237</v>
      </c>
      <c r="O23" s="379"/>
    </row>
    <row r="24" spans="1:16" s="2" customFormat="1" ht="20.100000000000001" customHeight="1">
      <c r="A24" s="380" t="s">
        <v>295</v>
      </c>
      <c r="B24" s="380"/>
      <c r="C24" s="380"/>
      <c r="D24" s="381">
        <v>1958</v>
      </c>
      <c r="E24" s="383"/>
      <c r="F24" s="381">
        <v>2383</v>
      </c>
      <c r="G24" s="383"/>
      <c r="H24" s="381">
        <v>913</v>
      </c>
      <c r="I24" s="382"/>
      <c r="J24" s="381">
        <f>штатка!V60/1000</f>
        <v>1374.9523025500002</v>
      </c>
      <c r="K24" s="382"/>
      <c r="L24" s="378">
        <f t="shared" si="0"/>
        <v>1.5059718538335161</v>
      </c>
      <c r="M24" s="379"/>
      <c r="N24" s="378">
        <f t="shared" si="1"/>
        <v>0.57698376103650872</v>
      </c>
      <c r="O24" s="379"/>
    </row>
    <row r="25" spans="1:16" s="2" customFormat="1" ht="20.100000000000001" customHeight="1">
      <c r="A25" s="380" t="s">
        <v>271</v>
      </c>
      <c r="B25" s="380"/>
      <c r="C25" s="380"/>
      <c r="D25" s="381">
        <v>1666</v>
      </c>
      <c r="E25" s="383"/>
      <c r="F25" s="381">
        <v>2029</v>
      </c>
      <c r="G25" s="383"/>
      <c r="H25" s="381">
        <v>4283</v>
      </c>
      <c r="I25" s="382"/>
      <c r="J25" s="381">
        <f>штатка!V61/1000</f>
        <v>3742.5385234999999</v>
      </c>
      <c r="K25" s="382"/>
      <c r="L25" s="378">
        <f t="shared" si="0"/>
        <v>0.87381240333878119</v>
      </c>
      <c r="M25" s="379"/>
      <c r="N25" s="378">
        <f t="shared" si="1"/>
        <v>1.8445236685559387</v>
      </c>
      <c r="O25" s="379"/>
    </row>
    <row r="26" spans="1:16" s="2" customFormat="1" ht="38.25" customHeight="1">
      <c r="A26" s="434" t="s">
        <v>319</v>
      </c>
      <c r="B26" s="435"/>
      <c r="C26" s="435"/>
      <c r="D26" s="435"/>
      <c r="E26" s="435"/>
      <c r="F26" s="435"/>
      <c r="G26" s="435"/>
      <c r="H26" s="435"/>
      <c r="I26" s="435"/>
      <c r="J26" s="435"/>
      <c r="K26" s="436"/>
      <c r="L26" s="378"/>
      <c r="M26" s="379"/>
      <c r="N26" s="378"/>
      <c r="O26" s="379"/>
    </row>
    <row r="27" spans="1:16" s="2" customFormat="1" ht="22.5">
      <c r="A27" s="380" t="s">
        <v>270</v>
      </c>
      <c r="B27" s="380"/>
      <c r="C27" s="380"/>
      <c r="D27" s="381">
        <v>17333</v>
      </c>
      <c r="E27" s="383"/>
      <c r="F27" s="381">
        <f t="shared" ref="F27" si="2">F19/12*1000</f>
        <v>17333.333333333332</v>
      </c>
      <c r="G27" s="383"/>
      <c r="H27" s="381">
        <v>15895</v>
      </c>
      <c r="I27" s="382"/>
      <c r="J27" s="381">
        <f>штатка!V64</f>
        <v>17325</v>
      </c>
      <c r="K27" s="382"/>
      <c r="L27" s="378">
        <f t="shared" si="0"/>
        <v>1.0899653979238755</v>
      </c>
      <c r="M27" s="379"/>
      <c r="N27" s="378">
        <f t="shared" si="1"/>
        <v>0.99951923076923088</v>
      </c>
      <c r="O27" s="379"/>
      <c r="P27" s="266"/>
    </row>
    <row r="28" spans="1:16" s="2" customFormat="1" ht="20.100000000000001" customHeight="1">
      <c r="A28" s="380" t="s">
        <v>295</v>
      </c>
      <c r="B28" s="380"/>
      <c r="C28" s="380"/>
      <c r="D28" s="381">
        <v>10878</v>
      </c>
      <c r="E28" s="383"/>
      <c r="F28" s="381">
        <v>10878</v>
      </c>
      <c r="G28" s="383"/>
      <c r="H28" s="381">
        <v>13908</v>
      </c>
      <c r="I28" s="382"/>
      <c r="J28" s="381">
        <f>штатка!V65</f>
        <v>9327.75</v>
      </c>
      <c r="K28" s="382"/>
      <c r="L28" s="378">
        <f t="shared" si="0"/>
        <v>0.67067515099223474</v>
      </c>
      <c r="M28" s="379"/>
      <c r="N28" s="378">
        <f t="shared" si="1"/>
        <v>0.8574875896304468</v>
      </c>
      <c r="O28" s="379"/>
    </row>
    <row r="29" spans="1:16" s="2" customFormat="1" ht="20.100000000000001" customHeight="1">
      <c r="A29" s="380" t="s">
        <v>271</v>
      </c>
      <c r="B29" s="380"/>
      <c r="C29" s="380"/>
      <c r="D29" s="381">
        <v>5553</v>
      </c>
      <c r="E29" s="383"/>
      <c r="F29" s="381">
        <v>5553</v>
      </c>
      <c r="G29" s="383"/>
      <c r="H29" s="381">
        <v>2433</v>
      </c>
      <c r="I29" s="382"/>
      <c r="J29" s="381">
        <f>штатка!V66</f>
        <v>2580.09375</v>
      </c>
      <c r="K29" s="382"/>
      <c r="L29" s="378">
        <f t="shared" si="0"/>
        <v>1.060457768187423</v>
      </c>
      <c r="M29" s="379"/>
      <c r="N29" s="378">
        <f t="shared" si="1"/>
        <v>0.46463060507833603</v>
      </c>
      <c r="O29" s="379"/>
    </row>
    <row r="30" spans="1:16" s="2" customFormat="1" ht="20.100000000000001" customHeight="1">
      <c r="A30" s="434" t="s">
        <v>320</v>
      </c>
      <c r="B30" s="435"/>
      <c r="C30" s="435"/>
      <c r="D30" s="435"/>
      <c r="E30" s="435"/>
      <c r="F30" s="435"/>
      <c r="G30" s="435"/>
      <c r="H30" s="435"/>
      <c r="I30" s="435"/>
      <c r="J30" s="435"/>
      <c r="K30" s="436"/>
      <c r="L30" s="378"/>
      <c r="M30" s="379"/>
      <c r="N30" s="378"/>
      <c r="O30" s="379"/>
    </row>
    <row r="31" spans="1:16" s="2" customFormat="1" ht="20.100000000000001" customHeight="1">
      <c r="A31" s="380" t="s">
        <v>270</v>
      </c>
      <c r="B31" s="380"/>
      <c r="C31" s="380"/>
      <c r="D31" s="381">
        <v>17333</v>
      </c>
      <c r="E31" s="383"/>
      <c r="F31" s="381">
        <f t="shared" ref="F31" si="3">F27</f>
        <v>17333.333333333332</v>
      </c>
      <c r="G31" s="383"/>
      <c r="H31" s="381">
        <v>20899</v>
      </c>
      <c r="I31" s="382"/>
      <c r="J31" s="381">
        <f>штатка!V69</f>
        <v>22677.75</v>
      </c>
      <c r="K31" s="382"/>
      <c r="L31" s="378">
        <f t="shared" si="0"/>
        <v>1.0851117278338676</v>
      </c>
      <c r="M31" s="379"/>
      <c r="N31" s="378">
        <f t="shared" si="1"/>
        <v>1.3083317307692308</v>
      </c>
      <c r="O31" s="379"/>
    </row>
    <row r="32" spans="1:16" s="2" customFormat="1" ht="20.100000000000001" customHeight="1">
      <c r="A32" s="380" t="s">
        <v>295</v>
      </c>
      <c r="B32" s="380"/>
      <c r="C32" s="380"/>
      <c r="D32" s="381">
        <v>10878</v>
      </c>
      <c r="E32" s="383"/>
      <c r="F32" s="381">
        <f t="shared" ref="F32" si="4">F28</f>
        <v>10878</v>
      </c>
      <c r="G32" s="383"/>
      <c r="H32" s="381">
        <v>15945</v>
      </c>
      <c r="I32" s="382"/>
      <c r="J32" s="381">
        <f>штатка!V70</f>
        <v>11928.808333333334</v>
      </c>
      <c r="K32" s="382"/>
      <c r="L32" s="378">
        <f t="shared" si="0"/>
        <v>0.74812219086442988</v>
      </c>
      <c r="M32" s="379"/>
      <c r="N32" s="378">
        <f t="shared" si="1"/>
        <v>1.0965994055279771</v>
      </c>
      <c r="O32" s="379"/>
    </row>
    <row r="33" spans="1:15" s="2" customFormat="1" ht="20.100000000000001" customHeight="1">
      <c r="A33" s="380" t="s">
        <v>271</v>
      </c>
      <c r="B33" s="380"/>
      <c r="C33" s="380"/>
      <c r="D33" s="381">
        <v>5553</v>
      </c>
      <c r="E33" s="383"/>
      <c r="F33" s="381">
        <f t="shared" ref="F33" si="5">F29</f>
        <v>5553</v>
      </c>
      <c r="G33" s="383"/>
      <c r="H33" s="381">
        <v>8181</v>
      </c>
      <c r="I33" s="382"/>
      <c r="J33" s="381">
        <f>штатка!V71</f>
        <v>8069.1291666666657</v>
      </c>
      <c r="K33" s="382"/>
      <c r="L33" s="378">
        <f t="shared" si="0"/>
        <v>0.9863255307012182</v>
      </c>
      <c r="M33" s="379"/>
      <c r="N33" s="378">
        <f t="shared" si="1"/>
        <v>1.4531116813734315</v>
      </c>
      <c r="O33" s="379"/>
    </row>
    <row r="34" spans="1:15" ht="10.5" customHeight="1">
      <c r="A34" s="23"/>
      <c r="B34" s="23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ht="20.100000000000001" customHeight="1">
      <c r="A35" s="419" t="s">
        <v>321</v>
      </c>
      <c r="B35" s="419"/>
      <c r="C35" s="419"/>
      <c r="D35" s="419"/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419"/>
    </row>
    <row r="36" spans="1:15" ht="15" customHeight="1">
      <c r="A36" s="24"/>
      <c r="B36" s="24"/>
      <c r="C36" s="24"/>
      <c r="D36" s="24"/>
      <c r="E36" s="24"/>
      <c r="F36" s="24"/>
      <c r="G36" s="24"/>
      <c r="H36" s="24"/>
      <c r="I36" s="24"/>
    </row>
    <row r="37" spans="1:15" ht="21.95" customHeight="1">
      <c r="A37" s="401" t="s">
        <v>322</v>
      </c>
      <c r="B37" s="401"/>
      <c r="C37" s="401"/>
      <c r="D37" s="401"/>
      <c r="E37" s="401"/>
      <c r="F37" s="401"/>
      <c r="G37" s="401"/>
      <c r="H37" s="401"/>
      <c r="I37" s="401"/>
      <c r="J37" s="401"/>
      <c r="K37" s="401"/>
      <c r="L37" s="401"/>
      <c r="M37" s="401"/>
      <c r="N37" s="401"/>
      <c r="O37" s="401"/>
    </row>
    <row r="38" spans="1:15" ht="10.5" customHeight="1"/>
    <row r="39" spans="1:15" ht="60" customHeight="1">
      <c r="A39" s="38" t="s">
        <v>150</v>
      </c>
      <c r="B39" s="407" t="s">
        <v>323</v>
      </c>
      <c r="C39" s="408"/>
      <c r="D39" s="408"/>
      <c r="E39" s="408"/>
      <c r="F39" s="350" t="s">
        <v>92</v>
      </c>
      <c r="G39" s="350"/>
      <c r="H39" s="350"/>
      <c r="I39" s="350"/>
      <c r="J39" s="350"/>
      <c r="K39" s="350"/>
      <c r="L39" s="350"/>
      <c r="M39" s="350"/>
      <c r="N39" s="350"/>
      <c r="O39" s="350"/>
    </row>
    <row r="40" spans="1:15" ht="18" customHeight="1">
      <c r="A40" s="38">
        <v>1</v>
      </c>
      <c r="B40" s="407">
        <v>2</v>
      </c>
      <c r="C40" s="408"/>
      <c r="D40" s="408"/>
      <c r="E40" s="408"/>
      <c r="F40" s="350">
        <v>3</v>
      </c>
      <c r="G40" s="350"/>
      <c r="H40" s="350"/>
      <c r="I40" s="350"/>
      <c r="J40" s="350"/>
      <c r="K40" s="350"/>
      <c r="L40" s="350"/>
      <c r="M40" s="350"/>
      <c r="N40" s="350"/>
      <c r="O40" s="350"/>
    </row>
    <row r="41" spans="1:15" ht="20.100000000000001" customHeight="1">
      <c r="A41" s="156"/>
      <c r="B41" s="411"/>
      <c r="C41" s="412"/>
      <c r="D41" s="412"/>
      <c r="E41" s="412"/>
      <c r="F41" s="417"/>
      <c r="G41" s="417"/>
      <c r="H41" s="417"/>
      <c r="I41" s="417"/>
      <c r="J41" s="417"/>
      <c r="K41" s="417"/>
      <c r="L41" s="417"/>
      <c r="M41" s="417"/>
      <c r="N41" s="417"/>
      <c r="O41" s="417"/>
    </row>
    <row r="42" spans="1:15" ht="20.100000000000001" customHeight="1">
      <c r="A42" s="156"/>
      <c r="B42" s="411"/>
      <c r="C42" s="412"/>
      <c r="D42" s="412"/>
      <c r="E42" s="412"/>
      <c r="F42" s="417"/>
      <c r="G42" s="417"/>
      <c r="H42" s="417"/>
      <c r="I42" s="417"/>
      <c r="J42" s="417"/>
      <c r="K42" s="417"/>
      <c r="L42" s="417"/>
      <c r="M42" s="417"/>
      <c r="N42" s="417"/>
      <c r="O42" s="417"/>
    </row>
    <row r="43" spans="1:15" ht="20.100000000000001" customHeight="1">
      <c r="A43" s="156"/>
      <c r="B43" s="411"/>
      <c r="C43" s="412"/>
      <c r="D43" s="412"/>
      <c r="E43" s="412"/>
      <c r="F43" s="417"/>
      <c r="G43" s="417"/>
      <c r="H43" s="417"/>
      <c r="I43" s="417"/>
      <c r="J43" s="417"/>
      <c r="K43" s="417"/>
      <c r="L43" s="417"/>
      <c r="M43" s="417"/>
      <c r="N43" s="417"/>
      <c r="O43" s="417"/>
    </row>
    <row r="44" spans="1:15" ht="20.100000000000001" customHeight="1">
      <c r="A44" s="156"/>
      <c r="B44" s="411"/>
      <c r="C44" s="412"/>
      <c r="D44" s="412"/>
      <c r="E44" s="412"/>
      <c r="F44" s="417"/>
      <c r="G44" s="417"/>
      <c r="H44" s="417"/>
      <c r="I44" s="417"/>
      <c r="J44" s="417"/>
      <c r="K44" s="417"/>
      <c r="L44" s="417"/>
      <c r="M44" s="417"/>
      <c r="N44" s="417"/>
      <c r="O44" s="417"/>
    </row>
    <row r="45" spans="1:15" ht="20.100000000000001" customHeight="1">
      <c r="A45" s="156"/>
      <c r="B45" s="411"/>
      <c r="C45" s="412"/>
      <c r="D45" s="412"/>
      <c r="E45" s="412"/>
      <c r="F45" s="417"/>
      <c r="G45" s="417"/>
      <c r="H45" s="417"/>
      <c r="I45" s="417"/>
      <c r="J45" s="417"/>
      <c r="K45" s="417"/>
      <c r="L45" s="417"/>
      <c r="M45" s="417"/>
      <c r="N45" s="417"/>
      <c r="O45" s="417"/>
    </row>
    <row r="46" spans="1:15" ht="20.100000000000001" customHeight="1">
      <c r="A46" s="156"/>
      <c r="B46" s="411"/>
      <c r="C46" s="412"/>
      <c r="D46" s="412"/>
      <c r="E46" s="412"/>
      <c r="F46" s="417"/>
      <c r="G46" s="417"/>
      <c r="H46" s="417"/>
      <c r="I46" s="417"/>
      <c r="J46" s="417"/>
      <c r="K46" s="417"/>
      <c r="L46" s="417"/>
      <c r="M46" s="417"/>
      <c r="N46" s="417"/>
      <c r="O46" s="417"/>
    </row>
    <row r="47" spans="1:15" ht="20.100000000000001" customHeight="1">
      <c r="A47" s="156"/>
      <c r="B47" s="411"/>
      <c r="C47" s="412"/>
      <c r="D47" s="412"/>
      <c r="E47" s="412"/>
      <c r="F47" s="417"/>
      <c r="G47" s="417"/>
      <c r="H47" s="417"/>
      <c r="I47" s="417"/>
      <c r="J47" s="417"/>
      <c r="K47" s="417"/>
      <c r="L47" s="417"/>
      <c r="M47" s="417"/>
      <c r="N47" s="417"/>
      <c r="O47" s="417"/>
    </row>
    <row r="48" spans="1:15" ht="20.100000000000001" customHeight="1">
      <c r="A48" s="156"/>
      <c r="B48" s="411"/>
      <c r="C48" s="412"/>
      <c r="D48" s="412"/>
      <c r="E48" s="412"/>
      <c r="F48" s="411"/>
      <c r="G48" s="412"/>
      <c r="H48" s="412"/>
      <c r="I48" s="412"/>
      <c r="J48" s="412"/>
      <c r="K48" s="412"/>
      <c r="L48" s="412"/>
      <c r="M48" s="412"/>
      <c r="N48" s="412"/>
      <c r="O48" s="413"/>
    </row>
    <row r="49" spans="1:15" ht="20.100000000000001" customHeight="1">
      <c r="A49" s="156"/>
      <c r="B49" s="411"/>
      <c r="C49" s="412"/>
      <c r="D49" s="412"/>
      <c r="E49" s="413"/>
      <c r="F49" s="411"/>
      <c r="G49" s="412"/>
      <c r="H49" s="412"/>
      <c r="I49" s="412"/>
      <c r="J49" s="412"/>
      <c r="K49" s="412"/>
      <c r="L49" s="412"/>
      <c r="M49" s="412"/>
      <c r="N49" s="412"/>
      <c r="O49" s="413"/>
    </row>
    <row r="50" spans="1:15" ht="20.100000000000001" customHeight="1">
      <c r="A50" s="70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</row>
    <row r="51" spans="1:15" ht="21.95" customHeight="1">
      <c r="A51" s="410" t="s">
        <v>253</v>
      </c>
      <c r="B51" s="410"/>
      <c r="C51" s="410"/>
      <c r="D51" s="410"/>
      <c r="E51" s="410"/>
      <c r="F51" s="410"/>
      <c r="G51" s="410"/>
      <c r="H51" s="410"/>
      <c r="I51" s="410"/>
      <c r="J51" s="410"/>
    </row>
    <row r="52" spans="1:15" ht="20.100000000000001" customHeight="1">
      <c r="A52" s="19"/>
    </row>
    <row r="53" spans="1:15" ht="63.95" customHeight="1">
      <c r="A53" s="346" t="s">
        <v>272</v>
      </c>
      <c r="B53" s="346" t="s">
        <v>324</v>
      </c>
      <c r="C53" s="346"/>
      <c r="D53" s="400" t="s">
        <v>532</v>
      </c>
      <c r="E53" s="400"/>
      <c r="F53" s="400"/>
      <c r="G53" s="400" t="s">
        <v>535</v>
      </c>
      <c r="H53" s="400"/>
      <c r="I53" s="400"/>
      <c r="J53" s="414" t="s">
        <v>534</v>
      </c>
      <c r="K53" s="415"/>
      <c r="L53" s="416"/>
      <c r="M53" s="400" t="s">
        <v>533</v>
      </c>
      <c r="N53" s="400"/>
      <c r="O53" s="400"/>
    </row>
    <row r="54" spans="1:15" ht="168.75">
      <c r="A54" s="346"/>
      <c r="B54" s="7" t="s">
        <v>78</v>
      </c>
      <c r="C54" s="7" t="s">
        <v>79</v>
      </c>
      <c r="D54" s="7" t="s">
        <v>325</v>
      </c>
      <c r="E54" s="7" t="s">
        <v>326</v>
      </c>
      <c r="F54" s="7" t="s">
        <v>327</v>
      </c>
      <c r="G54" s="7" t="s">
        <v>325</v>
      </c>
      <c r="H54" s="7" t="s">
        <v>326</v>
      </c>
      <c r="I54" s="7" t="s">
        <v>327</v>
      </c>
      <c r="J54" s="7" t="s">
        <v>325</v>
      </c>
      <c r="K54" s="7" t="s">
        <v>326</v>
      </c>
      <c r="L54" s="7" t="s">
        <v>327</v>
      </c>
      <c r="M54" s="7" t="s">
        <v>325</v>
      </c>
      <c r="N54" s="7" t="s">
        <v>326</v>
      </c>
      <c r="O54" s="7" t="s">
        <v>327</v>
      </c>
    </row>
    <row r="55" spans="1:15" ht="18" customHeight="1">
      <c r="A55" s="7">
        <v>1</v>
      </c>
      <c r="B55" s="7">
        <v>2</v>
      </c>
      <c r="C55" s="7">
        <v>3</v>
      </c>
      <c r="D55" s="7">
        <v>4</v>
      </c>
      <c r="E55" s="7">
        <v>5</v>
      </c>
      <c r="F55" s="7">
        <v>6</v>
      </c>
      <c r="G55" s="7">
        <v>7</v>
      </c>
      <c r="H55" s="6">
        <v>8</v>
      </c>
      <c r="I55" s="6">
        <v>9</v>
      </c>
      <c r="J55" s="6">
        <v>10</v>
      </c>
      <c r="K55" s="6">
        <v>11</v>
      </c>
      <c r="L55" s="6">
        <v>12</v>
      </c>
      <c r="M55" s="6">
        <v>13</v>
      </c>
      <c r="N55" s="6">
        <v>14</v>
      </c>
      <c r="O55" s="6">
        <v>15</v>
      </c>
    </row>
    <row r="56" spans="1:15" ht="36.75" customHeight="1">
      <c r="A56" s="157" t="s">
        <v>416</v>
      </c>
      <c r="B56" s="107">
        <v>100</v>
      </c>
      <c r="C56" s="107">
        <v>100</v>
      </c>
      <c r="D56" s="255">
        <v>1866</v>
      </c>
      <c r="E56" s="255">
        <v>156</v>
      </c>
      <c r="F56" s="224">
        <f>D56/E56*1000</f>
        <v>11961.538461538461</v>
      </c>
      <c r="G56" s="255">
        <v>1835</v>
      </c>
      <c r="H56" s="255">
        <v>135</v>
      </c>
      <c r="I56" s="224">
        <v>13593</v>
      </c>
      <c r="J56" s="255">
        <v>1810</v>
      </c>
      <c r="K56" s="255">
        <v>156</v>
      </c>
      <c r="L56" s="224">
        <f>J56/K56*1000</f>
        <v>11602.564102564102</v>
      </c>
      <c r="M56" s="255">
        <v>1830</v>
      </c>
      <c r="N56" s="255">
        <v>135</v>
      </c>
      <c r="O56" s="224">
        <f>M56/N56*1000</f>
        <v>13555.555555555555</v>
      </c>
    </row>
    <row r="57" spans="1:15" ht="20.100000000000001" customHeight="1">
      <c r="A57" s="158" t="s">
        <v>60</v>
      </c>
      <c r="B57" s="76">
        <v>100</v>
      </c>
      <c r="C57" s="76">
        <v>100</v>
      </c>
      <c r="D57" s="255">
        <v>1866</v>
      </c>
      <c r="E57" s="107"/>
      <c r="F57" s="142"/>
      <c r="G57" s="255">
        <v>1835</v>
      </c>
      <c r="H57" s="142"/>
      <c r="I57" s="142"/>
      <c r="J57" s="255">
        <v>1810</v>
      </c>
      <c r="K57" s="142"/>
      <c r="L57" s="142"/>
      <c r="M57" s="256">
        <f>SUM(M56:M56)</f>
        <v>1830</v>
      </c>
      <c r="N57" s="142"/>
      <c r="O57" s="142"/>
    </row>
    <row r="58" spans="1:15" ht="20.100000000000001" customHeight="1">
      <c r="A58" s="21"/>
      <c r="B58" s="22"/>
      <c r="C58" s="22"/>
      <c r="D58" s="22"/>
      <c r="E58" s="22"/>
      <c r="F58" s="12"/>
      <c r="G58" s="12"/>
      <c r="H58" s="12"/>
      <c r="I58" s="5"/>
      <c r="J58" s="5"/>
      <c r="K58" s="5"/>
      <c r="L58" s="5"/>
      <c r="M58" s="5"/>
      <c r="N58" s="5"/>
      <c r="O58" s="5"/>
    </row>
    <row r="59" spans="1:15" ht="21.95" customHeight="1">
      <c r="A59" s="401" t="s">
        <v>80</v>
      </c>
      <c r="B59" s="401"/>
      <c r="C59" s="401"/>
      <c r="D59" s="401"/>
      <c r="E59" s="401"/>
      <c r="F59" s="401"/>
      <c r="G59" s="401"/>
      <c r="H59" s="401"/>
      <c r="I59" s="401"/>
      <c r="J59" s="401"/>
      <c r="K59" s="401"/>
      <c r="L59" s="401"/>
      <c r="M59" s="401"/>
      <c r="N59" s="401"/>
      <c r="O59" s="401"/>
    </row>
    <row r="60" spans="1:15" ht="20.100000000000001" customHeight="1">
      <c r="A60" s="19"/>
    </row>
    <row r="61" spans="1:15" ht="63.95" customHeight="1">
      <c r="A61" s="7" t="s">
        <v>140</v>
      </c>
      <c r="B61" s="346" t="s">
        <v>77</v>
      </c>
      <c r="C61" s="346"/>
      <c r="D61" s="346" t="s">
        <v>72</v>
      </c>
      <c r="E61" s="346"/>
      <c r="F61" s="346" t="s">
        <v>73</v>
      </c>
      <c r="G61" s="346"/>
      <c r="H61" s="346" t="s">
        <v>328</v>
      </c>
      <c r="I61" s="346"/>
      <c r="J61" s="346"/>
      <c r="K61" s="404" t="s">
        <v>93</v>
      </c>
      <c r="L61" s="406"/>
      <c r="M61" s="404" t="s">
        <v>37</v>
      </c>
      <c r="N61" s="405"/>
      <c r="O61" s="406"/>
    </row>
    <row r="62" spans="1:15" ht="18" customHeight="1">
      <c r="A62" s="6">
        <v>1</v>
      </c>
      <c r="B62" s="350">
        <v>2</v>
      </c>
      <c r="C62" s="350"/>
      <c r="D62" s="350">
        <v>3</v>
      </c>
      <c r="E62" s="350"/>
      <c r="F62" s="403">
        <v>4</v>
      </c>
      <c r="G62" s="403"/>
      <c r="H62" s="350">
        <v>5</v>
      </c>
      <c r="I62" s="350"/>
      <c r="J62" s="350"/>
      <c r="K62" s="350">
        <v>6</v>
      </c>
      <c r="L62" s="350"/>
      <c r="M62" s="407">
        <v>7</v>
      </c>
      <c r="N62" s="408"/>
      <c r="O62" s="409"/>
    </row>
    <row r="63" spans="1:15" ht="20.100000000000001" customHeight="1">
      <c r="A63" s="157"/>
      <c r="B63" s="397"/>
      <c r="C63" s="397"/>
      <c r="D63" s="397"/>
      <c r="E63" s="397"/>
      <c r="F63" s="397"/>
      <c r="G63" s="397"/>
      <c r="H63" s="397"/>
      <c r="I63" s="397"/>
      <c r="J63" s="397"/>
      <c r="K63" s="393"/>
      <c r="L63" s="395"/>
      <c r="M63" s="397"/>
      <c r="N63" s="397"/>
      <c r="O63" s="397"/>
    </row>
    <row r="64" spans="1:15" ht="20.100000000000001" customHeight="1">
      <c r="A64" s="157"/>
      <c r="B64" s="393"/>
      <c r="C64" s="395"/>
      <c r="D64" s="393"/>
      <c r="E64" s="395"/>
      <c r="F64" s="393"/>
      <c r="G64" s="395"/>
      <c r="H64" s="393"/>
      <c r="I64" s="394"/>
      <c r="J64" s="395"/>
      <c r="K64" s="393"/>
      <c r="L64" s="395"/>
      <c r="M64" s="393"/>
      <c r="N64" s="394"/>
      <c r="O64" s="395"/>
    </row>
    <row r="65" spans="1:15" ht="20.100000000000001" customHeight="1">
      <c r="A65" s="157"/>
      <c r="B65" s="397"/>
      <c r="C65" s="397"/>
      <c r="D65" s="397"/>
      <c r="E65" s="397"/>
      <c r="F65" s="397"/>
      <c r="G65" s="397"/>
      <c r="H65" s="397"/>
      <c r="I65" s="397"/>
      <c r="J65" s="397"/>
      <c r="K65" s="393"/>
      <c r="L65" s="395"/>
      <c r="M65" s="397"/>
      <c r="N65" s="397"/>
      <c r="O65" s="397"/>
    </row>
    <row r="66" spans="1:15" ht="20.100000000000001" customHeight="1">
      <c r="A66" s="158" t="s">
        <v>60</v>
      </c>
      <c r="B66" s="402" t="s">
        <v>38</v>
      </c>
      <c r="C66" s="402"/>
      <c r="D66" s="402" t="s">
        <v>38</v>
      </c>
      <c r="E66" s="402"/>
      <c r="F66" s="402" t="s">
        <v>38</v>
      </c>
      <c r="G66" s="402"/>
      <c r="H66" s="397"/>
      <c r="I66" s="397"/>
      <c r="J66" s="397"/>
      <c r="K66" s="398">
        <f>SUM(K63:L65)</f>
        <v>0</v>
      </c>
      <c r="L66" s="399"/>
      <c r="M66" s="397"/>
      <c r="N66" s="397"/>
      <c r="O66" s="397"/>
    </row>
    <row r="67" spans="1:15" ht="20.100000000000001" customHeight="1">
      <c r="A67" s="12"/>
      <c r="B67" s="25"/>
      <c r="C67" s="25"/>
      <c r="D67" s="25"/>
      <c r="E67" s="25"/>
      <c r="F67" s="25"/>
      <c r="G67" s="25"/>
      <c r="H67" s="25"/>
      <c r="I67" s="25"/>
      <c r="J67" s="25"/>
      <c r="K67" s="2"/>
      <c r="L67" s="2"/>
      <c r="M67" s="2"/>
      <c r="N67" s="2"/>
      <c r="O67" s="2"/>
    </row>
    <row r="68" spans="1:15" ht="21.95" customHeight="1">
      <c r="A68" s="401" t="s">
        <v>81</v>
      </c>
      <c r="B68" s="401"/>
      <c r="C68" s="401"/>
      <c r="D68" s="401"/>
      <c r="E68" s="401"/>
      <c r="F68" s="401"/>
      <c r="G68" s="401"/>
      <c r="H68" s="401"/>
      <c r="I68" s="401"/>
      <c r="J68" s="401"/>
      <c r="K68" s="401"/>
      <c r="L68" s="401"/>
      <c r="M68" s="401"/>
      <c r="N68" s="401"/>
      <c r="O68" s="401"/>
    </row>
    <row r="69" spans="1:15" ht="20.100000000000001" customHeight="1">
      <c r="A69" s="5"/>
      <c r="B69" s="17"/>
      <c r="C69" s="5"/>
      <c r="D69" s="5"/>
      <c r="E69" s="5"/>
      <c r="F69" s="5"/>
      <c r="G69" s="5"/>
      <c r="H69" s="5"/>
      <c r="I69" s="16"/>
    </row>
    <row r="70" spans="1:15" ht="63.95" customHeight="1">
      <c r="A70" s="400" t="s">
        <v>71</v>
      </c>
      <c r="B70" s="400"/>
      <c r="C70" s="400"/>
      <c r="D70" s="400" t="s">
        <v>94</v>
      </c>
      <c r="E70" s="400"/>
      <c r="F70" s="400"/>
      <c r="G70" s="400" t="s">
        <v>353</v>
      </c>
      <c r="H70" s="400"/>
      <c r="I70" s="400"/>
      <c r="J70" s="400" t="s">
        <v>347</v>
      </c>
      <c r="K70" s="400"/>
      <c r="L70" s="400"/>
      <c r="M70" s="400" t="s">
        <v>95</v>
      </c>
      <c r="N70" s="400"/>
      <c r="O70" s="400"/>
    </row>
    <row r="71" spans="1:15" ht="18" customHeight="1">
      <c r="A71" s="400">
        <v>1</v>
      </c>
      <c r="B71" s="400"/>
      <c r="C71" s="400"/>
      <c r="D71" s="400">
        <v>2</v>
      </c>
      <c r="E71" s="400"/>
      <c r="F71" s="400"/>
      <c r="G71" s="400">
        <v>3</v>
      </c>
      <c r="H71" s="400"/>
      <c r="I71" s="400"/>
      <c r="J71" s="396">
        <v>4</v>
      </c>
      <c r="K71" s="396"/>
      <c r="L71" s="396"/>
      <c r="M71" s="396">
        <v>5</v>
      </c>
      <c r="N71" s="396"/>
      <c r="O71" s="396"/>
    </row>
    <row r="72" spans="1:15" ht="20.100000000000001" customHeight="1">
      <c r="A72" s="387" t="s">
        <v>329</v>
      </c>
      <c r="B72" s="387"/>
      <c r="C72" s="387"/>
      <c r="D72" s="386"/>
      <c r="E72" s="386"/>
      <c r="F72" s="386"/>
      <c r="G72" s="386"/>
      <c r="H72" s="386"/>
      <c r="I72" s="386"/>
      <c r="J72" s="386"/>
      <c r="K72" s="386"/>
      <c r="L72" s="386"/>
      <c r="M72" s="386"/>
      <c r="N72" s="386"/>
      <c r="O72" s="386"/>
    </row>
    <row r="73" spans="1:15" ht="20.100000000000001" customHeight="1">
      <c r="A73" s="387" t="s">
        <v>116</v>
      </c>
      <c r="B73" s="387"/>
      <c r="C73" s="387"/>
      <c r="D73" s="386"/>
      <c r="E73" s="386"/>
      <c r="F73" s="386"/>
      <c r="G73" s="386"/>
      <c r="H73" s="386"/>
      <c r="I73" s="386"/>
      <c r="J73" s="386"/>
      <c r="K73" s="386"/>
      <c r="L73" s="386"/>
      <c r="M73" s="386"/>
      <c r="N73" s="386"/>
      <c r="O73" s="386"/>
    </row>
    <row r="74" spans="1:15" ht="20.100000000000001" customHeight="1">
      <c r="A74" s="387"/>
      <c r="B74" s="387"/>
      <c r="C74" s="387"/>
      <c r="D74" s="390"/>
      <c r="E74" s="391"/>
      <c r="F74" s="392"/>
      <c r="G74" s="390"/>
      <c r="H74" s="391"/>
      <c r="I74" s="392"/>
      <c r="J74" s="390"/>
      <c r="K74" s="391"/>
      <c r="L74" s="392"/>
      <c r="M74" s="390"/>
      <c r="N74" s="391"/>
      <c r="O74" s="392"/>
    </row>
    <row r="75" spans="1:15" ht="20.100000000000001" customHeight="1">
      <c r="A75" s="387" t="s">
        <v>330</v>
      </c>
      <c r="B75" s="387"/>
      <c r="C75" s="387"/>
      <c r="D75" s="386"/>
      <c r="E75" s="386"/>
      <c r="F75" s="386"/>
      <c r="G75" s="386"/>
      <c r="H75" s="386"/>
      <c r="I75" s="386"/>
      <c r="J75" s="386"/>
      <c r="K75" s="386"/>
      <c r="L75" s="386"/>
      <c r="M75" s="386"/>
      <c r="N75" s="386"/>
      <c r="O75" s="386"/>
    </row>
    <row r="76" spans="1:15" ht="20.100000000000001" customHeight="1">
      <c r="A76" s="387" t="s">
        <v>117</v>
      </c>
      <c r="B76" s="387"/>
      <c r="C76" s="387"/>
      <c r="D76" s="386"/>
      <c r="E76" s="386"/>
      <c r="F76" s="386"/>
      <c r="G76" s="386"/>
      <c r="H76" s="386"/>
      <c r="I76" s="386"/>
      <c r="J76" s="386"/>
      <c r="K76" s="386"/>
      <c r="L76" s="386"/>
      <c r="M76" s="386"/>
      <c r="N76" s="386"/>
      <c r="O76" s="386"/>
    </row>
    <row r="77" spans="1:15" ht="20.100000000000001" customHeight="1">
      <c r="A77" s="387"/>
      <c r="B77" s="387"/>
      <c r="C77" s="387"/>
      <c r="D77" s="390"/>
      <c r="E77" s="391"/>
      <c r="F77" s="392"/>
      <c r="G77" s="390"/>
      <c r="H77" s="391"/>
      <c r="I77" s="392"/>
      <c r="J77" s="390"/>
      <c r="K77" s="391"/>
      <c r="L77" s="392"/>
      <c r="M77" s="390"/>
      <c r="N77" s="391"/>
      <c r="O77" s="392"/>
    </row>
    <row r="78" spans="1:15" ht="20.100000000000001" customHeight="1">
      <c r="A78" s="387" t="s">
        <v>331</v>
      </c>
      <c r="B78" s="387"/>
      <c r="C78" s="387"/>
      <c r="D78" s="386"/>
      <c r="E78" s="386"/>
      <c r="F78" s="386"/>
      <c r="G78" s="386"/>
      <c r="H78" s="386"/>
      <c r="I78" s="386"/>
      <c r="J78" s="386"/>
      <c r="K78" s="386"/>
      <c r="L78" s="386"/>
      <c r="M78" s="386"/>
      <c r="N78" s="386"/>
      <c r="O78" s="386"/>
    </row>
    <row r="79" spans="1:15" ht="20.100000000000001" customHeight="1">
      <c r="A79" s="387" t="s">
        <v>116</v>
      </c>
      <c r="B79" s="387"/>
      <c r="C79" s="387"/>
      <c r="D79" s="386"/>
      <c r="E79" s="386"/>
      <c r="F79" s="386"/>
      <c r="G79" s="386"/>
      <c r="H79" s="386"/>
      <c r="I79" s="386"/>
      <c r="J79" s="386"/>
      <c r="K79" s="386"/>
      <c r="L79" s="386"/>
      <c r="M79" s="386"/>
      <c r="N79" s="386"/>
      <c r="O79" s="386"/>
    </row>
    <row r="80" spans="1:15" ht="20.100000000000001" customHeight="1">
      <c r="A80" s="340"/>
      <c r="B80" s="327"/>
      <c r="C80" s="384"/>
      <c r="D80" s="386"/>
      <c r="E80" s="386"/>
      <c r="F80" s="386"/>
      <c r="G80" s="386"/>
      <c r="H80" s="386"/>
      <c r="I80" s="386"/>
      <c r="J80" s="386"/>
      <c r="K80" s="386"/>
      <c r="L80" s="386"/>
      <c r="M80" s="386"/>
      <c r="N80" s="386"/>
      <c r="O80" s="386"/>
    </row>
    <row r="81" spans="1:15" ht="20.100000000000001" customHeight="1">
      <c r="A81" s="340" t="s">
        <v>60</v>
      </c>
      <c r="B81" s="327"/>
      <c r="C81" s="384"/>
      <c r="D81" s="385"/>
      <c r="E81" s="385"/>
      <c r="F81" s="385"/>
      <c r="G81" s="385"/>
      <c r="H81" s="385"/>
      <c r="I81" s="385"/>
      <c r="J81" s="386"/>
      <c r="K81" s="386"/>
      <c r="L81" s="386"/>
      <c r="M81" s="386"/>
      <c r="N81" s="386"/>
      <c r="O81" s="386"/>
    </row>
    <row r="82" spans="1:15">
      <c r="C82" s="30"/>
      <c r="D82" s="30"/>
      <c r="E82" s="30"/>
    </row>
    <row r="83" spans="1:15">
      <c r="C83" s="30"/>
      <c r="D83" s="30"/>
      <c r="E83" s="30"/>
    </row>
    <row r="84" spans="1:15">
      <c r="C84" s="30"/>
      <c r="D84" s="30"/>
      <c r="E84" s="30"/>
    </row>
    <row r="85" spans="1:15">
      <c r="C85" s="30"/>
      <c r="D85" s="30"/>
      <c r="E85" s="30"/>
    </row>
    <row r="86" spans="1:15">
      <c r="C86" s="30"/>
      <c r="D86" s="30"/>
      <c r="E86" s="30"/>
    </row>
    <row r="87" spans="1:15">
      <c r="C87" s="30"/>
      <c r="D87" s="30"/>
      <c r="E87" s="30"/>
    </row>
    <row r="88" spans="1:15">
      <c r="C88" s="30"/>
      <c r="D88" s="30"/>
      <c r="E88" s="30"/>
    </row>
    <row r="89" spans="1:15">
      <c r="C89" s="30"/>
      <c r="D89" s="30"/>
      <c r="E89" s="30"/>
    </row>
    <row r="90" spans="1:15">
      <c r="C90" s="30"/>
      <c r="D90" s="30"/>
      <c r="E90" s="30"/>
    </row>
    <row r="91" spans="1:15">
      <c r="C91" s="30"/>
      <c r="D91" s="30"/>
      <c r="E91" s="30"/>
    </row>
    <row r="92" spans="1:15">
      <c r="C92" s="30"/>
      <c r="D92" s="30"/>
      <c r="E92" s="30"/>
    </row>
    <row r="93" spans="1:15">
      <c r="C93" s="30"/>
      <c r="D93" s="30"/>
      <c r="E93" s="30"/>
    </row>
    <row r="94" spans="1:15">
      <c r="C94" s="30"/>
      <c r="D94" s="30"/>
      <c r="E94" s="30"/>
    </row>
    <row r="95" spans="1:15">
      <c r="C95" s="30"/>
      <c r="D95" s="30"/>
      <c r="E95" s="30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60" showPageBreaks="1" printArea="1" view="pageBreakPreview">
      <selection activeCell="J19" sqref="J19:K21"/>
      <rowBreaks count="1" manualBreakCount="1">
        <brk id="49" max="14" man="1"/>
      </rowBreaks>
      <pageMargins left="1.1811023622047245" right="0.39370078740157483" top="0.78740157480314965" bottom="0.78740157480314965" header="0.27559055118110237" footer="0.15748031496062992"/>
      <pageSetup paperSize="9" scale="47" orientation="landscape" horizontalDpi="1200" verticalDpi="1200" r:id="rId1"/>
      <headerFooter alignWithMargins="0"/>
    </customSheetView>
    <customSheetView guid="{43DCEB14-ADF8-4168-9283-6542A71D3CF7}" scale="60" showPageBreaks="1" printArea="1" view="pageBreakPreview" topLeftCell="A37">
      <selection activeCell="J53" sqref="J53:L53"/>
      <rowBreaks count="1" manualBreakCount="1">
        <brk id="49" max="14" man="1"/>
      </rowBreaks>
      <pageMargins left="1.1811023622047245" right="0.39370078740157483" top="0.78740157480314965" bottom="0.78740157480314965" header="0.27559055118110237" footer="0.15748031496062992"/>
      <pageSetup paperSize="9" scale="47" orientation="landscape" horizontalDpi="1200" verticalDpi="1200" r:id="rId2"/>
      <headerFooter alignWithMargins="0"/>
    </customSheetView>
  </customSheetViews>
  <mergeCells count="290">
    <mergeCell ref="F25:G25"/>
    <mergeCell ref="F19:G19"/>
    <mergeCell ref="F20:G20"/>
    <mergeCell ref="F21:G21"/>
    <mergeCell ref="A22:K22"/>
    <mergeCell ref="A26:K26"/>
    <mergeCell ref="A30:K30"/>
    <mergeCell ref="D12:E12"/>
    <mergeCell ref="D13:E13"/>
    <mergeCell ref="D14:E14"/>
    <mergeCell ref="D15:E15"/>
    <mergeCell ref="D16:E16"/>
    <mergeCell ref="D17:E17"/>
    <mergeCell ref="A12:C12"/>
    <mergeCell ref="D19:E19"/>
    <mergeCell ref="D20:E20"/>
    <mergeCell ref="D21:E21"/>
    <mergeCell ref="D23:E23"/>
    <mergeCell ref="D24:E24"/>
    <mergeCell ref="D25:E25"/>
    <mergeCell ref="D27:E27"/>
    <mergeCell ref="D28:E28"/>
    <mergeCell ref="D29:E29"/>
    <mergeCell ref="F27:G27"/>
    <mergeCell ref="F28:G28"/>
    <mergeCell ref="F29:G29"/>
    <mergeCell ref="F23:G23"/>
    <mergeCell ref="F24:G24"/>
    <mergeCell ref="N12:O12"/>
    <mergeCell ref="H10:I10"/>
    <mergeCell ref="J14:K14"/>
    <mergeCell ref="H14:I14"/>
    <mergeCell ref="A13:C13"/>
    <mergeCell ref="N14:O14"/>
    <mergeCell ref="N13:O13"/>
    <mergeCell ref="A14:C14"/>
    <mergeCell ref="H13:I13"/>
    <mergeCell ref="L13:M13"/>
    <mergeCell ref="J13:K13"/>
    <mergeCell ref="F12:G12"/>
    <mergeCell ref="F13:G13"/>
    <mergeCell ref="F14:G14"/>
    <mergeCell ref="A11:K11"/>
    <mergeCell ref="L14:M14"/>
    <mergeCell ref="L16:M16"/>
    <mergeCell ref="N16:O16"/>
    <mergeCell ref="N15:O15"/>
    <mergeCell ref="A15:C15"/>
    <mergeCell ref="A5:O5"/>
    <mergeCell ref="H12:I12"/>
    <mergeCell ref="J12:K12"/>
    <mergeCell ref="A1:O1"/>
    <mergeCell ref="A2:O2"/>
    <mergeCell ref="A3:O3"/>
    <mergeCell ref="D9:E9"/>
    <mergeCell ref="F9:G9"/>
    <mergeCell ref="A9:C9"/>
    <mergeCell ref="A4:O4"/>
    <mergeCell ref="A7:O7"/>
    <mergeCell ref="J9:K9"/>
    <mergeCell ref="H9:I9"/>
    <mergeCell ref="A10:C10"/>
    <mergeCell ref="N10:O10"/>
    <mergeCell ref="N11:O11"/>
    <mergeCell ref="L11:M11"/>
    <mergeCell ref="J10:K10"/>
    <mergeCell ref="D10:E10"/>
    <mergeCell ref="F10:G10"/>
    <mergeCell ref="L9:M9"/>
    <mergeCell ref="N9:O9"/>
    <mergeCell ref="L10:M10"/>
    <mergeCell ref="L12:M12"/>
    <mergeCell ref="H16:I16"/>
    <mergeCell ref="H15:I15"/>
    <mergeCell ref="A16:C16"/>
    <mergeCell ref="J16:K16"/>
    <mergeCell ref="J17:K17"/>
    <mergeCell ref="F15:G15"/>
    <mergeCell ref="F16:G16"/>
    <mergeCell ref="F17:G17"/>
    <mergeCell ref="L15:M15"/>
    <mergeCell ref="J15:K15"/>
    <mergeCell ref="B40:E40"/>
    <mergeCell ref="F39:O39"/>
    <mergeCell ref="B39:E39"/>
    <mergeCell ref="A37:O37"/>
    <mergeCell ref="A35:O35"/>
    <mergeCell ref="N18:O18"/>
    <mergeCell ref="L23:M23"/>
    <mergeCell ref="L22:M22"/>
    <mergeCell ref="H23:I23"/>
    <mergeCell ref="J23:K23"/>
    <mergeCell ref="N23:O23"/>
    <mergeCell ref="A24:C24"/>
    <mergeCell ref="H24:I24"/>
    <mergeCell ref="J24:K24"/>
    <mergeCell ref="L24:M24"/>
    <mergeCell ref="N24:O24"/>
    <mergeCell ref="H28:I28"/>
    <mergeCell ref="J28:K28"/>
    <mergeCell ref="L28:M28"/>
    <mergeCell ref="N28:O28"/>
    <mergeCell ref="A27:C27"/>
    <mergeCell ref="A31:C31"/>
    <mergeCell ref="J31:K31"/>
    <mergeCell ref="A18:K18"/>
    <mergeCell ref="F43:O43"/>
    <mergeCell ref="F44:O44"/>
    <mergeCell ref="B42:E42"/>
    <mergeCell ref="A17:C17"/>
    <mergeCell ref="L17:M17"/>
    <mergeCell ref="N17:O17"/>
    <mergeCell ref="B41:E41"/>
    <mergeCell ref="F41:O41"/>
    <mergeCell ref="B44:E44"/>
    <mergeCell ref="N22:O22"/>
    <mergeCell ref="A21:C21"/>
    <mergeCell ref="H21:I21"/>
    <mergeCell ref="J21:K21"/>
    <mergeCell ref="L21:M21"/>
    <mergeCell ref="N21:O21"/>
    <mergeCell ref="L25:M25"/>
    <mergeCell ref="N25:O25"/>
    <mergeCell ref="L26:M26"/>
    <mergeCell ref="B43:E43"/>
    <mergeCell ref="N29:O29"/>
    <mergeCell ref="A29:C29"/>
    <mergeCell ref="H29:I29"/>
    <mergeCell ref="H31:I31"/>
    <mergeCell ref="F40:O40"/>
    <mergeCell ref="F45:O45"/>
    <mergeCell ref="B45:E45"/>
    <mergeCell ref="B46:E46"/>
    <mergeCell ref="F46:O46"/>
    <mergeCell ref="F47:O47"/>
    <mergeCell ref="B47:E47"/>
    <mergeCell ref="L19:M19"/>
    <mergeCell ref="N19:O19"/>
    <mergeCell ref="A20:C20"/>
    <mergeCell ref="H20:I20"/>
    <mergeCell ref="J20:K20"/>
    <mergeCell ref="L20:M20"/>
    <mergeCell ref="N20:O20"/>
    <mergeCell ref="A19:C19"/>
    <mergeCell ref="H25:I25"/>
    <mergeCell ref="J25:K25"/>
    <mergeCell ref="L27:M27"/>
    <mergeCell ref="H27:I27"/>
    <mergeCell ref="J27:K27"/>
    <mergeCell ref="N27:O27"/>
    <mergeCell ref="A28:C28"/>
    <mergeCell ref="J29:K29"/>
    <mergeCell ref="L29:M29"/>
    <mergeCell ref="F42:O42"/>
    <mergeCell ref="A51:J51"/>
    <mergeCell ref="B53:C53"/>
    <mergeCell ref="D53:F53"/>
    <mergeCell ref="F48:O48"/>
    <mergeCell ref="F49:O49"/>
    <mergeCell ref="G53:I53"/>
    <mergeCell ref="J53:L53"/>
    <mergeCell ref="M53:O53"/>
    <mergeCell ref="A53:A54"/>
    <mergeCell ref="B48:E48"/>
    <mergeCell ref="B49:E49"/>
    <mergeCell ref="M61:O61"/>
    <mergeCell ref="K62:L62"/>
    <mergeCell ref="M62:O62"/>
    <mergeCell ref="A59:O59"/>
    <mergeCell ref="B61:C61"/>
    <mergeCell ref="D61:E61"/>
    <mergeCell ref="F61:G61"/>
    <mergeCell ref="H61:J61"/>
    <mergeCell ref="K61:L61"/>
    <mergeCell ref="M63:O63"/>
    <mergeCell ref="B62:C62"/>
    <mergeCell ref="F62:G62"/>
    <mergeCell ref="H62:J62"/>
    <mergeCell ref="B63:C63"/>
    <mergeCell ref="H63:J63"/>
    <mergeCell ref="K63:L63"/>
    <mergeCell ref="D62:E62"/>
    <mergeCell ref="D63:E63"/>
    <mergeCell ref="F63:G63"/>
    <mergeCell ref="B66:C66"/>
    <mergeCell ref="D66:E66"/>
    <mergeCell ref="F66:G66"/>
    <mergeCell ref="H64:J64"/>
    <mergeCell ref="B65:C65"/>
    <mergeCell ref="B64:C64"/>
    <mergeCell ref="D64:E64"/>
    <mergeCell ref="F64:G64"/>
    <mergeCell ref="D65:E65"/>
    <mergeCell ref="F65:G65"/>
    <mergeCell ref="H66:J66"/>
    <mergeCell ref="D71:F71"/>
    <mergeCell ref="A68:O68"/>
    <mergeCell ref="A70:C70"/>
    <mergeCell ref="D70:F70"/>
    <mergeCell ref="G70:I70"/>
    <mergeCell ref="J70:L70"/>
    <mergeCell ref="M71:O71"/>
    <mergeCell ref="A71:C71"/>
    <mergeCell ref="J72:L72"/>
    <mergeCell ref="G71:I71"/>
    <mergeCell ref="M75:O75"/>
    <mergeCell ref="J75:L75"/>
    <mergeCell ref="J73:L73"/>
    <mergeCell ref="M73:O73"/>
    <mergeCell ref="M74:O74"/>
    <mergeCell ref="G75:I75"/>
    <mergeCell ref="M64:O64"/>
    <mergeCell ref="M72:O72"/>
    <mergeCell ref="J71:L71"/>
    <mergeCell ref="K65:L65"/>
    <mergeCell ref="M65:O65"/>
    <mergeCell ref="K66:L66"/>
    <mergeCell ref="M66:O66"/>
    <mergeCell ref="M70:O70"/>
    <mergeCell ref="K64:L64"/>
    <mergeCell ref="H65:J65"/>
    <mergeCell ref="J74:L74"/>
    <mergeCell ref="A78:C78"/>
    <mergeCell ref="D78:F78"/>
    <mergeCell ref="G78:I78"/>
    <mergeCell ref="G77:I77"/>
    <mergeCell ref="A72:C72"/>
    <mergeCell ref="D72:F72"/>
    <mergeCell ref="G72:I72"/>
    <mergeCell ref="A73:C73"/>
    <mergeCell ref="D73:F73"/>
    <mergeCell ref="G73:I73"/>
    <mergeCell ref="A74:C74"/>
    <mergeCell ref="A77:C77"/>
    <mergeCell ref="D77:F77"/>
    <mergeCell ref="D74:F74"/>
    <mergeCell ref="G74:I74"/>
    <mergeCell ref="A76:C76"/>
    <mergeCell ref="D76:F76"/>
    <mergeCell ref="G76:I76"/>
    <mergeCell ref="M78:O78"/>
    <mergeCell ref="J76:L76"/>
    <mergeCell ref="M76:O76"/>
    <mergeCell ref="M77:O77"/>
    <mergeCell ref="M80:O80"/>
    <mergeCell ref="J79:L79"/>
    <mergeCell ref="J78:L78"/>
    <mergeCell ref="J80:L80"/>
    <mergeCell ref="J77:L77"/>
    <mergeCell ref="A81:C81"/>
    <mergeCell ref="D81:F81"/>
    <mergeCell ref="G81:I81"/>
    <mergeCell ref="J81:L81"/>
    <mergeCell ref="M81:O81"/>
    <mergeCell ref="M79:O79"/>
    <mergeCell ref="A79:C79"/>
    <mergeCell ref="H17:I17"/>
    <mergeCell ref="A80:C80"/>
    <mergeCell ref="D80:F80"/>
    <mergeCell ref="G80:I80"/>
    <mergeCell ref="D75:F75"/>
    <mergeCell ref="G79:I79"/>
    <mergeCell ref="A75:C75"/>
    <mergeCell ref="D79:F79"/>
    <mergeCell ref="L18:M18"/>
    <mergeCell ref="H19:I19"/>
    <mergeCell ref="J19:K19"/>
    <mergeCell ref="A23:C23"/>
    <mergeCell ref="N26:O26"/>
    <mergeCell ref="A25:C25"/>
    <mergeCell ref="L31:M31"/>
    <mergeCell ref="L30:M30"/>
    <mergeCell ref="N30:O30"/>
    <mergeCell ref="N31:O31"/>
    <mergeCell ref="N33:O33"/>
    <mergeCell ref="A33:C33"/>
    <mergeCell ref="H33:I33"/>
    <mergeCell ref="J33:K33"/>
    <mergeCell ref="L33:M33"/>
    <mergeCell ref="J32:K32"/>
    <mergeCell ref="L32:M32"/>
    <mergeCell ref="N32:O32"/>
    <mergeCell ref="A32:C32"/>
    <mergeCell ref="H32:I32"/>
    <mergeCell ref="D31:E31"/>
    <mergeCell ref="D32:E32"/>
    <mergeCell ref="D33:E33"/>
    <mergeCell ref="F31:G31"/>
    <mergeCell ref="F32:G32"/>
    <mergeCell ref="F33:G33"/>
  </mergeCells>
  <phoneticPr fontId="3" type="noConversion"/>
  <pageMargins left="1.1811023622047245" right="0.39370078740157483" top="0.78740157480314965" bottom="0.78740157480314965" header="0.27559055118110237" footer="0.15748031496062992"/>
  <pageSetup paperSize="9" scale="47" orientation="landscape" verticalDpi="1200" r:id="rId3"/>
  <headerFooter alignWithMargins="0"/>
  <rowBreaks count="1" manualBreakCount="1">
    <brk id="49" max="14" man="1"/>
  </rowBreaks>
  <ignoredErrors>
    <ignoredError sqref="E57:F57 H57:I57 K57:M5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7030A0"/>
  </sheetPr>
  <dimension ref="A3:AD71"/>
  <sheetViews>
    <sheetView topLeftCell="M22" workbookViewId="0">
      <selection activeCell="V72" sqref="V72"/>
    </sheetView>
  </sheetViews>
  <sheetFormatPr defaultRowHeight="12.75"/>
  <cols>
    <col min="1" max="1" width="4" customWidth="1"/>
    <col min="2" max="2" width="21.28515625" customWidth="1"/>
    <col min="5" max="20" width="9.140625" customWidth="1"/>
    <col min="21" max="21" width="17.42578125" customWidth="1"/>
    <col min="22" max="22" width="12.42578125" customWidth="1"/>
    <col min="23" max="23" width="11.85546875" customWidth="1"/>
    <col min="24" max="24" width="12.5703125" customWidth="1"/>
    <col min="25" max="25" width="12.28515625" customWidth="1"/>
  </cols>
  <sheetData>
    <row r="3" spans="1:30" ht="22.5">
      <c r="A3" s="439"/>
      <c r="B3" s="439"/>
      <c r="C3" s="439"/>
      <c r="D3" s="439"/>
      <c r="E3" s="439"/>
      <c r="F3" s="439"/>
      <c r="G3" s="439"/>
      <c r="H3" s="439"/>
      <c r="I3" s="439"/>
      <c r="J3" s="439"/>
      <c r="K3" s="268" t="s">
        <v>476</v>
      </c>
      <c r="L3" s="269"/>
      <c r="M3" s="269"/>
      <c r="N3" s="269"/>
      <c r="O3" s="270"/>
      <c r="P3" s="270"/>
      <c r="Q3" s="270"/>
      <c r="R3" s="270"/>
      <c r="S3" s="271"/>
      <c r="T3" s="272"/>
    </row>
    <row r="4" spans="1:30" ht="15.75">
      <c r="A4" s="439" t="s">
        <v>477</v>
      </c>
      <c r="B4" s="439"/>
      <c r="C4" s="439"/>
      <c r="D4" s="439"/>
      <c r="E4" s="439"/>
      <c r="F4" s="439"/>
      <c r="G4" s="439"/>
      <c r="H4" s="439"/>
      <c r="I4" s="439"/>
      <c r="J4" s="439"/>
      <c r="K4" s="273" t="s">
        <v>478</v>
      </c>
      <c r="L4" s="273"/>
      <c r="M4" s="273"/>
      <c r="N4" s="273"/>
      <c r="O4" s="273"/>
      <c r="P4" s="273"/>
      <c r="Q4" s="273"/>
      <c r="R4" s="273"/>
      <c r="S4" s="274"/>
      <c r="T4" s="275"/>
    </row>
    <row r="5" spans="1:30" ht="15.75">
      <c r="A5" s="439" t="s">
        <v>544</v>
      </c>
      <c r="B5" s="439"/>
      <c r="C5" s="439"/>
      <c r="D5" s="439"/>
      <c r="E5" s="439"/>
      <c r="F5" s="439"/>
      <c r="G5" s="439"/>
      <c r="H5" s="439"/>
      <c r="I5" s="439"/>
      <c r="J5" s="439"/>
      <c r="K5" s="270" t="s">
        <v>479</v>
      </c>
      <c r="L5" s="270"/>
      <c r="M5" s="291" t="s">
        <v>513</v>
      </c>
      <c r="N5" s="270"/>
      <c r="O5" s="270"/>
      <c r="P5" s="291" t="s">
        <v>513</v>
      </c>
      <c r="Q5" s="270"/>
      <c r="R5" s="291" t="s">
        <v>513</v>
      </c>
      <c r="S5" s="271"/>
      <c r="T5" s="272"/>
    </row>
    <row r="6" spans="1:30">
      <c r="A6" s="440" t="s">
        <v>480</v>
      </c>
      <c r="B6" s="437" t="s">
        <v>481</v>
      </c>
      <c r="C6" s="437" t="s">
        <v>482</v>
      </c>
      <c r="D6" s="437" t="s">
        <v>483</v>
      </c>
      <c r="E6" s="441" t="s">
        <v>484</v>
      </c>
      <c r="F6" s="437" t="s">
        <v>485</v>
      </c>
      <c r="G6" s="437" t="s">
        <v>486</v>
      </c>
      <c r="H6" s="437" t="s">
        <v>487</v>
      </c>
      <c r="I6" s="437" t="s">
        <v>488</v>
      </c>
      <c r="J6" s="437" t="s">
        <v>489</v>
      </c>
      <c r="K6" s="437" t="s">
        <v>490</v>
      </c>
      <c r="L6" s="437" t="s">
        <v>545</v>
      </c>
      <c r="M6" s="437" t="s">
        <v>491</v>
      </c>
      <c r="N6" s="437" t="s">
        <v>492</v>
      </c>
      <c r="O6" s="437" t="s">
        <v>493</v>
      </c>
      <c r="P6" s="437" t="s">
        <v>493</v>
      </c>
      <c r="Q6" s="437" t="s">
        <v>494</v>
      </c>
      <c r="R6" s="437" t="s">
        <v>494</v>
      </c>
      <c r="S6" s="437" t="s">
        <v>495</v>
      </c>
      <c r="T6" s="437" t="s">
        <v>496</v>
      </c>
    </row>
    <row r="7" spans="1:30">
      <c r="A7" s="440"/>
      <c r="B7" s="437"/>
      <c r="C7" s="437"/>
      <c r="D7" s="437"/>
      <c r="E7" s="442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8"/>
    </row>
    <row r="8" spans="1:30">
      <c r="A8" s="440"/>
      <c r="B8" s="437"/>
      <c r="C8" s="437"/>
      <c r="D8" s="437"/>
      <c r="E8" s="443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8"/>
    </row>
    <row r="9" spans="1:30" ht="27.75" customHeight="1">
      <c r="A9" s="440"/>
      <c r="B9" s="437"/>
      <c r="C9" s="437"/>
      <c r="D9" s="437"/>
      <c r="E9" s="444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8"/>
      <c r="V9" t="s">
        <v>374</v>
      </c>
      <c r="W9" t="s">
        <v>514</v>
      </c>
      <c r="X9" t="s">
        <v>366</v>
      </c>
      <c r="Y9" t="s">
        <v>514</v>
      </c>
      <c r="Z9" t="s">
        <v>367</v>
      </c>
      <c r="AA9" t="s">
        <v>514</v>
      </c>
      <c r="AB9" t="s">
        <v>86</v>
      </c>
      <c r="AC9" t="s">
        <v>514</v>
      </c>
      <c r="AD9" t="s">
        <v>515</v>
      </c>
    </row>
    <row r="10" spans="1:30" ht="15">
      <c r="A10" s="276">
        <v>1</v>
      </c>
      <c r="B10" s="277" t="s">
        <v>497</v>
      </c>
      <c r="C10" s="276">
        <v>1</v>
      </c>
      <c r="D10" s="284">
        <v>17325</v>
      </c>
      <c r="E10" s="284">
        <f>C10*D10</f>
        <v>17325</v>
      </c>
      <c r="F10" s="284"/>
      <c r="G10" s="284"/>
      <c r="H10" s="284">
        <v>3465</v>
      </c>
      <c r="I10" s="284"/>
      <c r="J10" s="284">
        <f>E10+F10+G10+H10+I10</f>
        <v>20790</v>
      </c>
      <c r="K10" s="284">
        <f>J10*12</f>
        <v>249480</v>
      </c>
      <c r="L10" s="284">
        <f>M10*12</f>
        <v>5328</v>
      </c>
      <c r="M10" s="292">
        <v>444</v>
      </c>
      <c r="N10" s="284">
        <f>K10+L10</f>
        <v>254808</v>
      </c>
      <c r="O10" s="284"/>
      <c r="P10" s="292"/>
      <c r="Q10" s="284">
        <v>17325</v>
      </c>
      <c r="R10" s="292">
        <f>Q10/12</f>
        <v>1443.75</v>
      </c>
      <c r="S10" s="284">
        <f>O10+Q10</f>
        <v>17325</v>
      </c>
      <c r="T10" s="285">
        <f>N10+S10</f>
        <v>272133</v>
      </c>
      <c r="V10">
        <f>E10*3</f>
        <v>51975</v>
      </c>
      <c r="W10">
        <f>($F10+$G10+$H10+$I10+$M10+$P10+$R10)*3</f>
        <v>16058.25</v>
      </c>
      <c r="X10">
        <f>E10*6</f>
        <v>103950</v>
      </c>
      <c r="Y10">
        <f>($F10+$G10+$H10+$I10+$M10+$P10+$R10)*6</f>
        <v>32116.5</v>
      </c>
      <c r="Z10">
        <f>E10*9</f>
        <v>155925</v>
      </c>
      <c r="AA10">
        <f>($F10+$G10+$H10+$I10+$M10+$P10+$R10)*9</f>
        <v>48174.75</v>
      </c>
      <c r="AB10">
        <f>E10*12</f>
        <v>207900</v>
      </c>
      <c r="AC10">
        <f>($F10+$G10+$H10+$I10+$M10+$P10+$R10)*12</f>
        <v>64233</v>
      </c>
      <c r="AD10">
        <f>AC10+AB10</f>
        <v>272133</v>
      </c>
    </row>
    <row r="11" spans="1:30" ht="45.75" customHeight="1">
      <c r="A11" s="276">
        <v>2</v>
      </c>
      <c r="B11" s="278" t="s">
        <v>498</v>
      </c>
      <c r="C11" s="276">
        <v>1</v>
      </c>
      <c r="D11" s="284">
        <v>16459</v>
      </c>
      <c r="E11" s="284">
        <f t="shared" ref="E11:E32" si="0">C11*D11</f>
        <v>16459</v>
      </c>
      <c r="F11" s="284"/>
      <c r="G11" s="284"/>
      <c r="H11" s="284">
        <v>1646</v>
      </c>
      <c r="I11" s="284"/>
      <c r="J11" s="284">
        <f t="shared" ref="J11:J20" si="1">E11+F11+G11+H11+I11</f>
        <v>18105</v>
      </c>
      <c r="K11" s="284">
        <f t="shared" ref="K11:K32" si="2">J11*12</f>
        <v>217260</v>
      </c>
      <c r="L11" s="284">
        <f t="shared" ref="L11:L18" si="3">M11*12</f>
        <v>5328</v>
      </c>
      <c r="M11" s="292">
        <v>444</v>
      </c>
      <c r="N11" s="284">
        <f t="shared" ref="N11:N32" si="4">K11+L11</f>
        <v>222588</v>
      </c>
      <c r="O11" s="284"/>
      <c r="P11" s="292"/>
      <c r="Q11" s="284">
        <v>16458.75</v>
      </c>
      <c r="R11" s="292">
        <f t="shared" ref="R11:R32" si="5">Q11/12</f>
        <v>1371.5625</v>
      </c>
      <c r="S11" s="284">
        <f t="shared" ref="S11:S32" si="6">O11+Q11</f>
        <v>16458.75</v>
      </c>
      <c r="T11" s="285">
        <f t="shared" ref="T11:T32" si="7">N11+S11</f>
        <v>239046.75</v>
      </c>
      <c r="V11">
        <f t="shared" ref="V11:V32" si="8">E11*3</f>
        <v>49377</v>
      </c>
      <c r="W11">
        <f t="shared" ref="W11:W32" si="9">($F11+$G11+$H11+$I11+$M11+$P11+$R11)*3</f>
        <v>10384.6875</v>
      </c>
      <c r="X11">
        <f t="shared" ref="X11:X32" si="10">E11*6</f>
        <v>98754</v>
      </c>
      <c r="Y11">
        <f t="shared" ref="Y11:Y32" si="11">($F11+$G11+$H11+$I11+$M11+$P11+$R11)*6</f>
        <v>20769.375</v>
      </c>
      <c r="Z11">
        <f t="shared" ref="Z11:Z32" si="12">E11*9</f>
        <v>148131</v>
      </c>
      <c r="AA11">
        <f t="shared" ref="AA11:AA32" si="13">($F11+$G11+$H11+$I11+$M11+$P11+$R11)*9</f>
        <v>31154.0625</v>
      </c>
      <c r="AB11">
        <f t="shared" ref="AB11:AB32" si="14">E11*12</f>
        <v>197508</v>
      </c>
      <c r="AC11">
        <f t="shared" ref="AC11:AC32" si="15">($F11+$G11+$H11+$I11+$M11+$P11+$R11)*12</f>
        <v>41538.75</v>
      </c>
      <c r="AD11">
        <f t="shared" ref="AD11:AD32" si="16">AC11+AB11</f>
        <v>239046.75</v>
      </c>
    </row>
    <row r="12" spans="1:30" ht="48" customHeight="1">
      <c r="A12" s="276">
        <v>3</v>
      </c>
      <c r="B12" s="277" t="s">
        <v>537</v>
      </c>
      <c r="C12" s="276">
        <v>1</v>
      </c>
      <c r="D12" s="284">
        <v>16459</v>
      </c>
      <c r="E12" s="284">
        <f t="shared" si="0"/>
        <v>16459</v>
      </c>
      <c r="F12" s="284"/>
      <c r="G12" s="284"/>
      <c r="H12" s="284"/>
      <c r="I12" s="284"/>
      <c r="J12" s="284">
        <f t="shared" si="1"/>
        <v>16459</v>
      </c>
      <c r="K12" s="284">
        <f t="shared" si="2"/>
        <v>197508</v>
      </c>
      <c r="L12" s="284">
        <f t="shared" si="3"/>
        <v>5328</v>
      </c>
      <c r="M12" s="292">
        <v>444</v>
      </c>
      <c r="N12" s="284">
        <f t="shared" si="4"/>
        <v>202836</v>
      </c>
      <c r="O12" s="284"/>
      <c r="P12" s="292"/>
      <c r="Q12" s="284">
        <v>16458.75</v>
      </c>
      <c r="R12" s="292">
        <f t="shared" si="5"/>
        <v>1371.5625</v>
      </c>
      <c r="S12" s="284">
        <f t="shared" si="6"/>
        <v>16458.75</v>
      </c>
      <c r="T12" s="285">
        <f t="shared" si="7"/>
        <v>219294.75</v>
      </c>
      <c r="V12">
        <f t="shared" si="8"/>
        <v>49377</v>
      </c>
      <c r="W12">
        <f t="shared" si="9"/>
        <v>5446.6875</v>
      </c>
      <c r="X12">
        <f t="shared" si="10"/>
        <v>98754</v>
      </c>
      <c r="Y12">
        <f t="shared" si="11"/>
        <v>10893.375</v>
      </c>
      <c r="Z12">
        <f t="shared" si="12"/>
        <v>148131</v>
      </c>
      <c r="AA12">
        <f t="shared" si="13"/>
        <v>16340.0625</v>
      </c>
      <c r="AB12">
        <f t="shared" si="14"/>
        <v>197508</v>
      </c>
      <c r="AC12">
        <f t="shared" si="15"/>
        <v>21786.75</v>
      </c>
      <c r="AD12">
        <f t="shared" si="16"/>
        <v>219294.75</v>
      </c>
    </row>
    <row r="13" spans="1:30" ht="15">
      <c r="A13" s="276">
        <v>4</v>
      </c>
      <c r="B13" s="279" t="s">
        <v>499</v>
      </c>
      <c r="C13" s="276">
        <v>1</v>
      </c>
      <c r="D13" s="284">
        <v>15592.5</v>
      </c>
      <c r="E13" s="284">
        <f t="shared" si="0"/>
        <v>15592.5</v>
      </c>
      <c r="F13" s="284"/>
      <c r="G13" s="284"/>
      <c r="H13" s="284"/>
      <c r="I13" s="284"/>
      <c r="J13" s="284">
        <f t="shared" si="1"/>
        <v>15592.5</v>
      </c>
      <c r="K13" s="284">
        <f t="shared" si="2"/>
        <v>187110</v>
      </c>
      <c r="L13" s="284">
        <f t="shared" si="3"/>
        <v>5328</v>
      </c>
      <c r="M13" s="292">
        <v>444</v>
      </c>
      <c r="N13" s="284">
        <f t="shared" si="4"/>
        <v>192438</v>
      </c>
      <c r="O13" s="284"/>
      <c r="P13" s="292"/>
      <c r="Q13" s="284">
        <v>15592.5</v>
      </c>
      <c r="R13" s="292">
        <f t="shared" si="5"/>
        <v>1299.375</v>
      </c>
      <c r="S13" s="284">
        <f t="shared" si="6"/>
        <v>15592.5</v>
      </c>
      <c r="T13" s="285">
        <f t="shared" si="7"/>
        <v>208030.5</v>
      </c>
      <c r="V13">
        <f t="shared" si="8"/>
        <v>46777.5</v>
      </c>
      <c r="W13">
        <f t="shared" si="9"/>
        <v>5230.125</v>
      </c>
      <c r="X13">
        <f t="shared" si="10"/>
        <v>93555</v>
      </c>
      <c r="Y13">
        <f t="shared" si="11"/>
        <v>10460.25</v>
      </c>
      <c r="Z13">
        <f t="shared" si="12"/>
        <v>140332.5</v>
      </c>
      <c r="AA13">
        <f t="shared" si="13"/>
        <v>15690.375</v>
      </c>
      <c r="AB13">
        <f t="shared" si="14"/>
        <v>187110</v>
      </c>
      <c r="AC13">
        <f t="shared" si="15"/>
        <v>20920.5</v>
      </c>
      <c r="AD13">
        <f t="shared" si="16"/>
        <v>208030.5</v>
      </c>
    </row>
    <row r="14" spans="1:30" ht="35.25" customHeight="1">
      <c r="A14" s="294">
        <v>5</v>
      </c>
      <c r="B14" s="279" t="s">
        <v>500</v>
      </c>
      <c r="C14" s="276">
        <v>1</v>
      </c>
      <c r="D14" s="284">
        <v>12127.5</v>
      </c>
      <c r="E14" s="284">
        <f t="shared" si="0"/>
        <v>12127.5</v>
      </c>
      <c r="F14" s="284"/>
      <c r="G14" s="284"/>
      <c r="H14" s="284"/>
      <c r="I14" s="284"/>
      <c r="J14" s="284">
        <f t="shared" si="1"/>
        <v>12127.5</v>
      </c>
      <c r="K14" s="284">
        <f t="shared" si="2"/>
        <v>145530</v>
      </c>
      <c r="L14" s="284">
        <f t="shared" si="3"/>
        <v>5328</v>
      </c>
      <c r="M14" s="292">
        <v>444</v>
      </c>
      <c r="N14" s="284">
        <f t="shared" si="4"/>
        <v>150858</v>
      </c>
      <c r="O14" s="284"/>
      <c r="P14" s="292"/>
      <c r="Q14" s="284">
        <v>12127.5</v>
      </c>
      <c r="R14" s="292">
        <f t="shared" si="5"/>
        <v>1010.625</v>
      </c>
      <c r="S14" s="284">
        <f t="shared" si="6"/>
        <v>12127.5</v>
      </c>
      <c r="T14" s="285">
        <f t="shared" si="7"/>
        <v>162985.5</v>
      </c>
      <c r="V14">
        <f t="shared" si="8"/>
        <v>36382.5</v>
      </c>
      <c r="W14">
        <f t="shared" si="9"/>
        <v>4363.875</v>
      </c>
      <c r="X14">
        <f t="shared" si="10"/>
        <v>72765</v>
      </c>
      <c r="Y14">
        <f t="shared" si="11"/>
        <v>8727.75</v>
      </c>
      <c r="Z14">
        <f t="shared" si="12"/>
        <v>109147.5</v>
      </c>
      <c r="AA14">
        <f t="shared" si="13"/>
        <v>13091.625</v>
      </c>
      <c r="AB14">
        <f t="shared" si="14"/>
        <v>145530</v>
      </c>
      <c r="AC14">
        <f t="shared" si="15"/>
        <v>17455.5</v>
      </c>
      <c r="AD14">
        <f t="shared" si="16"/>
        <v>162985.5</v>
      </c>
    </row>
    <row r="15" spans="1:30" ht="15">
      <c r="A15" s="276">
        <v>6</v>
      </c>
      <c r="B15" s="279" t="s">
        <v>502</v>
      </c>
      <c r="C15" s="276">
        <v>1</v>
      </c>
      <c r="D15" s="284">
        <v>3496</v>
      </c>
      <c r="E15" s="284">
        <f t="shared" si="0"/>
        <v>3496</v>
      </c>
      <c r="F15" s="286"/>
      <c r="G15" s="286">
        <v>1748</v>
      </c>
      <c r="H15" s="286"/>
      <c r="I15" s="286"/>
      <c r="J15" s="284">
        <f t="shared" si="1"/>
        <v>5244</v>
      </c>
      <c r="K15" s="284">
        <f t="shared" si="2"/>
        <v>62928</v>
      </c>
      <c r="L15" s="284">
        <f t="shared" si="3"/>
        <v>5328</v>
      </c>
      <c r="M15" s="292">
        <v>444</v>
      </c>
      <c r="N15" s="284">
        <f t="shared" si="4"/>
        <v>68256</v>
      </c>
      <c r="O15" s="286">
        <v>7200.1</v>
      </c>
      <c r="P15" s="292">
        <f>O15/12</f>
        <v>600.00833333333333</v>
      </c>
      <c r="Q15" s="286">
        <v>3496</v>
      </c>
      <c r="R15" s="292">
        <f t="shared" si="5"/>
        <v>291.33333333333331</v>
      </c>
      <c r="S15" s="284">
        <f t="shared" si="6"/>
        <v>10696.1</v>
      </c>
      <c r="T15" s="285">
        <f t="shared" si="7"/>
        <v>78952.100000000006</v>
      </c>
      <c r="V15">
        <f t="shared" si="8"/>
        <v>10488</v>
      </c>
      <c r="W15">
        <f t="shared" si="9"/>
        <v>9250.0249999999996</v>
      </c>
      <c r="X15">
        <f t="shared" si="10"/>
        <v>20976</v>
      </c>
      <c r="Y15">
        <f t="shared" si="11"/>
        <v>18500.05</v>
      </c>
      <c r="Z15">
        <f t="shared" si="12"/>
        <v>31464</v>
      </c>
      <c r="AA15">
        <f t="shared" si="13"/>
        <v>27750.075000000001</v>
      </c>
      <c r="AB15">
        <f t="shared" si="14"/>
        <v>41952</v>
      </c>
      <c r="AC15">
        <f t="shared" si="15"/>
        <v>37000.1</v>
      </c>
      <c r="AD15">
        <f t="shared" si="16"/>
        <v>78952.100000000006</v>
      </c>
    </row>
    <row r="16" spans="1:30" ht="15">
      <c r="A16" s="276">
        <v>7</v>
      </c>
      <c r="B16" s="279" t="s">
        <v>503</v>
      </c>
      <c r="C16" s="276">
        <v>1</v>
      </c>
      <c r="D16" s="284">
        <v>3496</v>
      </c>
      <c r="E16" s="284">
        <f t="shared" si="0"/>
        <v>3496</v>
      </c>
      <c r="F16" s="286"/>
      <c r="G16" s="286">
        <v>1748</v>
      </c>
      <c r="H16" s="286"/>
      <c r="I16" s="286"/>
      <c r="J16" s="284">
        <f t="shared" si="1"/>
        <v>5244</v>
      </c>
      <c r="K16" s="284">
        <f t="shared" si="2"/>
        <v>62928</v>
      </c>
      <c r="L16" s="284">
        <f t="shared" si="3"/>
        <v>5328</v>
      </c>
      <c r="M16" s="292">
        <v>444</v>
      </c>
      <c r="N16" s="284">
        <f t="shared" si="4"/>
        <v>68256</v>
      </c>
      <c r="O16" s="286">
        <v>7200</v>
      </c>
      <c r="P16" s="292">
        <f t="shared" ref="P16:P32" si="17">O16/12</f>
        <v>600</v>
      </c>
      <c r="Q16" s="286">
        <v>3496</v>
      </c>
      <c r="R16" s="292">
        <f t="shared" si="5"/>
        <v>291.33333333333331</v>
      </c>
      <c r="S16" s="284">
        <f t="shared" si="6"/>
        <v>10696</v>
      </c>
      <c r="T16" s="285">
        <f t="shared" si="7"/>
        <v>78952</v>
      </c>
      <c r="V16">
        <f t="shared" si="8"/>
        <v>10488</v>
      </c>
      <c r="W16">
        <f t="shared" si="9"/>
        <v>9250</v>
      </c>
      <c r="X16">
        <f t="shared" si="10"/>
        <v>20976</v>
      </c>
      <c r="Y16">
        <f t="shared" si="11"/>
        <v>18500</v>
      </c>
      <c r="Z16">
        <f t="shared" si="12"/>
        <v>31464</v>
      </c>
      <c r="AA16">
        <f t="shared" si="13"/>
        <v>27750</v>
      </c>
      <c r="AB16">
        <f t="shared" si="14"/>
        <v>41952</v>
      </c>
      <c r="AC16">
        <f t="shared" si="15"/>
        <v>37000</v>
      </c>
      <c r="AD16">
        <f t="shared" si="16"/>
        <v>78952</v>
      </c>
    </row>
    <row r="17" spans="1:30" ht="15">
      <c r="A17" s="276">
        <v>8</v>
      </c>
      <c r="B17" s="279" t="s">
        <v>504</v>
      </c>
      <c r="C17" s="276">
        <v>1</v>
      </c>
      <c r="D17" s="284">
        <v>3496</v>
      </c>
      <c r="E17" s="284">
        <f t="shared" si="0"/>
        <v>3496</v>
      </c>
      <c r="F17" s="286"/>
      <c r="G17" s="286">
        <v>1748</v>
      </c>
      <c r="H17" s="286"/>
      <c r="I17" s="286"/>
      <c r="J17" s="284">
        <f t="shared" si="1"/>
        <v>5244</v>
      </c>
      <c r="K17" s="284">
        <f t="shared" si="2"/>
        <v>62928</v>
      </c>
      <c r="L17" s="284">
        <f t="shared" si="3"/>
        <v>5328</v>
      </c>
      <c r="M17" s="292">
        <v>444</v>
      </c>
      <c r="N17" s="284">
        <f t="shared" si="4"/>
        <v>68256</v>
      </c>
      <c r="O17" s="286">
        <v>7200</v>
      </c>
      <c r="P17" s="292">
        <f t="shared" si="17"/>
        <v>600</v>
      </c>
      <c r="Q17" s="286">
        <v>3496</v>
      </c>
      <c r="R17" s="292">
        <f t="shared" si="5"/>
        <v>291.33333333333331</v>
      </c>
      <c r="S17" s="284">
        <f t="shared" si="6"/>
        <v>10696</v>
      </c>
      <c r="T17" s="285">
        <f t="shared" si="7"/>
        <v>78952</v>
      </c>
      <c r="V17">
        <f t="shared" si="8"/>
        <v>10488</v>
      </c>
      <c r="W17">
        <f t="shared" si="9"/>
        <v>9250</v>
      </c>
      <c r="X17">
        <f t="shared" si="10"/>
        <v>20976</v>
      </c>
      <c r="Y17">
        <f t="shared" si="11"/>
        <v>18500</v>
      </c>
      <c r="Z17">
        <f t="shared" si="12"/>
        <v>31464</v>
      </c>
      <c r="AA17">
        <f t="shared" si="13"/>
        <v>27750</v>
      </c>
      <c r="AB17">
        <f t="shared" si="14"/>
        <v>41952</v>
      </c>
      <c r="AC17">
        <f>($F17+$G17+$H17+$I17+$M17+$P17+$R17)*12</f>
        <v>37000</v>
      </c>
      <c r="AD17">
        <f t="shared" si="16"/>
        <v>78952</v>
      </c>
    </row>
    <row r="18" spans="1:30" ht="15">
      <c r="A18" s="276">
        <v>9</v>
      </c>
      <c r="B18" s="279" t="s">
        <v>505</v>
      </c>
      <c r="C18" s="276">
        <v>1</v>
      </c>
      <c r="D18" s="284">
        <v>3496</v>
      </c>
      <c r="E18" s="284">
        <f t="shared" si="0"/>
        <v>3496</v>
      </c>
      <c r="F18" s="286"/>
      <c r="G18" s="286">
        <v>1748</v>
      </c>
      <c r="H18" s="286"/>
      <c r="I18" s="286"/>
      <c r="J18" s="284">
        <f t="shared" si="1"/>
        <v>5244</v>
      </c>
      <c r="K18" s="284">
        <f t="shared" si="2"/>
        <v>62928</v>
      </c>
      <c r="L18" s="284">
        <f t="shared" si="3"/>
        <v>5328</v>
      </c>
      <c r="M18" s="292">
        <v>444</v>
      </c>
      <c r="N18" s="284">
        <f t="shared" si="4"/>
        <v>68256</v>
      </c>
      <c r="O18" s="286">
        <v>7200</v>
      </c>
      <c r="P18" s="292">
        <f t="shared" si="17"/>
        <v>600</v>
      </c>
      <c r="Q18" s="286">
        <v>3496</v>
      </c>
      <c r="R18" s="292">
        <f t="shared" si="5"/>
        <v>291.33333333333331</v>
      </c>
      <c r="S18" s="284">
        <f t="shared" si="6"/>
        <v>10696</v>
      </c>
      <c r="T18" s="285">
        <f t="shared" si="7"/>
        <v>78952</v>
      </c>
      <c r="V18">
        <f t="shared" si="8"/>
        <v>10488</v>
      </c>
      <c r="W18">
        <f t="shared" si="9"/>
        <v>9250</v>
      </c>
      <c r="X18">
        <f t="shared" si="10"/>
        <v>20976</v>
      </c>
      <c r="Y18">
        <f t="shared" si="11"/>
        <v>18500</v>
      </c>
      <c r="Z18">
        <f t="shared" si="12"/>
        <v>31464</v>
      </c>
      <c r="AA18">
        <f t="shared" si="13"/>
        <v>27750</v>
      </c>
      <c r="AB18">
        <f t="shared" si="14"/>
        <v>41952</v>
      </c>
      <c r="AC18">
        <f t="shared" si="15"/>
        <v>37000</v>
      </c>
      <c r="AD18">
        <f t="shared" si="16"/>
        <v>78952</v>
      </c>
    </row>
    <row r="19" spans="1:30" ht="15">
      <c r="A19" s="302">
        <v>10</v>
      </c>
      <c r="B19" s="281" t="s">
        <v>507</v>
      </c>
      <c r="C19" s="280">
        <v>2</v>
      </c>
      <c r="D19" s="286">
        <v>3323</v>
      </c>
      <c r="E19" s="284">
        <f t="shared" si="0"/>
        <v>6646</v>
      </c>
      <c r="F19" s="286"/>
      <c r="G19" s="286">
        <v>1662</v>
      </c>
      <c r="H19" s="286"/>
      <c r="I19" s="286"/>
      <c r="J19" s="284">
        <f>E19+F19+(G19*2)+H19+I19</f>
        <v>9970</v>
      </c>
      <c r="K19" s="284">
        <f t="shared" si="2"/>
        <v>119640</v>
      </c>
      <c r="L19" s="286">
        <f>M19*12</f>
        <v>54120</v>
      </c>
      <c r="M19" s="292">
        <v>4510</v>
      </c>
      <c r="N19" s="284">
        <f>K19+L19</f>
        <v>173760</v>
      </c>
      <c r="O19" s="286">
        <v>7200</v>
      </c>
      <c r="P19" s="292">
        <f t="shared" si="17"/>
        <v>600</v>
      </c>
      <c r="Q19" s="286">
        <v>3496</v>
      </c>
      <c r="R19" s="292">
        <f t="shared" si="5"/>
        <v>291.33333333333331</v>
      </c>
      <c r="S19" s="284">
        <f t="shared" si="6"/>
        <v>10696</v>
      </c>
      <c r="T19" s="285">
        <f t="shared" si="7"/>
        <v>184456</v>
      </c>
      <c r="V19">
        <f t="shared" si="8"/>
        <v>19938</v>
      </c>
      <c r="W19">
        <f t="shared" si="9"/>
        <v>21190</v>
      </c>
      <c r="X19">
        <f t="shared" si="10"/>
        <v>39876</v>
      </c>
      <c r="Y19">
        <f t="shared" si="11"/>
        <v>42380</v>
      </c>
      <c r="Z19">
        <f t="shared" si="12"/>
        <v>59814</v>
      </c>
      <c r="AA19">
        <f t="shared" si="13"/>
        <v>63570</v>
      </c>
      <c r="AB19">
        <f t="shared" si="14"/>
        <v>79752</v>
      </c>
      <c r="AC19">
        <f t="shared" si="15"/>
        <v>84760</v>
      </c>
      <c r="AD19">
        <f t="shared" si="16"/>
        <v>164512</v>
      </c>
    </row>
    <row r="20" spans="1:30" ht="36.75" customHeight="1">
      <c r="A20" s="280">
        <v>11</v>
      </c>
      <c r="B20" s="281" t="s">
        <v>501</v>
      </c>
      <c r="C20" s="280">
        <v>1</v>
      </c>
      <c r="D20" s="286">
        <v>3496</v>
      </c>
      <c r="E20" s="284">
        <f t="shared" si="0"/>
        <v>3496</v>
      </c>
      <c r="F20" s="286"/>
      <c r="G20" s="286">
        <v>1748</v>
      </c>
      <c r="H20" s="286">
        <v>699</v>
      </c>
      <c r="I20" s="286"/>
      <c r="J20" s="284">
        <f t="shared" si="1"/>
        <v>5943</v>
      </c>
      <c r="K20" s="284">
        <f t="shared" si="2"/>
        <v>71316</v>
      </c>
      <c r="L20" s="286">
        <f>M20*12</f>
        <v>27060</v>
      </c>
      <c r="M20" s="292">
        <v>2255</v>
      </c>
      <c r="N20" s="284">
        <f t="shared" si="4"/>
        <v>98376</v>
      </c>
      <c r="O20" s="286">
        <v>7200</v>
      </c>
      <c r="P20" s="292">
        <f t="shared" si="17"/>
        <v>600</v>
      </c>
      <c r="Q20" s="286">
        <v>3496</v>
      </c>
      <c r="R20" s="292">
        <f t="shared" si="5"/>
        <v>291.33333333333331</v>
      </c>
      <c r="S20" s="284">
        <f t="shared" si="6"/>
        <v>10696</v>
      </c>
      <c r="T20" s="285">
        <f t="shared" si="7"/>
        <v>109072</v>
      </c>
      <c r="V20">
        <f t="shared" si="8"/>
        <v>10488</v>
      </c>
      <c r="W20">
        <f>($F20+$G20+$H20+$I20+$M20+$P20+$R20)*3</f>
        <v>16780</v>
      </c>
      <c r="X20">
        <f t="shared" si="10"/>
        <v>20976</v>
      </c>
      <c r="Y20">
        <f t="shared" si="11"/>
        <v>33560</v>
      </c>
      <c r="Z20">
        <f t="shared" si="12"/>
        <v>31464</v>
      </c>
      <c r="AA20">
        <f t="shared" si="13"/>
        <v>50340</v>
      </c>
      <c r="AB20">
        <f t="shared" si="14"/>
        <v>41952</v>
      </c>
      <c r="AC20">
        <f t="shared" si="15"/>
        <v>67120</v>
      </c>
      <c r="AD20">
        <f t="shared" si="16"/>
        <v>109072</v>
      </c>
    </row>
    <row r="21" spans="1:30" ht="45" customHeight="1">
      <c r="A21" s="302">
        <v>12</v>
      </c>
      <c r="B21" s="281" t="s">
        <v>508</v>
      </c>
      <c r="C21" s="280">
        <v>1</v>
      </c>
      <c r="D21" s="286">
        <v>3323</v>
      </c>
      <c r="E21" s="284">
        <f t="shared" si="0"/>
        <v>3323</v>
      </c>
      <c r="F21" s="286"/>
      <c r="G21" s="286">
        <v>1661.5</v>
      </c>
      <c r="H21" s="286"/>
      <c r="I21" s="286"/>
      <c r="J21" s="284">
        <f>E21+F21+(G21*1)+H21+I21</f>
        <v>4984.5</v>
      </c>
      <c r="K21" s="284">
        <f t="shared" si="2"/>
        <v>59814</v>
      </c>
      <c r="L21" s="286">
        <f t="shared" ref="L21:L32" si="18">M21*12</f>
        <v>27060</v>
      </c>
      <c r="M21" s="292">
        <v>2255</v>
      </c>
      <c r="N21" s="284">
        <f t="shared" si="4"/>
        <v>86874</v>
      </c>
      <c r="O21" s="286">
        <v>14400</v>
      </c>
      <c r="P21" s="292">
        <f t="shared" si="17"/>
        <v>1200</v>
      </c>
      <c r="Q21" s="286">
        <v>3323</v>
      </c>
      <c r="R21" s="292">
        <f t="shared" si="5"/>
        <v>276.91666666666669</v>
      </c>
      <c r="S21" s="284">
        <f t="shared" si="6"/>
        <v>17723</v>
      </c>
      <c r="T21" s="285">
        <f t="shared" si="7"/>
        <v>104597</v>
      </c>
      <c r="V21">
        <f t="shared" si="8"/>
        <v>9969</v>
      </c>
      <c r="W21">
        <f t="shared" si="9"/>
        <v>16180.25</v>
      </c>
      <c r="X21">
        <f t="shared" si="10"/>
        <v>19938</v>
      </c>
      <c r="Y21">
        <f t="shared" si="11"/>
        <v>32360.5</v>
      </c>
      <c r="Z21">
        <f t="shared" si="12"/>
        <v>29907</v>
      </c>
      <c r="AA21">
        <f t="shared" si="13"/>
        <v>48540.75</v>
      </c>
      <c r="AB21">
        <f t="shared" si="14"/>
        <v>39876</v>
      </c>
      <c r="AC21">
        <f t="shared" si="15"/>
        <v>64721</v>
      </c>
      <c r="AD21">
        <f t="shared" si="16"/>
        <v>104597</v>
      </c>
    </row>
    <row r="22" spans="1:30" ht="15">
      <c r="A22" s="301">
        <v>13</v>
      </c>
      <c r="B22" s="281" t="s">
        <v>509</v>
      </c>
      <c r="C22" s="280">
        <v>4</v>
      </c>
      <c r="D22" s="286">
        <v>3150</v>
      </c>
      <c r="E22" s="284">
        <f t="shared" si="0"/>
        <v>12600</v>
      </c>
      <c r="F22" s="286"/>
      <c r="G22" s="286">
        <v>1575</v>
      </c>
      <c r="H22" s="286"/>
      <c r="I22" s="286"/>
      <c r="J22" s="284">
        <f>E22+F22+(G22*4)+H22+I22</f>
        <v>18900</v>
      </c>
      <c r="K22" s="284">
        <f t="shared" si="2"/>
        <v>226800</v>
      </c>
      <c r="L22" s="286">
        <f t="shared" si="18"/>
        <v>54120</v>
      </c>
      <c r="M22" s="292">
        <v>4510</v>
      </c>
      <c r="N22" s="284">
        <f t="shared" si="4"/>
        <v>280920</v>
      </c>
      <c r="O22" s="286">
        <v>7200</v>
      </c>
      <c r="P22" s="292">
        <f t="shared" si="17"/>
        <v>600</v>
      </c>
      <c r="Q22" s="286">
        <v>3150</v>
      </c>
      <c r="R22" s="292">
        <f t="shared" si="5"/>
        <v>262.5</v>
      </c>
      <c r="S22" s="284">
        <f t="shared" si="6"/>
        <v>10350</v>
      </c>
      <c r="T22" s="285">
        <f t="shared" si="7"/>
        <v>291270</v>
      </c>
      <c r="V22">
        <f t="shared" si="8"/>
        <v>37800</v>
      </c>
      <c r="W22">
        <f t="shared" si="9"/>
        <v>20842.5</v>
      </c>
      <c r="X22">
        <f t="shared" si="10"/>
        <v>75600</v>
      </c>
      <c r="Y22">
        <f t="shared" si="11"/>
        <v>41685</v>
      </c>
      <c r="Z22">
        <f t="shared" si="12"/>
        <v>113400</v>
      </c>
      <c r="AA22">
        <f t="shared" si="13"/>
        <v>62527.5</v>
      </c>
      <c r="AB22">
        <f t="shared" si="14"/>
        <v>151200</v>
      </c>
      <c r="AC22">
        <f t="shared" si="15"/>
        <v>83370</v>
      </c>
      <c r="AD22">
        <f t="shared" si="16"/>
        <v>234570</v>
      </c>
    </row>
    <row r="23" spans="1:30" ht="15">
      <c r="A23" s="301">
        <v>14</v>
      </c>
      <c r="B23" s="281" t="s">
        <v>510</v>
      </c>
      <c r="C23" s="280">
        <v>1</v>
      </c>
      <c r="D23" s="286">
        <v>2958</v>
      </c>
      <c r="E23" s="284">
        <f t="shared" si="0"/>
        <v>2958</v>
      </c>
      <c r="F23" s="286"/>
      <c r="G23" s="286">
        <v>1479</v>
      </c>
      <c r="H23" s="286"/>
      <c r="I23" s="286"/>
      <c r="J23" s="284">
        <f>E23+F23+(G23*1)+H23+I23</f>
        <v>4437</v>
      </c>
      <c r="K23" s="284">
        <f t="shared" si="2"/>
        <v>53244</v>
      </c>
      <c r="L23" s="286">
        <f t="shared" si="18"/>
        <v>27060</v>
      </c>
      <c r="M23" s="292">
        <v>2255</v>
      </c>
      <c r="N23" s="284">
        <f t="shared" si="4"/>
        <v>80304</v>
      </c>
      <c r="O23" s="286">
        <v>21600</v>
      </c>
      <c r="P23" s="292">
        <f t="shared" si="17"/>
        <v>1800</v>
      </c>
      <c r="Q23" s="286">
        <v>2958</v>
      </c>
      <c r="R23" s="292">
        <f t="shared" si="5"/>
        <v>246.5</v>
      </c>
      <c r="S23" s="284">
        <f t="shared" si="6"/>
        <v>24558</v>
      </c>
      <c r="T23" s="285">
        <f t="shared" si="7"/>
        <v>104862</v>
      </c>
      <c r="V23">
        <f t="shared" si="8"/>
        <v>8874</v>
      </c>
      <c r="W23">
        <f t="shared" si="9"/>
        <v>17341.5</v>
      </c>
      <c r="X23">
        <f t="shared" si="10"/>
        <v>17748</v>
      </c>
      <c r="Y23">
        <f t="shared" si="11"/>
        <v>34683</v>
      </c>
      <c r="Z23">
        <f t="shared" si="12"/>
        <v>26622</v>
      </c>
      <c r="AA23">
        <f t="shared" si="13"/>
        <v>52024.5</v>
      </c>
      <c r="AB23">
        <f t="shared" si="14"/>
        <v>35496</v>
      </c>
      <c r="AC23">
        <f t="shared" si="15"/>
        <v>69366</v>
      </c>
      <c r="AD23">
        <f t="shared" si="16"/>
        <v>104862</v>
      </c>
    </row>
    <row r="24" spans="1:30" ht="15">
      <c r="A24" s="302">
        <v>15</v>
      </c>
      <c r="B24" s="281" t="s">
        <v>538</v>
      </c>
      <c r="C24" s="280">
        <v>1</v>
      </c>
      <c r="D24" s="286">
        <v>2958</v>
      </c>
      <c r="E24" s="284">
        <f t="shared" si="0"/>
        <v>2958</v>
      </c>
      <c r="F24" s="286"/>
      <c r="G24" s="286">
        <v>1479</v>
      </c>
      <c r="H24" s="286"/>
      <c r="I24" s="286"/>
      <c r="J24" s="284">
        <f t="shared" ref="J24:J30" si="19">E24+F24+G24+H24+I24</f>
        <v>4437</v>
      </c>
      <c r="K24" s="284">
        <f t="shared" si="2"/>
        <v>53244</v>
      </c>
      <c r="L24" s="286">
        <f t="shared" si="18"/>
        <v>27060</v>
      </c>
      <c r="M24" s="292">
        <v>2255</v>
      </c>
      <c r="N24" s="284">
        <f t="shared" si="4"/>
        <v>80304</v>
      </c>
      <c r="O24" s="286">
        <v>7200</v>
      </c>
      <c r="P24" s="292">
        <f t="shared" si="17"/>
        <v>600</v>
      </c>
      <c r="Q24" s="286">
        <v>2958</v>
      </c>
      <c r="R24" s="292">
        <f t="shared" si="5"/>
        <v>246.5</v>
      </c>
      <c r="S24" s="284">
        <f t="shared" si="6"/>
        <v>10158</v>
      </c>
      <c r="T24" s="285">
        <f t="shared" si="7"/>
        <v>90462</v>
      </c>
      <c r="V24">
        <f t="shared" si="8"/>
        <v>8874</v>
      </c>
      <c r="W24">
        <f t="shared" si="9"/>
        <v>13741.5</v>
      </c>
      <c r="X24">
        <f t="shared" si="10"/>
        <v>17748</v>
      </c>
      <c r="Y24">
        <f t="shared" si="11"/>
        <v>27483</v>
      </c>
      <c r="Z24">
        <f t="shared" si="12"/>
        <v>26622</v>
      </c>
      <c r="AA24">
        <f t="shared" si="13"/>
        <v>41224.5</v>
      </c>
      <c r="AB24">
        <f t="shared" si="14"/>
        <v>35496</v>
      </c>
      <c r="AC24">
        <f t="shared" si="15"/>
        <v>54966</v>
      </c>
      <c r="AD24">
        <f t="shared" si="16"/>
        <v>90462</v>
      </c>
    </row>
    <row r="25" spans="1:30" ht="15">
      <c r="A25" s="301">
        <v>16</v>
      </c>
      <c r="B25" s="281" t="s">
        <v>539</v>
      </c>
      <c r="C25" s="280">
        <v>1</v>
      </c>
      <c r="D25" s="286">
        <v>2958</v>
      </c>
      <c r="E25" s="284">
        <f t="shared" si="0"/>
        <v>2958</v>
      </c>
      <c r="F25" s="286"/>
      <c r="G25" s="286">
        <v>1479</v>
      </c>
      <c r="H25" s="286"/>
      <c r="I25" s="286"/>
      <c r="J25" s="284">
        <f t="shared" si="19"/>
        <v>4437</v>
      </c>
      <c r="K25" s="284">
        <f t="shared" si="2"/>
        <v>53244</v>
      </c>
      <c r="L25" s="286">
        <f t="shared" si="18"/>
        <v>27060</v>
      </c>
      <c r="M25" s="292">
        <v>2255</v>
      </c>
      <c r="N25" s="284">
        <f t="shared" si="4"/>
        <v>80304</v>
      </c>
      <c r="O25" s="286">
        <v>7200</v>
      </c>
      <c r="P25" s="292">
        <f t="shared" si="17"/>
        <v>600</v>
      </c>
      <c r="Q25" s="286">
        <v>2958</v>
      </c>
      <c r="R25" s="292">
        <f t="shared" si="5"/>
        <v>246.5</v>
      </c>
      <c r="S25" s="284">
        <f t="shared" si="6"/>
        <v>10158</v>
      </c>
      <c r="T25" s="285">
        <f t="shared" si="7"/>
        <v>90462</v>
      </c>
      <c r="V25">
        <f t="shared" si="8"/>
        <v>8874</v>
      </c>
      <c r="W25">
        <f t="shared" si="9"/>
        <v>13741.5</v>
      </c>
      <c r="X25">
        <f t="shared" si="10"/>
        <v>17748</v>
      </c>
      <c r="Y25">
        <f t="shared" si="11"/>
        <v>27483</v>
      </c>
      <c r="Z25">
        <f t="shared" si="12"/>
        <v>26622</v>
      </c>
      <c r="AA25">
        <f t="shared" si="13"/>
        <v>41224.5</v>
      </c>
      <c r="AB25">
        <f t="shared" si="14"/>
        <v>35496</v>
      </c>
      <c r="AC25">
        <f t="shared" si="15"/>
        <v>54966</v>
      </c>
      <c r="AD25">
        <f t="shared" si="16"/>
        <v>90462</v>
      </c>
    </row>
    <row r="26" spans="1:30" ht="33.75" customHeight="1">
      <c r="A26" s="280">
        <v>17</v>
      </c>
      <c r="B26" s="281" t="s">
        <v>540</v>
      </c>
      <c r="C26" s="280">
        <v>1</v>
      </c>
      <c r="D26" s="286">
        <v>2958</v>
      </c>
      <c r="E26" s="284">
        <f t="shared" si="0"/>
        <v>2958</v>
      </c>
      <c r="F26" s="286"/>
      <c r="G26" s="286">
        <v>1479</v>
      </c>
      <c r="H26" s="286"/>
      <c r="I26" s="286"/>
      <c r="J26" s="284">
        <f t="shared" si="19"/>
        <v>4437</v>
      </c>
      <c r="K26" s="284">
        <f t="shared" si="2"/>
        <v>53244</v>
      </c>
      <c r="L26" s="286">
        <f t="shared" si="18"/>
        <v>45960</v>
      </c>
      <c r="M26" s="292">
        <v>3830</v>
      </c>
      <c r="N26" s="284">
        <f t="shared" si="4"/>
        <v>99204</v>
      </c>
      <c r="O26" s="286">
        <v>7200</v>
      </c>
      <c r="P26" s="292">
        <f t="shared" si="17"/>
        <v>600</v>
      </c>
      <c r="Q26" s="286">
        <v>2958</v>
      </c>
      <c r="R26" s="292">
        <f t="shared" si="5"/>
        <v>246.5</v>
      </c>
      <c r="S26" s="284">
        <f t="shared" si="6"/>
        <v>10158</v>
      </c>
      <c r="T26" s="285">
        <f t="shared" si="7"/>
        <v>109362</v>
      </c>
      <c r="V26">
        <f t="shared" si="8"/>
        <v>8874</v>
      </c>
      <c r="W26">
        <f t="shared" si="9"/>
        <v>18466.5</v>
      </c>
      <c r="X26">
        <f t="shared" si="10"/>
        <v>17748</v>
      </c>
      <c r="Y26">
        <f t="shared" si="11"/>
        <v>36933</v>
      </c>
      <c r="Z26">
        <f t="shared" si="12"/>
        <v>26622</v>
      </c>
      <c r="AA26">
        <f t="shared" si="13"/>
        <v>55399.5</v>
      </c>
      <c r="AB26">
        <f t="shared" si="14"/>
        <v>35496</v>
      </c>
      <c r="AC26">
        <f t="shared" si="15"/>
        <v>73866</v>
      </c>
      <c r="AD26">
        <f t="shared" si="16"/>
        <v>109362</v>
      </c>
    </row>
    <row r="27" spans="1:30" ht="15">
      <c r="A27" s="280">
        <v>18</v>
      </c>
      <c r="B27" s="281" t="s">
        <v>511</v>
      </c>
      <c r="C27" s="280">
        <v>2</v>
      </c>
      <c r="D27" s="286">
        <v>2613</v>
      </c>
      <c r="E27" s="284">
        <f t="shared" si="0"/>
        <v>5226</v>
      </c>
      <c r="F27" s="286"/>
      <c r="G27" s="286">
        <v>1307</v>
      </c>
      <c r="H27" s="286"/>
      <c r="I27" s="286"/>
      <c r="J27" s="284">
        <f>E27+F27+(G27*2)+H27+I27</f>
        <v>7840</v>
      </c>
      <c r="K27" s="284">
        <f t="shared" si="2"/>
        <v>94080</v>
      </c>
      <c r="L27" s="286">
        <f t="shared" si="18"/>
        <v>45960</v>
      </c>
      <c r="M27" s="292">
        <v>3830</v>
      </c>
      <c r="N27" s="284">
        <f t="shared" si="4"/>
        <v>140040</v>
      </c>
      <c r="O27" s="286">
        <v>7200</v>
      </c>
      <c r="P27" s="292">
        <f t="shared" si="17"/>
        <v>600</v>
      </c>
      <c r="Q27" s="286">
        <v>2613</v>
      </c>
      <c r="R27" s="292">
        <f t="shared" si="5"/>
        <v>217.75</v>
      </c>
      <c r="S27" s="284">
        <f t="shared" si="6"/>
        <v>9813</v>
      </c>
      <c r="T27" s="285">
        <f t="shared" si="7"/>
        <v>149853</v>
      </c>
      <c r="V27">
        <f t="shared" si="8"/>
        <v>15678</v>
      </c>
      <c r="W27">
        <f t="shared" si="9"/>
        <v>17864.25</v>
      </c>
      <c r="X27">
        <f t="shared" si="10"/>
        <v>31356</v>
      </c>
      <c r="Y27">
        <f t="shared" si="11"/>
        <v>35728.5</v>
      </c>
      <c r="Z27">
        <f t="shared" si="12"/>
        <v>47034</v>
      </c>
      <c r="AA27">
        <f t="shared" si="13"/>
        <v>53592.75</v>
      </c>
      <c r="AB27">
        <f t="shared" si="14"/>
        <v>62712</v>
      </c>
      <c r="AC27">
        <f t="shared" si="15"/>
        <v>71457</v>
      </c>
      <c r="AD27">
        <f t="shared" si="16"/>
        <v>134169</v>
      </c>
    </row>
    <row r="28" spans="1:30" ht="15">
      <c r="A28" s="280">
        <v>19</v>
      </c>
      <c r="B28" s="281" t="s">
        <v>506</v>
      </c>
      <c r="C28" s="280">
        <v>1</v>
      </c>
      <c r="D28" s="286">
        <v>3496</v>
      </c>
      <c r="E28" s="284">
        <f t="shared" si="0"/>
        <v>3496</v>
      </c>
      <c r="F28" s="286"/>
      <c r="G28" s="286">
        <v>1748</v>
      </c>
      <c r="H28" s="286"/>
      <c r="I28" s="286"/>
      <c r="J28" s="284">
        <f>E28+F28+(G28*1)+H28+I28</f>
        <v>5244</v>
      </c>
      <c r="K28" s="284">
        <f t="shared" si="2"/>
        <v>62928</v>
      </c>
      <c r="L28" s="286">
        <f t="shared" si="18"/>
        <v>27060</v>
      </c>
      <c r="M28" s="292">
        <v>2255</v>
      </c>
      <c r="N28" s="284">
        <f t="shared" si="4"/>
        <v>89988</v>
      </c>
      <c r="O28" s="286">
        <v>17496</v>
      </c>
      <c r="P28" s="292">
        <f t="shared" si="17"/>
        <v>1458</v>
      </c>
      <c r="Q28" s="286">
        <v>3496</v>
      </c>
      <c r="R28" s="292">
        <f t="shared" si="5"/>
        <v>291.33333333333331</v>
      </c>
      <c r="S28" s="284">
        <f t="shared" si="6"/>
        <v>20992</v>
      </c>
      <c r="T28" s="285">
        <f t="shared" si="7"/>
        <v>110980</v>
      </c>
      <c r="V28">
        <f t="shared" si="8"/>
        <v>10488</v>
      </c>
      <c r="W28">
        <f t="shared" si="9"/>
        <v>17257</v>
      </c>
      <c r="X28">
        <f t="shared" si="10"/>
        <v>20976</v>
      </c>
      <c r="Y28">
        <f t="shared" si="11"/>
        <v>34514</v>
      </c>
      <c r="Z28">
        <f t="shared" si="12"/>
        <v>31464</v>
      </c>
      <c r="AA28">
        <f t="shared" si="13"/>
        <v>51771</v>
      </c>
      <c r="AB28">
        <f t="shared" si="14"/>
        <v>41952</v>
      </c>
      <c r="AC28">
        <f t="shared" si="15"/>
        <v>69028</v>
      </c>
      <c r="AD28">
        <f t="shared" si="16"/>
        <v>110980</v>
      </c>
    </row>
    <row r="29" spans="1:30" ht="25.5" customHeight="1">
      <c r="A29" s="280">
        <v>20</v>
      </c>
      <c r="B29" s="281" t="s">
        <v>541</v>
      </c>
      <c r="C29" s="280">
        <v>2</v>
      </c>
      <c r="D29" s="286">
        <v>2440</v>
      </c>
      <c r="E29" s="284">
        <f t="shared" si="0"/>
        <v>4880</v>
      </c>
      <c r="F29" s="286"/>
      <c r="G29" s="286">
        <v>1220</v>
      </c>
      <c r="H29" s="286"/>
      <c r="I29" s="286"/>
      <c r="J29" s="284">
        <f>E29+F29+(G29*2)+H29+I29</f>
        <v>7320</v>
      </c>
      <c r="K29" s="284">
        <f t="shared" si="2"/>
        <v>87840</v>
      </c>
      <c r="L29" s="286">
        <f t="shared" si="18"/>
        <v>54120</v>
      </c>
      <c r="M29" s="292">
        <v>4510</v>
      </c>
      <c r="N29" s="284">
        <f t="shared" si="4"/>
        <v>141960</v>
      </c>
      <c r="O29" s="286">
        <v>23184</v>
      </c>
      <c r="P29" s="292">
        <f t="shared" si="17"/>
        <v>1932</v>
      </c>
      <c r="Q29" s="286">
        <v>2440</v>
      </c>
      <c r="R29" s="292">
        <f t="shared" si="5"/>
        <v>203.33333333333334</v>
      </c>
      <c r="S29" s="284">
        <f t="shared" si="6"/>
        <v>25624</v>
      </c>
      <c r="T29" s="285">
        <f t="shared" si="7"/>
        <v>167584</v>
      </c>
      <c r="V29">
        <f t="shared" si="8"/>
        <v>14640</v>
      </c>
      <c r="W29">
        <f t="shared" si="9"/>
        <v>23596</v>
      </c>
      <c r="X29">
        <f t="shared" si="10"/>
        <v>29280</v>
      </c>
      <c r="Y29">
        <f t="shared" si="11"/>
        <v>47192</v>
      </c>
      <c r="Z29">
        <f t="shared" si="12"/>
        <v>43920</v>
      </c>
      <c r="AA29">
        <f t="shared" si="13"/>
        <v>70788</v>
      </c>
      <c r="AB29">
        <f t="shared" si="14"/>
        <v>58560</v>
      </c>
      <c r="AC29">
        <f t="shared" si="15"/>
        <v>94384</v>
      </c>
      <c r="AD29">
        <f t="shared" si="16"/>
        <v>152944</v>
      </c>
    </row>
    <row r="30" spans="1:30" ht="22.5">
      <c r="A30" s="280">
        <v>21</v>
      </c>
      <c r="B30" s="281" t="s">
        <v>542</v>
      </c>
      <c r="C30" s="280">
        <v>1</v>
      </c>
      <c r="D30" s="286">
        <v>2094</v>
      </c>
      <c r="E30" s="284">
        <f t="shared" si="0"/>
        <v>2094</v>
      </c>
      <c r="F30" s="286"/>
      <c r="G30" s="286"/>
      <c r="H30" s="286"/>
      <c r="I30" s="286">
        <v>209.4</v>
      </c>
      <c r="J30" s="284">
        <f t="shared" si="19"/>
        <v>2303.4</v>
      </c>
      <c r="K30" s="284">
        <f t="shared" si="2"/>
        <v>27640.800000000003</v>
      </c>
      <c r="L30" s="286">
        <f t="shared" si="18"/>
        <v>27060</v>
      </c>
      <c r="M30" s="292">
        <v>2255</v>
      </c>
      <c r="N30" s="284">
        <f t="shared" si="4"/>
        <v>54700.800000000003</v>
      </c>
      <c r="O30" s="286">
        <v>25199.8</v>
      </c>
      <c r="P30" s="292">
        <f t="shared" si="17"/>
        <v>2099.9833333333331</v>
      </c>
      <c r="Q30" s="286">
        <v>2094</v>
      </c>
      <c r="R30" s="292">
        <f t="shared" si="5"/>
        <v>174.5</v>
      </c>
      <c r="S30" s="284">
        <f t="shared" si="6"/>
        <v>27293.8</v>
      </c>
      <c r="T30" s="285">
        <f t="shared" si="7"/>
        <v>81994.600000000006</v>
      </c>
      <c r="V30">
        <f t="shared" si="8"/>
        <v>6282</v>
      </c>
      <c r="W30">
        <f t="shared" si="9"/>
        <v>14216.65</v>
      </c>
      <c r="X30">
        <f t="shared" si="10"/>
        <v>12564</v>
      </c>
      <c r="Y30">
        <f t="shared" si="11"/>
        <v>28433.3</v>
      </c>
      <c r="Z30">
        <f t="shared" si="12"/>
        <v>18846</v>
      </c>
      <c r="AA30">
        <f t="shared" si="13"/>
        <v>42649.95</v>
      </c>
      <c r="AB30">
        <f t="shared" si="14"/>
        <v>25128</v>
      </c>
      <c r="AC30">
        <f t="shared" si="15"/>
        <v>56866.6</v>
      </c>
      <c r="AD30">
        <f t="shared" si="16"/>
        <v>81994.600000000006</v>
      </c>
    </row>
    <row r="31" spans="1:30" ht="15">
      <c r="A31" s="280">
        <v>22</v>
      </c>
      <c r="B31" s="281" t="s">
        <v>512</v>
      </c>
      <c r="C31" s="280">
        <v>12</v>
      </c>
      <c r="D31" s="286">
        <v>2094</v>
      </c>
      <c r="E31" s="284">
        <f t="shared" si="0"/>
        <v>25128</v>
      </c>
      <c r="F31" s="286">
        <v>350</v>
      </c>
      <c r="G31" s="286"/>
      <c r="H31" s="286"/>
      <c r="I31" s="286"/>
      <c r="J31" s="284">
        <f>E31+(F31*12)+G31+H31+I31</f>
        <v>29328</v>
      </c>
      <c r="K31" s="284">
        <f t="shared" si="2"/>
        <v>351936</v>
      </c>
      <c r="L31" s="286">
        <f t="shared" si="18"/>
        <v>414120</v>
      </c>
      <c r="M31" s="292">
        <v>34510</v>
      </c>
      <c r="N31" s="284">
        <f t="shared" si="4"/>
        <v>766056</v>
      </c>
      <c r="O31" s="286">
        <v>28824</v>
      </c>
      <c r="P31" s="292">
        <f t="shared" si="17"/>
        <v>2402</v>
      </c>
      <c r="Q31" s="286">
        <v>2094</v>
      </c>
      <c r="R31" s="292">
        <f t="shared" si="5"/>
        <v>174.5</v>
      </c>
      <c r="S31" s="284">
        <f t="shared" si="6"/>
        <v>30918</v>
      </c>
      <c r="T31" s="285">
        <f t="shared" si="7"/>
        <v>796974</v>
      </c>
      <c r="V31">
        <f t="shared" si="8"/>
        <v>75384</v>
      </c>
      <c r="W31">
        <f t="shared" si="9"/>
        <v>112309.5</v>
      </c>
      <c r="X31">
        <f t="shared" si="10"/>
        <v>150768</v>
      </c>
      <c r="Y31">
        <f t="shared" si="11"/>
        <v>224619</v>
      </c>
      <c r="Z31">
        <f t="shared" si="12"/>
        <v>226152</v>
      </c>
      <c r="AA31">
        <f t="shared" si="13"/>
        <v>336928.5</v>
      </c>
      <c r="AB31">
        <f t="shared" si="14"/>
        <v>301536</v>
      </c>
      <c r="AC31">
        <f t="shared" si="15"/>
        <v>449238</v>
      </c>
      <c r="AD31">
        <f t="shared" si="16"/>
        <v>750774</v>
      </c>
    </row>
    <row r="32" spans="1:30" ht="15">
      <c r="A32" s="280">
        <v>23</v>
      </c>
      <c r="B32" s="281" t="s">
        <v>543</v>
      </c>
      <c r="C32" s="280">
        <v>2</v>
      </c>
      <c r="D32" s="286">
        <v>1921</v>
      </c>
      <c r="E32" s="284">
        <f t="shared" si="0"/>
        <v>3842</v>
      </c>
      <c r="F32" s="287"/>
      <c r="G32" s="286"/>
      <c r="H32" s="286"/>
      <c r="I32" s="286">
        <v>192</v>
      </c>
      <c r="J32" s="284">
        <f>E32+(F32*1)+G32+H32+(I32*2)</f>
        <v>4226</v>
      </c>
      <c r="K32" s="284">
        <f t="shared" si="2"/>
        <v>50712</v>
      </c>
      <c r="L32" s="286">
        <f t="shared" si="18"/>
        <v>57864</v>
      </c>
      <c r="M32" s="292">
        <v>4822</v>
      </c>
      <c r="N32" s="284">
        <f t="shared" si="4"/>
        <v>108576</v>
      </c>
      <c r="O32" s="286">
        <v>751592</v>
      </c>
      <c r="P32" s="292">
        <f t="shared" si="17"/>
        <v>62632.666666666664</v>
      </c>
      <c r="Q32" s="286">
        <v>1921</v>
      </c>
      <c r="R32" s="292">
        <f t="shared" si="5"/>
        <v>160.08333333333334</v>
      </c>
      <c r="S32" s="284">
        <f t="shared" si="6"/>
        <v>753513</v>
      </c>
      <c r="T32" s="285">
        <f t="shared" si="7"/>
        <v>862089</v>
      </c>
      <c r="V32">
        <f t="shared" si="8"/>
        <v>11526</v>
      </c>
      <c r="W32">
        <f t="shared" si="9"/>
        <v>203420.24999999994</v>
      </c>
      <c r="X32">
        <f t="shared" si="10"/>
        <v>23052</v>
      </c>
      <c r="Y32">
        <f t="shared" si="11"/>
        <v>406840.49999999988</v>
      </c>
      <c r="Z32">
        <f t="shared" si="12"/>
        <v>34578</v>
      </c>
      <c r="AA32">
        <f t="shared" si="13"/>
        <v>610260.74999999988</v>
      </c>
      <c r="AB32">
        <f t="shared" si="14"/>
        <v>46104</v>
      </c>
      <c r="AC32">
        <f t="shared" si="15"/>
        <v>813680.99999999977</v>
      </c>
      <c r="AD32">
        <f t="shared" si="16"/>
        <v>859784.99999999977</v>
      </c>
    </row>
    <row r="33" spans="1:30" ht="15">
      <c r="A33" s="280"/>
      <c r="B33" s="282" t="s">
        <v>476</v>
      </c>
      <c r="C33" s="283">
        <f>SUM(C10:C32)</f>
        <v>41</v>
      </c>
      <c r="D33" s="288"/>
      <c r="E33" s="289">
        <f>SUM(E10:E32)</f>
        <v>174510</v>
      </c>
      <c r="F33" s="289">
        <v>350</v>
      </c>
      <c r="G33" s="289">
        <f t="shared" ref="G33:N33" si="20">SUM(G10:G32)</f>
        <v>23829.5</v>
      </c>
      <c r="H33" s="289">
        <f t="shared" si="20"/>
        <v>5810</v>
      </c>
      <c r="I33" s="289">
        <f t="shared" si="20"/>
        <v>401.4</v>
      </c>
      <c r="J33" s="289">
        <f t="shared" si="20"/>
        <v>217856.9</v>
      </c>
      <c r="K33" s="289">
        <f t="shared" si="20"/>
        <v>2614282.7999999998</v>
      </c>
      <c r="L33" s="289">
        <f t="shared" si="20"/>
        <v>963636</v>
      </c>
      <c r="M33" s="289">
        <f t="shared" si="20"/>
        <v>80303</v>
      </c>
      <c r="N33" s="289">
        <f t="shared" si="20"/>
        <v>3577918.8</v>
      </c>
      <c r="O33" s="289">
        <v>1022934.9</v>
      </c>
      <c r="P33" s="289"/>
      <c r="Q33" s="289">
        <f>SUM(Q10:Q32)</f>
        <v>131901.5</v>
      </c>
      <c r="R33" s="289"/>
      <c r="S33" s="290">
        <f>SUM(S10:S32)</f>
        <v>1093397.3999999999</v>
      </c>
      <c r="T33" s="285">
        <f>SUM(T10:T32)</f>
        <v>4671316.2</v>
      </c>
      <c r="V33" s="293">
        <f t="shared" ref="V33:AD33" si="21">SUM(V10:V32)</f>
        <v>523530</v>
      </c>
      <c r="W33" s="293">
        <f t="shared" si="21"/>
        <v>605431.05000000005</v>
      </c>
      <c r="X33" s="293">
        <f t="shared" si="21"/>
        <v>1047060</v>
      </c>
      <c r="Y33" s="293">
        <f t="shared" si="21"/>
        <v>1210862.1000000001</v>
      </c>
      <c r="Z33" s="293">
        <f t="shared" si="21"/>
        <v>1570590</v>
      </c>
      <c r="AA33" s="293">
        <f t="shared" si="21"/>
        <v>1816293.15</v>
      </c>
      <c r="AB33" s="293">
        <f t="shared" si="21"/>
        <v>2094120</v>
      </c>
      <c r="AC33" s="293">
        <f t="shared" si="21"/>
        <v>2421724.2000000002</v>
      </c>
      <c r="AD33" s="293">
        <f t="shared" si="21"/>
        <v>4515844.2</v>
      </c>
    </row>
    <row r="38" spans="1:30">
      <c r="V38" t="s">
        <v>374</v>
      </c>
      <c r="W38" t="s">
        <v>366</v>
      </c>
      <c r="X38" t="s">
        <v>367</v>
      </c>
      <c r="Y38" t="s">
        <v>86</v>
      </c>
    </row>
    <row r="39" spans="1:30">
      <c r="U39" t="s">
        <v>516</v>
      </c>
      <c r="V39" s="295">
        <f>SUM(V19:W32)</f>
        <v>774636.39999999991</v>
      </c>
      <c r="W39" s="295">
        <f>SUM(X19:Y32)</f>
        <v>1549272.7999999998</v>
      </c>
      <c r="X39" s="295">
        <f>SUM(Z19:AA32)</f>
        <v>2323909.1999999997</v>
      </c>
      <c r="Y39" s="295">
        <f>SUM(AB19:AC32)</f>
        <v>3098545.5999999996</v>
      </c>
    </row>
    <row r="40" spans="1:30">
      <c r="U40" t="s">
        <v>440</v>
      </c>
      <c r="V40" s="295">
        <f>(V39-V45)*22%+V45*8.41%</f>
        <v>160998.23087499998</v>
      </c>
      <c r="W40" s="295">
        <f t="shared" ref="W40:Y40" si="22">(W39-W45)*22%+W45*8.41%</f>
        <v>321996.46174999996</v>
      </c>
      <c r="X40" s="295">
        <f t="shared" si="22"/>
        <v>482994.69262499997</v>
      </c>
      <c r="Y40" s="295">
        <f t="shared" si="22"/>
        <v>643992.92349999992</v>
      </c>
    </row>
    <row r="41" spans="1:30">
      <c r="V41" s="295"/>
      <c r="W41" s="295"/>
      <c r="X41" s="295"/>
      <c r="Y41" s="295"/>
    </row>
    <row r="42" spans="1:30">
      <c r="U42" t="s">
        <v>517</v>
      </c>
      <c r="V42" s="295">
        <f>SUM(V10:W18)</f>
        <v>354324.65</v>
      </c>
      <c r="W42" s="295">
        <f>SUM(X10:Y18)</f>
        <v>708649.3</v>
      </c>
      <c r="X42" s="295">
        <f>SUM(Z10:AA18)</f>
        <v>1062973.95</v>
      </c>
      <c r="Y42" s="295">
        <f>SUM(AB10:AC18)</f>
        <v>1417298.6</v>
      </c>
    </row>
    <row r="43" spans="1:30">
      <c r="U43" t="s">
        <v>440</v>
      </c>
      <c r="V43" s="295">
        <f>(V42-V46)*22%+V46*8.41%</f>
        <v>72413.990637500014</v>
      </c>
      <c r="W43" s="295">
        <f t="shared" ref="W43:X43" si="23">(W42-W46)*22%+W46*8.41%</f>
        <v>144827.98127500003</v>
      </c>
      <c r="X43" s="295">
        <f t="shared" si="23"/>
        <v>217241.97191249998</v>
      </c>
      <c r="Y43" s="295">
        <f>(Y42-Y46)*22%+Y46*8.41%</f>
        <v>289655.96255000005</v>
      </c>
    </row>
    <row r="44" spans="1:30">
      <c r="V44" s="295"/>
      <c r="W44" s="295"/>
      <c r="X44" s="295"/>
      <c r="Y44" s="295"/>
    </row>
    <row r="45" spans="1:30">
      <c r="U45" t="s">
        <v>520</v>
      </c>
      <c r="V45" s="303">
        <f>SUM(V19:W19)/2+SUM(V21:W21,V24:W24)</f>
        <v>69328.75</v>
      </c>
      <c r="W45" s="303">
        <f>SUM(X19:Y19)/2+SUM(X21:Y21,X24:Y24)</f>
        <v>138657.5</v>
      </c>
      <c r="X45" s="303">
        <f>SUM(Z19:AA19)/2+SUM(Z21:AA21,Z24:AA24)</f>
        <v>207986.25</v>
      </c>
      <c r="Y45" s="303">
        <f>SUM(AB19:AC19)/2+SUM(AB21:AC21,AB24:AC24)</f>
        <v>277315</v>
      </c>
    </row>
    <row r="46" spans="1:30">
      <c r="U46" t="s">
        <v>521</v>
      </c>
      <c r="V46" s="295">
        <f>V14+W14</f>
        <v>40746.375</v>
      </c>
      <c r="W46" s="295">
        <f>X14+Y14</f>
        <v>81492.75</v>
      </c>
      <c r="X46" s="295">
        <f>Z14+AA14</f>
        <v>122239.125</v>
      </c>
      <c r="Y46" s="295">
        <f>AB14+AC14</f>
        <v>162985.5</v>
      </c>
    </row>
    <row r="47" spans="1:30">
      <c r="V47" s="295"/>
      <c r="W47" s="295"/>
      <c r="X47" s="295"/>
      <c r="Y47" s="295"/>
    </row>
    <row r="48" spans="1:30">
      <c r="U48" t="s">
        <v>518</v>
      </c>
      <c r="V48" s="295">
        <f>V39+V42</f>
        <v>1128961.0499999998</v>
      </c>
      <c r="W48" s="295">
        <f t="shared" ref="W48:Y48" si="24">W39+W42</f>
        <v>2257922.0999999996</v>
      </c>
      <c r="X48" s="295">
        <f t="shared" si="24"/>
        <v>3386883.1499999994</v>
      </c>
      <c r="Y48" s="295">
        <f t="shared" si="24"/>
        <v>4515844.1999999993</v>
      </c>
    </row>
    <row r="49" spans="21:25">
      <c r="U49" t="s">
        <v>519</v>
      </c>
      <c r="V49" s="295">
        <f>V40+V43</f>
        <v>233412.22151249999</v>
      </c>
      <c r="W49" s="295">
        <f t="shared" ref="W49:Y49" si="25">W40+W43</f>
        <v>466824.44302499999</v>
      </c>
      <c r="X49" s="295">
        <f t="shared" si="25"/>
        <v>700236.66453749989</v>
      </c>
      <c r="Y49" s="295">
        <f t="shared" si="25"/>
        <v>933648.88604999997</v>
      </c>
    </row>
    <row r="51" spans="21:25">
      <c r="U51" t="s">
        <v>522</v>
      </c>
    </row>
    <row r="53" spans="21:25">
      <c r="U53" t="s">
        <v>523</v>
      </c>
    </row>
    <row r="54" spans="21:25">
      <c r="U54" t="s">
        <v>270</v>
      </c>
      <c r="V54" s="295">
        <f>AD10</f>
        <v>272133</v>
      </c>
      <c r="X54" s="300">
        <f>V54/4*3</f>
        <v>204099.75</v>
      </c>
    </row>
    <row r="55" spans="21:25">
      <c r="U55" t="s">
        <v>524</v>
      </c>
      <c r="V55" s="295">
        <f>Y42-V54</f>
        <v>1145165.6000000001</v>
      </c>
      <c r="X55" s="300">
        <f t="shared" ref="X55:X56" si="26">V55/4*3</f>
        <v>858874.20000000007</v>
      </c>
    </row>
    <row r="56" spans="21:25">
      <c r="U56" t="s">
        <v>271</v>
      </c>
      <c r="V56" s="295">
        <f>Y39</f>
        <v>3098545.5999999996</v>
      </c>
      <c r="X56" s="300">
        <f t="shared" si="26"/>
        <v>2323909.1999999997</v>
      </c>
    </row>
    <row r="57" spans="21:25">
      <c r="V57" s="295"/>
    </row>
    <row r="58" spans="21:25">
      <c r="U58" t="s">
        <v>525</v>
      </c>
      <c r="V58" s="295"/>
    </row>
    <row r="59" spans="21:25">
      <c r="U59" t="s">
        <v>270</v>
      </c>
      <c r="V59" s="295">
        <f>V54*1.22</f>
        <v>332002.26</v>
      </c>
      <c r="X59" s="300">
        <f>V59/4*3</f>
        <v>249001.69500000001</v>
      </c>
    </row>
    <row r="60" spans="21:25">
      <c r="U60" t="s">
        <v>524</v>
      </c>
      <c r="V60" s="295">
        <f>Y42+Y43-V59</f>
        <v>1374952.3025500001</v>
      </c>
      <c r="X60" s="300">
        <f t="shared" ref="X60:X61" si="27">V60/4*3</f>
        <v>1031214.2269125001</v>
      </c>
    </row>
    <row r="61" spans="21:25">
      <c r="U61" t="s">
        <v>271</v>
      </c>
      <c r="V61" s="295">
        <f>Y39+Y40</f>
        <v>3742538.5234999997</v>
      </c>
      <c r="X61" s="300">
        <f t="shared" si="27"/>
        <v>2806903.8926249999</v>
      </c>
    </row>
    <row r="62" spans="21:25">
      <c r="V62" s="295"/>
    </row>
    <row r="63" spans="21:25">
      <c r="U63" t="s">
        <v>526</v>
      </c>
      <c r="V63" s="295"/>
    </row>
    <row r="64" spans="21:25">
      <c r="U64" t="s">
        <v>270</v>
      </c>
      <c r="V64" s="295">
        <f>D10</f>
        <v>17325</v>
      </c>
      <c r="X64" s="300">
        <f>V64/4*3</f>
        <v>12993.75</v>
      </c>
    </row>
    <row r="65" spans="20:24">
      <c r="T65">
        <v>8</v>
      </c>
      <c r="U65" t="s">
        <v>524</v>
      </c>
      <c r="V65" s="295">
        <f>(D11+D12+D13+D14+D15+D16+D17+D18)/8</f>
        <v>9327.75</v>
      </c>
      <c r="X65" s="300">
        <f t="shared" ref="X65:X66" si="28">V65/4*3</f>
        <v>6995.8125</v>
      </c>
    </row>
    <row r="66" spans="20:24">
      <c r="T66">
        <v>32</v>
      </c>
      <c r="U66" t="s">
        <v>271</v>
      </c>
      <c r="V66" s="295">
        <f>SUM(E19:E32)/32</f>
        <v>2580.09375</v>
      </c>
      <c r="X66" s="300">
        <f t="shared" si="28"/>
        <v>1935.0703125</v>
      </c>
    </row>
    <row r="67" spans="20:24">
      <c r="V67" s="295"/>
    </row>
    <row r="68" spans="20:24">
      <c r="U68" t="s">
        <v>527</v>
      </c>
      <c r="V68" s="295"/>
    </row>
    <row r="69" spans="20:24">
      <c r="U69" t="s">
        <v>270</v>
      </c>
      <c r="V69" s="295">
        <f>AD10/12</f>
        <v>22677.75</v>
      </c>
      <c r="X69" s="300">
        <f>V69/4*3</f>
        <v>17008.3125</v>
      </c>
    </row>
    <row r="70" spans="20:24">
      <c r="U70" t="s">
        <v>524</v>
      </c>
      <c r="V70" s="295">
        <f>(AD11+AD12+AD13+AD14+AD15+AD16+AD17+AD18)/12/8</f>
        <v>11928.808333333334</v>
      </c>
      <c r="X70" s="300">
        <f t="shared" ref="X70:X71" si="29">V70/4*3</f>
        <v>8946.6062500000007</v>
      </c>
    </row>
    <row r="71" spans="20:24">
      <c r="U71" t="s">
        <v>271</v>
      </c>
      <c r="V71" s="295">
        <f>SUM(AD19:AD32)/12/32</f>
        <v>8069.1291666666657</v>
      </c>
      <c r="X71" s="300">
        <f t="shared" si="29"/>
        <v>6051.8468749999993</v>
      </c>
    </row>
  </sheetData>
  <mergeCells count="23">
    <mergeCell ref="A3:J3"/>
    <mergeCell ref="A4:J4"/>
    <mergeCell ref="A5:J5"/>
    <mergeCell ref="A6:A9"/>
    <mergeCell ref="B6:B9"/>
    <mergeCell ref="C6:C9"/>
    <mergeCell ref="D6:D9"/>
    <mergeCell ref="E6:E9"/>
    <mergeCell ref="F6:F9"/>
    <mergeCell ref="G6:G9"/>
    <mergeCell ref="H6:H9"/>
    <mergeCell ref="I6:I9"/>
    <mergeCell ref="J6:J9"/>
    <mergeCell ref="K6:K9"/>
    <mergeCell ref="S6:S9"/>
    <mergeCell ref="T6:T9"/>
    <mergeCell ref="M6:M9"/>
    <mergeCell ref="P6:P9"/>
    <mergeCell ref="R6:R9"/>
    <mergeCell ref="L6:L9"/>
    <mergeCell ref="N6:N9"/>
    <mergeCell ref="O6:O9"/>
    <mergeCell ref="Q6:Q9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E65"/>
  <sheetViews>
    <sheetView view="pageBreakPreview" topLeftCell="A13" zoomScale="70" zoomScaleNormal="60" zoomScaleSheetLayoutView="70" workbookViewId="0">
      <selection activeCell="B29" sqref="B29:F29"/>
    </sheetView>
  </sheetViews>
  <sheetFormatPr defaultColWidth="9.140625" defaultRowHeight="18.75"/>
  <cols>
    <col min="1" max="1" width="4.42578125" style="1" customWidth="1"/>
    <col min="2" max="2" width="28.7109375" style="1" customWidth="1"/>
    <col min="3" max="6" width="11.28515625" style="1" customWidth="1"/>
    <col min="7" max="31" width="11" style="1" customWidth="1"/>
    <col min="32" max="16384" width="9.140625" style="1"/>
  </cols>
  <sheetData>
    <row r="1" spans="1:3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Q1" s="29"/>
      <c r="R1" s="29"/>
      <c r="S1" s="29"/>
      <c r="T1" s="29"/>
      <c r="U1" s="29"/>
      <c r="AB1" s="497"/>
      <c r="AC1" s="498"/>
      <c r="AD1" s="498"/>
      <c r="AE1" s="498"/>
    </row>
    <row r="2" spans="1:31" ht="18.75" customHeight="1">
      <c r="B2" s="39" t="s">
        <v>254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</row>
    <row r="3" spans="1:3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</row>
    <row r="4" spans="1:31" ht="18.75" customHeight="1">
      <c r="A4" s="376" t="s">
        <v>55</v>
      </c>
      <c r="B4" s="376" t="s">
        <v>209</v>
      </c>
      <c r="C4" s="467" t="s">
        <v>210</v>
      </c>
      <c r="D4" s="468"/>
      <c r="E4" s="468"/>
      <c r="F4" s="469"/>
      <c r="G4" s="467" t="s">
        <v>343</v>
      </c>
      <c r="H4" s="468"/>
      <c r="I4" s="468"/>
      <c r="J4" s="468"/>
      <c r="K4" s="468"/>
      <c r="L4" s="469"/>
      <c r="M4" s="467" t="s">
        <v>211</v>
      </c>
      <c r="N4" s="468"/>
      <c r="O4" s="468"/>
      <c r="P4" s="469"/>
      <c r="Q4" s="407" t="s">
        <v>301</v>
      </c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8"/>
      <c r="AC4" s="408"/>
      <c r="AD4" s="408"/>
      <c r="AE4" s="409"/>
    </row>
    <row r="5" spans="1:31" ht="48.75" customHeight="1">
      <c r="A5" s="377"/>
      <c r="B5" s="377"/>
      <c r="C5" s="470"/>
      <c r="D5" s="471"/>
      <c r="E5" s="471"/>
      <c r="F5" s="472"/>
      <c r="G5" s="470"/>
      <c r="H5" s="471"/>
      <c r="I5" s="471"/>
      <c r="J5" s="471"/>
      <c r="K5" s="471"/>
      <c r="L5" s="472"/>
      <c r="M5" s="470"/>
      <c r="N5" s="471"/>
      <c r="O5" s="471"/>
      <c r="P5" s="472"/>
      <c r="Q5" s="404" t="s">
        <v>212</v>
      </c>
      <c r="R5" s="405"/>
      <c r="S5" s="406"/>
      <c r="T5" s="404" t="s">
        <v>213</v>
      </c>
      <c r="U5" s="405"/>
      <c r="V5" s="406"/>
      <c r="W5" s="404" t="s">
        <v>43</v>
      </c>
      <c r="X5" s="405"/>
      <c r="Y5" s="406"/>
      <c r="Z5" s="407" t="s">
        <v>214</v>
      </c>
      <c r="AA5" s="408"/>
      <c r="AB5" s="409"/>
      <c r="AC5" s="407" t="s">
        <v>215</v>
      </c>
      <c r="AD5" s="408"/>
      <c r="AE5" s="409"/>
    </row>
    <row r="6" spans="1:31" ht="18" customHeight="1">
      <c r="A6" s="64">
        <v>1</v>
      </c>
      <c r="B6" s="65">
        <v>2</v>
      </c>
      <c r="C6" s="464">
        <v>3</v>
      </c>
      <c r="D6" s="465"/>
      <c r="E6" s="465"/>
      <c r="F6" s="466"/>
      <c r="G6" s="464">
        <v>4</v>
      </c>
      <c r="H6" s="465"/>
      <c r="I6" s="465"/>
      <c r="J6" s="465"/>
      <c r="K6" s="465"/>
      <c r="L6" s="466"/>
      <c r="M6" s="464">
        <v>5</v>
      </c>
      <c r="N6" s="465"/>
      <c r="O6" s="465"/>
      <c r="P6" s="466"/>
      <c r="Q6" s="464">
        <v>6</v>
      </c>
      <c r="R6" s="465"/>
      <c r="S6" s="466"/>
      <c r="T6" s="464">
        <v>7</v>
      </c>
      <c r="U6" s="465"/>
      <c r="V6" s="466"/>
      <c r="W6" s="461">
        <v>8</v>
      </c>
      <c r="X6" s="462"/>
      <c r="Y6" s="463"/>
      <c r="Z6" s="461">
        <v>9</v>
      </c>
      <c r="AA6" s="462"/>
      <c r="AB6" s="463"/>
      <c r="AC6" s="461">
        <v>10</v>
      </c>
      <c r="AD6" s="462"/>
      <c r="AE6" s="463"/>
    </row>
    <row r="7" spans="1:31" ht="41.25" customHeight="1">
      <c r="A7" s="234">
        <v>1</v>
      </c>
      <c r="B7" s="235" t="s">
        <v>398</v>
      </c>
      <c r="C7" s="404">
        <v>2006</v>
      </c>
      <c r="D7" s="405"/>
      <c r="E7" s="405"/>
      <c r="F7" s="406"/>
      <c r="G7" s="473" t="s">
        <v>401</v>
      </c>
      <c r="H7" s="474"/>
      <c r="I7" s="474"/>
      <c r="J7" s="474"/>
      <c r="K7" s="474"/>
      <c r="L7" s="475"/>
      <c r="M7" s="476">
        <f>Q7+Z7</f>
        <v>61</v>
      </c>
      <c r="N7" s="477"/>
      <c r="O7" s="477"/>
      <c r="P7" s="478"/>
      <c r="Q7" s="458">
        <v>55</v>
      </c>
      <c r="R7" s="459"/>
      <c r="S7" s="460"/>
      <c r="T7" s="452"/>
      <c r="U7" s="453"/>
      <c r="V7" s="454"/>
      <c r="W7" s="452"/>
      <c r="X7" s="453"/>
      <c r="Y7" s="454"/>
      <c r="Z7" s="458">
        <v>6</v>
      </c>
      <c r="AA7" s="459"/>
      <c r="AB7" s="460"/>
      <c r="AC7" s="452"/>
      <c r="AD7" s="453"/>
      <c r="AE7" s="454"/>
    </row>
    <row r="8" spans="1:31" ht="41.25" customHeight="1">
      <c r="A8" s="234">
        <v>2</v>
      </c>
      <c r="B8" s="235" t="s">
        <v>399</v>
      </c>
      <c r="C8" s="404">
        <v>1996</v>
      </c>
      <c r="D8" s="405"/>
      <c r="E8" s="405"/>
      <c r="F8" s="406"/>
      <c r="G8" s="473" t="s">
        <v>401</v>
      </c>
      <c r="H8" s="474"/>
      <c r="I8" s="474"/>
      <c r="J8" s="474"/>
      <c r="K8" s="474"/>
      <c r="L8" s="475"/>
      <c r="M8" s="476">
        <f t="shared" ref="M8:M10" si="0">Q8+Z8</f>
        <v>23</v>
      </c>
      <c r="N8" s="477"/>
      <c r="O8" s="477"/>
      <c r="P8" s="478"/>
      <c r="Q8" s="458">
        <v>21</v>
      </c>
      <c r="R8" s="459"/>
      <c r="S8" s="460"/>
      <c r="T8" s="452"/>
      <c r="U8" s="453"/>
      <c r="V8" s="454"/>
      <c r="W8" s="452"/>
      <c r="X8" s="453"/>
      <c r="Y8" s="454"/>
      <c r="Z8" s="458">
        <v>2</v>
      </c>
      <c r="AA8" s="459"/>
      <c r="AB8" s="460"/>
      <c r="AC8" s="452"/>
      <c r="AD8" s="453"/>
      <c r="AE8" s="454"/>
    </row>
    <row r="9" spans="1:31" ht="41.25" customHeight="1">
      <c r="A9" s="234">
        <v>3</v>
      </c>
      <c r="B9" s="235" t="s">
        <v>400</v>
      </c>
      <c r="C9" s="404">
        <v>2011</v>
      </c>
      <c r="D9" s="405"/>
      <c r="E9" s="405"/>
      <c r="F9" s="406"/>
      <c r="G9" s="473" t="s">
        <v>401</v>
      </c>
      <c r="H9" s="474"/>
      <c r="I9" s="474"/>
      <c r="J9" s="474"/>
      <c r="K9" s="474"/>
      <c r="L9" s="475"/>
      <c r="M9" s="476">
        <f t="shared" si="0"/>
        <v>68</v>
      </c>
      <c r="N9" s="477"/>
      <c r="O9" s="477"/>
      <c r="P9" s="478"/>
      <c r="Q9" s="458">
        <v>60</v>
      </c>
      <c r="R9" s="459"/>
      <c r="S9" s="460"/>
      <c r="T9" s="452"/>
      <c r="U9" s="453"/>
      <c r="V9" s="454"/>
      <c r="W9" s="452"/>
      <c r="X9" s="453"/>
      <c r="Y9" s="454"/>
      <c r="Z9" s="458">
        <v>8</v>
      </c>
      <c r="AA9" s="459"/>
      <c r="AB9" s="460"/>
      <c r="AC9" s="452"/>
      <c r="AD9" s="453"/>
      <c r="AE9" s="454"/>
    </row>
    <row r="10" spans="1:31" ht="42" customHeight="1">
      <c r="A10" s="234">
        <v>4</v>
      </c>
      <c r="B10" s="235" t="s">
        <v>465</v>
      </c>
      <c r="C10" s="404">
        <v>2016</v>
      </c>
      <c r="D10" s="405"/>
      <c r="E10" s="405"/>
      <c r="F10" s="406"/>
      <c r="G10" s="473" t="s">
        <v>401</v>
      </c>
      <c r="H10" s="474"/>
      <c r="I10" s="474"/>
      <c r="J10" s="474"/>
      <c r="K10" s="474"/>
      <c r="L10" s="475"/>
      <c r="M10" s="476">
        <f t="shared" si="0"/>
        <v>50</v>
      </c>
      <c r="N10" s="477"/>
      <c r="O10" s="477"/>
      <c r="P10" s="478"/>
      <c r="Q10" s="458">
        <v>41</v>
      </c>
      <c r="R10" s="459"/>
      <c r="S10" s="460"/>
      <c r="T10" s="452"/>
      <c r="U10" s="453"/>
      <c r="V10" s="454"/>
      <c r="W10" s="452"/>
      <c r="X10" s="453"/>
      <c r="Y10" s="454"/>
      <c r="Z10" s="458">
        <v>9</v>
      </c>
      <c r="AA10" s="459"/>
      <c r="AB10" s="460"/>
      <c r="AC10" s="452"/>
      <c r="AD10" s="453"/>
      <c r="AE10" s="454"/>
    </row>
    <row r="11" spans="1:31" ht="20.100000000000001" customHeight="1">
      <c r="A11" s="479" t="s">
        <v>60</v>
      </c>
      <c r="B11" s="480"/>
      <c r="C11" s="480"/>
      <c r="D11" s="480"/>
      <c r="E11" s="480"/>
      <c r="F11" s="480"/>
      <c r="G11" s="480"/>
      <c r="H11" s="480"/>
      <c r="I11" s="480"/>
      <c r="J11" s="480"/>
      <c r="K11" s="480"/>
      <c r="L11" s="481"/>
      <c r="M11" s="455">
        <f>SUM(M7:P10)</f>
        <v>202</v>
      </c>
      <c r="N11" s="456"/>
      <c r="O11" s="456"/>
      <c r="P11" s="457"/>
      <c r="Q11" s="455">
        <f>SUM(Q7:S10)</f>
        <v>177</v>
      </c>
      <c r="R11" s="456"/>
      <c r="S11" s="457"/>
      <c r="T11" s="455">
        <f>SUM(T7:V10)</f>
        <v>0</v>
      </c>
      <c r="U11" s="456"/>
      <c r="V11" s="457"/>
      <c r="W11" s="455">
        <f>SUM(W7:Y10)</f>
        <v>0</v>
      </c>
      <c r="X11" s="456"/>
      <c r="Y11" s="457"/>
      <c r="Z11" s="455">
        <f>SUM(Z7:AB10)</f>
        <v>25</v>
      </c>
      <c r="AA11" s="456"/>
      <c r="AB11" s="457"/>
      <c r="AC11" s="455">
        <f>SUM(AC7:AE10)</f>
        <v>0</v>
      </c>
      <c r="AD11" s="456"/>
      <c r="AE11" s="457"/>
    </row>
    <row r="12" spans="1:31" ht="18.75" customHeigh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4"/>
      <c r="N12" s="34"/>
      <c r="O12" s="34"/>
      <c r="P12" s="34"/>
      <c r="Q12" s="55"/>
      <c r="R12" s="55"/>
      <c r="S12" s="55"/>
      <c r="T12" s="55"/>
      <c r="U12" s="55"/>
      <c r="V12" s="55"/>
      <c r="W12" s="56"/>
      <c r="X12" s="56"/>
      <c r="Y12" s="56"/>
      <c r="Z12" s="56"/>
      <c r="AA12" s="56"/>
      <c r="AB12" s="56"/>
      <c r="AC12" s="56"/>
      <c r="AD12" s="56"/>
      <c r="AE12" s="56"/>
    </row>
    <row r="13" spans="1:31" s="39" customFormat="1" ht="18.75" customHeight="1">
      <c r="B13" s="39" t="s">
        <v>255</v>
      </c>
    </row>
    <row r="14" spans="1:31" s="39" customFormat="1" ht="18.75" customHeight="1"/>
    <row r="15" spans="1:31" ht="18.75" customHeight="1">
      <c r="A15" s="365" t="s">
        <v>55</v>
      </c>
      <c r="B15" s="365" t="s">
        <v>216</v>
      </c>
      <c r="C15" s="346" t="s">
        <v>209</v>
      </c>
      <c r="D15" s="346"/>
      <c r="E15" s="346"/>
      <c r="F15" s="346"/>
      <c r="G15" s="346" t="s">
        <v>343</v>
      </c>
      <c r="H15" s="346"/>
      <c r="I15" s="346"/>
      <c r="J15" s="346"/>
      <c r="K15" s="346"/>
      <c r="L15" s="346"/>
      <c r="M15" s="346"/>
      <c r="N15" s="346"/>
      <c r="O15" s="346"/>
      <c r="P15" s="346"/>
      <c r="Q15" s="346" t="s">
        <v>217</v>
      </c>
      <c r="R15" s="346"/>
      <c r="S15" s="346"/>
      <c r="T15" s="346"/>
      <c r="U15" s="346"/>
      <c r="V15" s="350" t="s">
        <v>218</v>
      </c>
      <c r="W15" s="350"/>
      <c r="X15" s="350"/>
      <c r="Y15" s="350"/>
      <c r="Z15" s="350"/>
      <c r="AA15" s="350"/>
      <c r="AB15" s="350"/>
      <c r="AC15" s="350"/>
      <c r="AD15" s="350"/>
      <c r="AE15" s="350"/>
    </row>
    <row r="16" spans="1:31" ht="18.75" customHeight="1">
      <c r="A16" s="365"/>
      <c r="B16" s="365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50" t="s">
        <v>219</v>
      </c>
      <c r="W16" s="350"/>
      <c r="X16" s="350" t="s">
        <v>105</v>
      </c>
      <c r="Y16" s="350"/>
      <c r="Z16" s="350"/>
      <c r="AA16" s="350"/>
      <c r="AB16" s="350"/>
      <c r="AC16" s="350"/>
      <c r="AD16" s="350"/>
      <c r="AE16" s="350"/>
    </row>
    <row r="17" spans="1:31" ht="18.75" customHeight="1">
      <c r="A17" s="365"/>
      <c r="B17" s="365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50"/>
      <c r="W17" s="350"/>
      <c r="X17" s="350" t="s">
        <v>374</v>
      </c>
      <c r="Y17" s="350"/>
      <c r="Z17" s="350" t="s">
        <v>366</v>
      </c>
      <c r="AA17" s="350"/>
      <c r="AB17" s="350" t="s">
        <v>367</v>
      </c>
      <c r="AC17" s="350"/>
      <c r="AD17" s="350" t="s">
        <v>86</v>
      </c>
      <c r="AE17" s="350"/>
    </row>
    <row r="18" spans="1:31" ht="18" customHeight="1">
      <c r="A18" s="64">
        <v>1</v>
      </c>
      <c r="B18" s="64">
        <v>2</v>
      </c>
      <c r="C18" s="451">
        <v>3</v>
      </c>
      <c r="D18" s="451"/>
      <c r="E18" s="451"/>
      <c r="F18" s="451"/>
      <c r="G18" s="451">
        <v>4</v>
      </c>
      <c r="H18" s="451"/>
      <c r="I18" s="451"/>
      <c r="J18" s="451"/>
      <c r="K18" s="451"/>
      <c r="L18" s="451"/>
      <c r="M18" s="451"/>
      <c r="N18" s="451"/>
      <c r="O18" s="451"/>
      <c r="P18" s="451"/>
      <c r="Q18" s="451">
        <v>5</v>
      </c>
      <c r="R18" s="451"/>
      <c r="S18" s="451"/>
      <c r="T18" s="451"/>
      <c r="U18" s="451"/>
      <c r="V18" s="451">
        <v>6</v>
      </c>
      <c r="W18" s="451"/>
      <c r="X18" s="482">
        <v>7</v>
      </c>
      <c r="Y18" s="482"/>
      <c r="Z18" s="482">
        <v>8</v>
      </c>
      <c r="AA18" s="482"/>
      <c r="AB18" s="482">
        <v>9</v>
      </c>
      <c r="AC18" s="482"/>
      <c r="AD18" s="482">
        <v>10</v>
      </c>
      <c r="AE18" s="482"/>
    </row>
    <row r="19" spans="1:31" ht="20.100000000000001" customHeight="1">
      <c r="A19" s="86"/>
      <c r="B19" s="81"/>
      <c r="C19" s="484"/>
      <c r="D19" s="484"/>
      <c r="E19" s="484"/>
      <c r="F19" s="484"/>
      <c r="G19" s="485"/>
      <c r="H19" s="485"/>
      <c r="I19" s="485"/>
      <c r="J19" s="485"/>
      <c r="K19" s="485"/>
      <c r="L19" s="485"/>
      <c r="M19" s="485"/>
      <c r="N19" s="485"/>
      <c r="O19" s="485"/>
      <c r="P19" s="485"/>
      <c r="Q19" s="486"/>
      <c r="R19" s="486"/>
      <c r="S19" s="486"/>
      <c r="T19" s="486"/>
      <c r="U19" s="486"/>
      <c r="V19" s="487">
        <f>SUM(X19,Z19,AB19,AD19)</f>
        <v>0</v>
      </c>
      <c r="W19" s="487"/>
      <c r="X19" s="483"/>
      <c r="Y19" s="483"/>
      <c r="Z19" s="483"/>
      <c r="AA19" s="483"/>
      <c r="AB19" s="483"/>
      <c r="AC19" s="483"/>
      <c r="AD19" s="483"/>
      <c r="AE19" s="483"/>
    </row>
    <row r="20" spans="1:31" ht="20.100000000000001" customHeight="1">
      <c r="A20" s="86"/>
      <c r="B20" s="81"/>
      <c r="C20" s="484"/>
      <c r="D20" s="484"/>
      <c r="E20" s="484"/>
      <c r="F20" s="484"/>
      <c r="G20" s="485"/>
      <c r="H20" s="485"/>
      <c r="I20" s="485"/>
      <c r="J20" s="485"/>
      <c r="K20" s="485"/>
      <c r="L20" s="485"/>
      <c r="M20" s="485"/>
      <c r="N20" s="485"/>
      <c r="O20" s="485"/>
      <c r="P20" s="485"/>
      <c r="Q20" s="486"/>
      <c r="R20" s="486"/>
      <c r="S20" s="486"/>
      <c r="T20" s="486"/>
      <c r="U20" s="486"/>
      <c r="V20" s="487">
        <f>SUM(X20,Z20,AB20,AD20)</f>
        <v>0</v>
      </c>
      <c r="W20" s="487"/>
      <c r="X20" s="483"/>
      <c r="Y20" s="483"/>
      <c r="Z20" s="483"/>
      <c r="AA20" s="483"/>
      <c r="AB20" s="483"/>
      <c r="AC20" s="483"/>
      <c r="AD20" s="483"/>
      <c r="AE20" s="483"/>
    </row>
    <row r="21" spans="1:31" ht="20.100000000000001" customHeight="1">
      <c r="A21" s="365" t="s">
        <v>60</v>
      </c>
      <c r="B21" s="365"/>
      <c r="C21" s="365"/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65"/>
      <c r="S21" s="365"/>
      <c r="T21" s="365"/>
      <c r="U21" s="365"/>
      <c r="V21" s="448">
        <f>SUM(V19:W20)</f>
        <v>0</v>
      </c>
      <c r="W21" s="448"/>
      <c r="X21" s="448">
        <f>SUM(X19:Y20)</f>
        <v>0</v>
      </c>
      <c r="Y21" s="448"/>
      <c r="Z21" s="448">
        <f>SUM(Z19:AA20)</f>
        <v>0</v>
      </c>
      <c r="AA21" s="448"/>
      <c r="AB21" s="448">
        <f>SUM(AB19:AC20)</f>
        <v>0</v>
      </c>
      <c r="AC21" s="448"/>
      <c r="AD21" s="448">
        <f>SUM(AD19:AE20)</f>
        <v>0</v>
      </c>
      <c r="AE21" s="448"/>
    </row>
    <row r="22" spans="1:3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Q22" s="29"/>
      <c r="R22" s="29"/>
      <c r="S22" s="29"/>
      <c r="T22" s="29"/>
      <c r="U22" s="29"/>
      <c r="AE22" s="29"/>
    </row>
    <row r="23" spans="1:31" s="39" customFormat="1" ht="18.75" customHeight="1">
      <c r="B23" s="39" t="s">
        <v>232</v>
      </c>
    </row>
    <row r="24" spans="1:31" ht="26.25">
      <c r="A24" s="26"/>
      <c r="B24" s="26"/>
      <c r="C24" s="26"/>
      <c r="D24" s="26"/>
      <c r="E24" s="26"/>
      <c r="F24" s="26"/>
      <c r="G24" s="26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26"/>
      <c r="AD24" s="174" t="s">
        <v>252</v>
      </c>
    </row>
    <row r="25" spans="1:31" ht="30" customHeight="1">
      <c r="A25" s="346" t="s">
        <v>55</v>
      </c>
      <c r="B25" s="346" t="s">
        <v>256</v>
      </c>
      <c r="C25" s="346"/>
      <c r="D25" s="346"/>
      <c r="E25" s="346"/>
      <c r="F25" s="346"/>
      <c r="G25" s="404" t="s">
        <v>59</v>
      </c>
      <c r="H25" s="405"/>
      <c r="I25" s="405"/>
      <c r="J25" s="406"/>
      <c r="K25" s="404" t="s">
        <v>96</v>
      </c>
      <c r="L25" s="405"/>
      <c r="M25" s="405"/>
      <c r="N25" s="406"/>
      <c r="O25" s="404" t="s">
        <v>303</v>
      </c>
      <c r="P25" s="405"/>
      <c r="Q25" s="405"/>
      <c r="R25" s="406"/>
      <c r="S25" s="404" t="s">
        <v>141</v>
      </c>
      <c r="T25" s="405"/>
      <c r="U25" s="405"/>
      <c r="V25" s="406"/>
      <c r="W25" s="404" t="s">
        <v>60</v>
      </c>
      <c r="X25" s="405"/>
      <c r="Y25" s="405"/>
      <c r="Z25" s="406"/>
    </row>
    <row r="26" spans="1:31" ht="30" customHeight="1">
      <c r="A26" s="346"/>
      <c r="B26" s="346"/>
      <c r="C26" s="346"/>
      <c r="D26" s="346"/>
      <c r="E26" s="346"/>
      <c r="F26" s="346"/>
      <c r="G26" s="404" t="s">
        <v>105</v>
      </c>
      <c r="H26" s="405"/>
      <c r="I26" s="405"/>
      <c r="J26" s="406"/>
      <c r="K26" s="404" t="s">
        <v>105</v>
      </c>
      <c r="L26" s="405"/>
      <c r="M26" s="405"/>
      <c r="N26" s="406"/>
      <c r="O26" s="404" t="s">
        <v>105</v>
      </c>
      <c r="P26" s="405"/>
      <c r="Q26" s="405"/>
      <c r="R26" s="406"/>
      <c r="S26" s="404" t="s">
        <v>105</v>
      </c>
      <c r="T26" s="405"/>
      <c r="U26" s="405"/>
      <c r="V26" s="406"/>
      <c r="W26" s="404" t="s">
        <v>105</v>
      </c>
      <c r="X26" s="405"/>
      <c r="Y26" s="405"/>
      <c r="Z26" s="406"/>
    </row>
    <row r="27" spans="1:31" ht="39.950000000000003" customHeight="1">
      <c r="A27" s="346"/>
      <c r="B27" s="346"/>
      <c r="C27" s="346"/>
      <c r="D27" s="346"/>
      <c r="E27" s="346"/>
      <c r="F27" s="346"/>
      <c r="G27" s="7" t="s">
        <v>375</v>
      </c>
      <c r="H27" s="7" t="s">
        <v>366</v>
      </c>
      <c r="I27" s="7" t="s">
        <v>367</v>
      </c>
      <c r="J27" s="7" t="s">
        <v>86</v>
      </c>
      <c r="K27" s="7" t="s">
        <v>375</v>
      </c>
      <c r="L27" s="7" t="s">
        <v>366</v>
      </c>
      <c r="M27" s="7" t="s">
        <v>367</v>
      </c>
      <c r="N27" s="7" t="s">
        <v>86</v>
      </c>
      <c r="O27" s="7" t="s">
        <v>375</v>
      </c>
      <c r="P27" s="7" t="s">
        <v>366</v>
      </c>
      <c r="Q27" s="7" t="s">
        <v>367</v>
      </c>
      <c r="R27" s="7" t="s">
        <v>86</v>
      </c>
      <c r="S27" s="7" t="s">
        <v>375</v>
      </c>
      <c r="T27" s="7" t="s">
        <v>366</v>
      </c>
      <c r="U27" s="7" t="s">
        <v>367</v>
      </c>
      <c r="V27" s="7" t="s">
        <v>86</v>
      </c>
      <c r="W27" s="7" t="s">
        <v>375</v>
      </c>
      <c r="X27" s="7" t="s">
        <v>366</v>
      </c>
      <c r="Y27" s="7" t="s">
        <v>367</v>
      </c>
      <c r="Z27" s="7" t="s">
        <v>86</v>
      </c>
    </row>
    <row r="28" spans="1:31" ht="18" customHeight="1">
      <c r="A28" s="7"/>
      <c r="B28" s="346">
        <v>2</v>
      </c>
      <c r="C28" s="346"/>
      <c r="D28" s="346"/>
      <c r="E28" s="346"/>
      <c r="F28" s="346"/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7">
        <v>11</v>
      </c>
      <c r="P28" s="7">
        <v>12</v>
      </c>
      <c r="Q28" s="7">
        <v>13</v>
      </c>
      <c r="R28" s="7">
        <v>14</v>
      </c>
      <c r="S28" s="7">
        <v>15</v>
      </c>
      <c r="T28" s="7">
        <v>16</v>
      </c>
      <c r="U28" s="7">
        <v>17</v>
      </c>
      <c r="V28" s="7">
        <v>18</v>
      </c>
      <c r="W28" s="7">
        <v>19</v>
      </c>
      <c r="X28" s="7">
        <v>20</v>
      </c>
      <c r="Y28" s="7">
        <v>21</v>
      </c>
      <c r="Z28" s="6">
        <v>22</v>
      </c>
    </row>
    <row r="29" spans="1:31" ht="19.5" customHeight="1">
      <c r="A29" s="258">
        <v>1</v>
      </c>
      <c r="B29" s="494"/>
      <c r="C29" s="495"/>
      <c r="D29" s="495"/>
      <c r="E29" s="495"/>
      <c r="F29" s="496"/>
      <c r="G29" s="265"/>
      <c r="H29" s="265"/>
      <c r="I29" s="265"/>
      <c r="J29" s="265"/>
      <c r="K29" s="172">
        <f>'IV. Кап. інвестиції'!F8</f>
        <v>0</v>
      </c>
      <c r="L29" s="172">
        <f>'IV. Кап. інвестиції'!G8</f>
        <v>0</v>
      </c>
      <c r="M29" s="172">
        <f>'IV. Кап. інвестиції'!H8</f>
        <v>0</v>
      </c>
      <c r="N29" s="172">
        <f>'IV. Кап. інвестиції'!I8</f>
        <v>0</v>
      </c>
      <c r="O29" s="258"/>
      <c r="P29" s="258"/>
      <c r="Q29" s="258"/>
      <c r="R29" s="258"/>
      <c r="S29" s="258"/>
      <c r="T29" s="258"/>
      <c r="U29" s="258"/>
      <c r="V29" s="258"/>
      <c r="W29" s="232">
        <f t="shared" ref="W29:W30" si="1">SUM(G29,K29,O29,S29)</f>
        <v>0</v>
      </c>
      <c r="X29" s="232">
        <f t="shared" ref="X29" si="2">SUM(H29,L29,P29,T29)</f>
        <v>0</v>
      </c>
      <c r="Y29" s="232">
        <f t="shared" ref="Y29" si="3">SUM(I29,M29,Q29,U29)</f>
        <v>0</v>
      </c>
      <c r="Z29" s="232">
        <f t="shared" ref="Z29" si="4">SUM(J29,N29,R29,V29)</f>
        <v>0</v>
      </c>
    </row>
    <row r="30" spans="1:31" ht="21.75" customHeight="1">
      <c r="A30" s="84">
        <v>2</v>
      </c>
      <c r="B30" s="491"/>
      <c r="C30" s="492"/>
      <c r="D30" s="492"/>
      <c r="E30" s="492"/>
      <c r="F30" s="493"/>
      <c r="G30" s="233"/>
      <c r="H30" s="233"/>
      <c r="I30" s="233"/>
      <c r="J30" s="233"/>
      <c r="K30" s="232"/>
      <c r="L30" s="232"/>
      <c r="M30" s="232"/>
      <c r="N30" s="232"/>
      <c r="O30" s="76"/>
      <c r="P30" s="76"/>
      <c r="Q30" s="76"/>
      <c r="R30" s="76"/>
      <c r="S30" s="76"/>
      <c r="T30" s="76"/>
      <c r="U30" s="76"/>
      <c r="V30" s="76"/>
      <c r="W30" s="232">
        <f t="shared" si="1"/>
        <v>0</v>
      </c>
      <c r="X30" s="232">
        <f t="shared" ref="X30" si="5">SUM(H30,L30,P30,T30)</f>
        <v>0</v>
      </c>
      <c r="Y30" s="232">
        <f t="shared" ref="Y30" si="6">SUM(I30,M30,Q30,U30)</f>
        <v>0</v>
      </c>
      <c r="Z30" s="232">
        <f t="shared" ref="Z30" si="7">SUM(J30,N30,R30,V30)</f>
        <v>0</v>
      </c>
    </row>
    <row r="31" spans="1:31" ht="20.100000000000001" customHeight="1">
      <c r="A31" s="488" t="s">
        <v>60</v>
      </c>
      <c r="B31" s="489"/>
      <c r="C31" s="489"/>
      <c r="D31" s="489"/>
      <c r="E31" s="489"/>
      <c r="F31" s="490"/>
      <c r="G31" s="93">
        <f t="shared" ref="G31:V31" si="8">SUM(G30:G30)</f>
        <v>0</v>
      </c>
      <c r="H31" s="93">
        <f t="shared" si="8"/>
        <v>0</v>
      </c>
      <c r="I31" s="93">
        <f t="shared" si="8"/>
        <v>0</v>
      </c>
      <c r="J31" s="93">
        <f t="shared" si="8"/>
        <v>0</v>
      </c>
      <c r="K31" s="169">
        <f>SUM(K29:K30)</f>
        <v>0</v>
      </c>
      <c r="L31" s="169">
        <f t="shared" ref="L31:N31" si="9">SUM(L29:L30)</f>
        <v>0</v>
      </c>
      <c r="M31" s="169">
        <f t="shared" si="9"/>
        <v>0</v>
      </c>
      <c r="N31" s="169">
        <f t="shared" si="9"/>
        <v>0</v>
      </c>
      <c r="O31" s="93">
        <f t="shared" si="8"/>
        <v>0</v>
      </c>
      <c r="P31" s="93">
        <f t="shared" si="8"/>
        <v>0</v>
      </c>
      <c r="Q31" s="93">
        <f t="shared" si="8"/>
        <v>0</v>
      </c>
      <c r="R31" s="93">
        <f t="shared" si="8"/>
        <v>0</v>
      </c>
      <c r="S31" s="93">
        <f t="shared" si="8"/>
        <v>0</v>
      </c>
      <c r="T31" s="93">
        <f t="shared" si="8"/>
        <v>0</v>
      </c>
      <c r="U31" s="93">
        <f t="shared" si="8"/>
        <v>0</v>
      </c>
      <c r="V31" s="93">
        <f t="shared" si="8"/>
        <v>0</v>
      </c>
      <c r="W31" s="169">
        <f>SUM(W29:W30)</f>
        <v>0</v>
      </c>
      <c r="X31" s="169">
        <f t="shared" ref="X31:Z31" si="10">SUM(X29:X30)</f>
        <v>0</v>
      </c>
      <c r="Y31" s="169">
        <f t="shared" si="10"/>
        <v>0</v>
      </c>
      <c r="Z31" s="169">
        <f t="shared" si="10"/>
        <v>0</v>
      </c>
    </row>
    <row r="32" spans="1:31" ht="20.100000000000001" customHeight="1">
      <c r="A32" s="494" t="s">
        <v>61</v>
      </c>
      <c r="B32" s="495"/>
      <c r="C32" s="495"/>
      <c r="D32" s="495"/>
      <c r="E32" s="495"/>
      <c r="F32" s="496"/>
      <c r="G32" s="76"/>
      <c r="H32" s="76"/>
      <c r="I32" s="76"/>
      <c r="J32" s="76"/>
      <c r="K32" s="172">
        <v>100</v>
      </c>
      <c r="L32" s="172">
        <v>100</v>
      </c>
      <c r="M32" s="172">
        <v>100</v>
      </c>
      <c r="N32" s="172">
        <v>100</v>
      </c>
      <c r="O32" s="172">
        <v>100</v>
      </c>
      <c r="P32" s="172">
        <v>100</v>
      </c>
      <c r="Q32" s="172">
        <v>100</v>
      </c>
      <c r="R32" s="172">
        <v>100</v>
      </c>
      <c r="S32" s="76"/>
      <c r="T32" s="76"/>
      <c r="U32" s="76"/>
      <c r="V32" s="76"/>
      <c r="W32" s="76">
        <v>100</v>
      </c>
      <c r="X32" s="76">
        <v>100</v>
      </c>
      <c r="Y32" s="76">
        <v>100</v>
      </c>
      <c r="Z32" s="76">
        <v>100</v>
      </c>
    </row>
    <row r="33" spans="1:31" ht="20.100000000000001" customHeight="1">
      <c r="A33" s="16"/>
      <c r="B33" s="16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1:31" s="39" customFormat="1" ht="20.100000000000001" customHeight="1">
      <c r="B34" s="39" t="s">
        <v>257</v>
      </c>
    </row>
    <row r="35" spans="1:31" s="67" customFormat="1" ht="20.100000000000001" customHeight="1">
      <c r="A35" s="1"/>
      <c r="B35" s="1"/>
      <c r="C35" s="1"/>
      <c r="D35" s="1"/>
      <c r="E35" s="1"/>
      <c r="F35" s="1"/>
      <c r="G35" s="1"/>
      <c r="H35" s="1"/>
      <c r="I35" s="1"/>
      <c r="K35" s="1"/>
      <c r="AD35" s="174" t="s">
        <v>252</v>
      </c>
    </row>
    <row r="36" spans="1:31" s="68" customFormat="1" ht="34.5" customHeight="1">
      <c r="A36" s="350" t="s">
        <v>224</v>
      </c>
      <c r="B36" s="346" t="s">
        <v>302</v>
      </c>
      <c r="C36" s="346" t="s">
        <v>333</v>
      </c>
      <c r="D36" s="346"/>
      <c r="E36" s="346" t="s">
        <v>225</v>
      </c>
      <c r="F36" s="346"/>
      <c r="G36" s="346" t="s">
        <v>226</v>
      </c>
      <c r="H36" s="346"/>
      <c r="I36" s="346" t="s">
        <v>296</v>
      </c>
      <c r="J36" s="346"/>
      <c r="K36" s="346" t="s">
        <v>149</v>
      </c>
      <c r="L36" s="346"/>
      <c r="M36" s="346"/>
      <c r="N36" s="346"/>
      <c r="O36" s="346"/>
      <c r="P36" s="346"/>
      <c r="Q36" s="346"/>
      <c r="R36" s="346"/>
      <c r="S36" s="346"/>
      <c r="T36" s="346"/>
      <c r="U36" s="346" t="s">
        <v>334</v>
      </c>
      <c r="V36" s="346"/>
      <c r="W36" s="346"/>
      <c r="X36" s="346"/>
      <c r="Y36" s="346"/>
      <c r="Z36" s="346" t="s">
        <v>300</v>
      </c>
      <c r="AA36" s="346"/>
      <c r="AB36" s="346"/>
      <c r="AC36" s="346"/>
      <c r="AD36" s="346"/>
      <c r="AE36" s="346"/>
    </row>
    <row r="37" spans="1:31" s="68" customFormat="1" ht="52.5" customHeight="1">
      <c r="A37" s="350"/>
      <c r="B37" s="346"/>
      <c r="C37" s="346"/>
      <c r="D37" s="346"/>
      <c r="E37" s="346"/>
      <c r="F37" s="346"/>
      <c r="G37" s="346"/>
      <c r="H37" s="346"/>
      <c r="I37" s="346"/>
      <c r="J37" s="346"/>
      <c r="K37" s="346" t="s">
        <v>344</v>
      </c>
      <c r="L37" s="346"/>
      <c r="M37" s="346" t="s">
        <v>345</v>
      </c>
      <c r="N37" s="346"/>
      <c r="O37" s="346" t="s">
        <v>332</v>
      </c>
      <c r="P37" s="346"/>
      <c r="Q37" s="346"/>
      <c r="R37" s="346"/>
      <c r="S37" s="346"/>
      <c r="T37" s="346"/>
      <c r="U37" s="346"/>
      <c r="V37" s="346"/>
      <c r="W37" s="346"/>
      <c r="X37" s="346"/>
      <c r="Y37" s="346"/>
      <c r="Z37" s="346"/>
      <c r="AA37" s="346"/>
      <c r="AB37" s="346"/>
      <c r="AC37" s="346"/>
      <c r="AD37" s="346"/>
      <c r="AE37" s="346"/>
    </row>
    <row r="38" spans="1:31" s="69" customFormat="1" ht="82.5" customHeight="1">
      <c r="A38" s="350"/>
      <c r="B38" s="346"/>
      <c r="C38" s="346"/>
      <c r="D38" s="346"/>
      <c r="E38" s="346"/>
      <c r="F38" s="346"/>
      <c r="G38" s="346"/>
      <c r="H38" s="346"/>
      <c r="I38" s="346"/>
      <c r="J38" s="346"/>
      <c r="K38" s="346"/>
      <c r="L38" s="346"/>
      <c r="M38" s="346"/>
      <c r="N38" s="346"/>
      <c r="O38" s="346" t="s">
        <v>297</v>
      </c>
      <c r="P38" s="346"/>
      <c r="Q38" s="346" t="s">
        <v>298</v>
      </c>
      <c r="R38" s="346"/>
      <c r="S38" s="346" t="s">
        <v>299</v>
      </c>
      <c r="T38" s="346"/>
      <c r="U38" s="346"/>
      <c r="V38" s="346"/>
      <c r="W38" s="346"/>
      <c r="X38" s="346"/>
      <c r="Y38" s="346"/>
      <c r="Z38" s="346"/>
      <c r="AA38" s="346"/>
      <c r="AB38" s="346"/>
      <c r="AC38" s="346"/>
      <c r="AD38" s="346"/>
      <c r="AE38" s="346"/>
    </row>
    <row r="39" spans="1:31" s="68" customFormat="1" ht="18" customHeight="1">
      <c r="A39" s="6">
        <v>1</v>
      </c>
      <c r="B39" s="7">
        <v>2</v>
      </c>
      <c r="C39" s="346">
        <v>3</v>
      </c>
      <c r="D39" s="346"/>
      <c r="E39" s="346">
        <v>4</v>
      </c>
      <c r="F39" s="346"/>
      <c r="G39" s="346">
        <v>5</v>
      </c>
      <c r="H39" s="346"/>
      <c r="I39" s="346">
        <v>6</v>
      </c>
      <c r="J39" s="346"/>
      <c r="K39" s="404">
        <v>7</v>
      </c>
      <c r="L39" s="406"/>
      <c r="M39" s="404">
        <v>8</v>
      </c>
      <c r="N39" s="406"/>
      <c r="O39" s="346">
        <v>9</v>
      </c>
      <c r="P39" s="346"/>
      <c r="Q39" s="350">
        <v>10</v>
      </c>
      <c r="R39" s="350"/>
      <c r="S39" s="346">
        <v>11</v>
      </c>
      <c r="T39" s="346"/>
      <c r="U39" s="346">
        <v>12</v>
      </c>
      <c r="V39" s="346"/>
      <c r="W39" s="346"/>
      <c r="X39" s="346"/>
      <c r="Y39" s="346"/>
      <c r="Z39" s="346">
        <v>13</v>
      </c>
      <c r="AA39" s="346"/>
      <c r="AB39" s="346"/>
      <c r="AC39" s="346"/>
      <c r="AD39" s="346"/>
      <c r="AE39" s="346"/>
    </row>
    <row r="40" spans="1:31" s="68" customFormat="1" ht="20.100000000000001" customHeight="1">
      <c r="A40" s="84"/>
      <c r="B40" s="85"/>
      <c r="C40" s="445"/>
      <c r="D40" s="445"/>
      <c r="E40" s="402"/>
      <c r="F40" s="402"/>
      <c r="G40" s="402"/>
      <c r="H40" s="402"/>
      <c r="I40" s="402"/>
      <c r="J40" s="402"/>
      <c r="K40" s="446"/>
      <c r="L40" s="447"/>
      <c r="M40" s="398">
        <f t="shared" ref="M40:M46" si="11">SUM(O40,Q40,S40)</f>
        <v>0</v>
      </c>
      <c r="N40" s="399"/>
      <c r="O40" s="402"/>
      <c r="P40" s="402"/>
      <c r="Q40" s="402"/>
      <c r="R40" s="402"/>
      <c r="S40" s="402"/>
      <c r="T40" s="402"/>
      <c r="U40" s="450"/>
      <c r="V40" s="450"/>
      <c r="W40" s="450"/>
      <c r="X40" s="450"/>
      <c r="Y40" s="450"/>
      <c r="Z40" s="449"/>
      <c r="AA40" s="449"/>
      <c r="AB40" s="449"/>
      <c r="AC40" s="449"/>
      <c r="AD40" s="449"/>
      <c r="AE40" s="449"/>
    </row>
    <row r="41" spans="1:31" s="68" customFormat="1" ht="20.100000000000001" customHeight="1">
      <c r="A41" s="84"/>
      <c r="B41" s="85"/>
      <c r="C41" s="445"/>
      <c r="D41" s="445"/>
      <c r="E41" s="402"/>
      <c r="F41" s="402"/>
      <c r="G41" s="402"/>
      <c r="H41" s="402"/>
      <c r="I41" s="402"/>
      <c r="J41" s="402"/>
      <c r="K41" s="446"/>
      <c r="L41" s="447"/>
      <c r="M41" s="398">
        <f t="shared" si="11"/>
        <v>0</v>
      </c>
      <c r="N41" s="399"/>
      <c r="O41" s="402"/>
      <c r="P41" s="402"/>
      <c r="Q41" s="402"/>
      <c r="R41" s="402"/>
      <c r="S41" s="402"/>
      <c r="T41" s="402"/>
      <c r="U41" s="450"/>
      <c r="V41" s="450"/>
      <c r="W41" s="450"/>
      <c r="X41" s="450"/>
      <c r="Y41" s="450"/>
      <c r="Z41" s="449"/>
      <c r="AA41" s="449"/>
      <c r="AB41" s="449"/>
      <c r="AC41" s="449"/>
      <c r="AD41" s="449"/>
      <c r="AE41" s="449"/>
    </row>
    <row r="42" spans="1:31" s="68" customFormat="1" ht="20.100000000000001" customHeight="1">
      <c r="A42" s="84"/>
      <c r="B42" s="85"/>
      <c r="C42" s="445"/>
      <c r="D42" s="445"/>
      <c r="E42" s="402"/>
      <c r="F42" s="402"/>
      <c r="G42" s="402"/>
      <c r="H42" s="402"/>
      <c r="I42" s="402"/>
      <c r="J42" s="402"/>
      <c r="K42" s="446"/>
      <c r="L42" s="447"/>
      <c r="M42" s="398">
        <f t="shared" si="11"/>
        <v>0</v>
      </c>
      <c r="N42" s="399"/>
      <c r="O42" s="402"/>
      <c r="P42" s="402"/>
      <c r="Q42" s="402"/>
      <c r="R42" s="402"/>
      <c r="S42" s="402"/>
      <c r="T42" s="402"/>
      <c r="U42" s="450"/>
      <c r="V42" s="450"/>
      <c r="W42" s="450"/>
      <c r="X42" s="450"/>
      <c r="Y42" s="450"/>
      <c r="Z42" s="449"/>
      <c r="AA42" s="449"/>
      <c r="AB42" s="449"/>
      <c r="AC42" s="449"/>
      <c r="AD42" s="449"/>
      <c r="AE42" s="449"/>
    </row>
    <row r="43" spans="1:31" s="68" customFormat="1" ht="20.100000000000001" customHeight="1">
      <c r="A43" s="84"/>
      <c r="B43" s="85"/>
      <c r="C43" s="445"/>
      <c r="D43" s="445"/>
      <c r="E43" s="402"/>
      <c r="F43" s="402"/>
      <c r="G43" s="402"/>
      <c r="H43" s="402"/>
      <c r="I43" s="402"/>
      <c r="J43" s="402"/>
      <c r="K43" s="446"/>
      <c r="L43" s="447"/>
      <c r="M43" s="398">
        <f>SUM(O43,Q43,S43)</f>
        <v>0</v>
      </c>
      <c r="N43" s="399"/>
      <c r="O43" s="402"/>
      <c r="P43" s="402"/>
      <c r="Q43" s="402"/>
      <c r="R43" s="402"/>
      <c r="S43" s="402"/>
      <c r="T43" s="402"/>
      <c r="U43" s="450"/>
      <c r="V43" s="450"/>
      <c r="W43" s="450"/>
      <c r="X43" s="450"/>
      <c r="Y43" s="450"/>
      <c r="Z43" s="449"/>
      <c r="AA43" s="449"/>
      <c r="AB43" s="449"/>
      <c r="AC43" s="449"/>
      <c r="AD43" s="449"/>
      <c r="AE43" s="449"/>
    </row>
    <row r="44" spans="1:31" s="68" customFormat="1" ht="20.100000000000001" customHeight="1">
      <c r="A44" s="84"/>
      <c r="B44" s="85"/>
      <c r="C44" s="445"/>
      <c r="D44" s="445"/>
      <c r="E44" s="402"/>
      <c r="F44" s="402"/>
      <c r="G44" s="402"/>
      <c r="H44" s="402"/>
      <c r="I44" s="402"/>
      <c r="J44" s="402"/>
      <c r="K44" s="446"/>
      <c r="L44" s="447"/>
      <c r="M44" s="398">
        <f t="shared" si="11"/>
        <v>0</v>
      </c>
      <c r="N44" s="399"/>
      <c r="O44" s="402"/>
      <c r="P44" s="402"/>
      <c r="Q44" s="402"/>
      <c r="R44" s="402"/>
      <c r="S44" s="402"/>
      <c r="T44" s="402"/>
      <c r="U44" s="450"/>
      <c r="V44" s="450"/>
      <c r="W44" s="450"/>
      <c r="X44" s="450"/>
      <c r="Y44" s="450"/>
      <c r="Z44" s="449"/>
      <c r="AA44" s="449"/>
      <c r="AB44" s="449"/>
      <c r="AC44" s="449"/>
      <c r="AD44" s="449"/>
      <c r="AE44" s="449"/>
    </row>
    <row r="45" spans="1:31" s="68" customFormat="1" ht="20.100000000000001" customHeight="1">
      <c r="A45" s="84"/>
      <c r="B45" s="85"/>
      <c r="C45" s="445"/>
      <c r="D45" s="445"/>
      <c r="E45" s="402"/>
      <c r="F45" s="402"/>
      <c r="G45" s="402"/>
      <c r="H45" s="402"/>
      <c r="I45" s="402"/>
      <c r="J45" s="402"/>
      <c r="K45" s="446"/>
      <c r="L45" s="447"/>
      <c r="M45" s="398">
        <f t="shared" si="11"/>
        <v>0</v>
      </c>
      <c r="N45" s="399"/>
      <c r="O45" s="402"/>
      <c r="P45" s="402"/>
      <c r="Q45" s="402"/>
      <c r="R45" s="402"/>
      <c r="S45" s="402"/>
      <c r="T45" s="402"/>
      <c r="U45" s="450"/>
      <c r="V45" s="450"/>
      <c r="W45" s="450"/>
      <c r="X45" s="450"/>
      <c r="Y45" s="450"/>
      <c r="Z45" s="449"/>
      <c r="AA45" s="449"/>
      <c r="AB45" s="449"/>
      <c r="AC45" s="449"/>
      <c r="AD45" s="449"/>
      <c r="AE45" s="449"/>
    </row>
    <row r="46" spans="1:31" s="68" customFormat="1" ht="20.100000000000001" customHeight="1">
      <c r="A46" s="84"/>
      <c r="B46" s="85"/>
      <c r="C46" s="445"/>
      <c r="D46" s="445"/>
      <c r="E46" s="402"/>
      <c r="F46" s="402"/>
      <c r="G46" s="402"/>
      <c r="H46" s="402"/>
      <c r="I46" s="402"/>
      <c r="J46" s="402"/>
      <c r="K46" s="446"/>
      <c r="L46" s="447"/>
      <c r="M46" s="398">
        <f t="shared" si="11"/>
        <v>0</v>
      </c>
      <c r="N46" s="399"/>
      <c r="O46" s="402"/>
      <c r="P46" s="402"/>
      <c r="Q46" s="402"/>
      <c r="R46" s="402"/>
      <c r="S46" s="402"/>
      <c r="T46" s="402"/>
      <c r="U46" s="450"/>
      <c r="V46" s="450"/>
      <c r="W46" s="450"/>
      <c r="X46" s="450"/>
      <c r="Y46" s="450"/>
      <c r="Z46" s="449"/>
      <c r="AA46" s="449"/>
      <c r="AB46" s="449"/>
      <c r="AC46" s="449"/>
      <c r="AD46" s="449"/>
      <c r="AE46" s="449"/>
    </row>
    <row r="47" spans="1:31" s="68" customFormat="1" ht="20.100000000000001" customHeight="1">
      <c r="A47" s="494" t="s">
        <v>60</v>
      </c>
      <c r="B47" s="495"/>
      <c r="C47" s="495"/>
      <c r="D47" s="496"/>
      <c r="E47" s="448">
        <f>SUM(E40:F46)</f>
        <v>0</v>
      </c>
      <c r="F47" s="448"/>
      <c r="G47" s="448">
        <f>SUM(G40:H46)</f>
        <v>0</v>
      </c>
      <c r="H47" s="448"/>
      <c r="I47" s="448">
        <f>SUM(I40:J46)</f>
        <v>0</v>
      </c>
      <c r="J47" s="448"/>
      <c r="K47" s="448">
        <f>SUM(K40:L46)</f>
        <v>0</v>
      </c>
      <c r="L47" s="448"/>
      <c r="M47" s="448">
        <f>SUM(M40:N46)</f>
        <v>0</v>
      </c>
      <c r="N47" s="448"/>
      <c r="O47" s="448">
        <f>SUM(O40:P46)</f>
        <v>0</v>
      </c>
      <c r="P47" s="448"/>
      <c r="Q47" s="448">
        <f>SUM(Q40:R46)</f>
        <v>0</v>
      </c>
      <c r="R47" s="448"/>
      <c r="S47" s="448">
        <f>SUM(S40:T46)</f>
        <v>0</v>
      </c>
      <c r="T47" s="448"/>
      <c r="U47" s="450"/>
      <c r="V47" s="450"/>
      <c r="W47" s="450"/>
      <c r="X47" s="450"/>
      <c r="Y47" s="450"/>
      <c r="Z47" s="449"/>
      <c r="AA47" s="449"/>
      <c r="AB47" s="449"/>
      <c r="AC47" s="449"/>
      <c r="AD47" s="449"/>
      <c r="AE47" s="449"/>
    </row>
    <row r="48" spans="1:31" ht="20.100000000000001" customHeight="1">
      <c r="A48" s="16"/>
      <c r="B48" s="1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8" ht="20.100000000000001" customHeight="1">
      <c r="A49" s="16"/>
      <c r="B49" s="16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8" s="4" customFormat="1" ht="20.100000000000001" customHeight="1">
      <c r="C50" s="39"/>
      <c r="D50" s="39"/>
      <c r="E50" s="39"/>
      <c r="F50" s="39"/>
      <c r="G50" s="39"/>
      <c r="H50" s="39"/>
      <c r="I50" s="39"/>
      <c r="J50" s="39"/>
      <c r="K50" s="39"/>
    </row>
    <row r="51" spans="1:28" s="175" customFormat="1" ht="36" customHeight="1">
      <c r="B51" s="500" t="s">
        <v>406</v>
      </c>
      <c r="C51" s="501"/>
      <c r="D51" s="501"/>
      <c r="E51" s="501"/>
      <c r="F51" s="501"/>
      <c r="G51" s="176"/>
      <c r="H51" s="176"/>
      <c r="I51" s="176"/>
      <c r="J51" s="176"/>
      <c r="K51" s="176"/>
      <c r="L51" s="502" t="s">
        <v>260</v>
      </c>
      <c r="M51" s="502"/>
      <c r="N51" s="502"/>
      <c r="O51" s="502"/>
      <c r="P51" s="502"/>
      <c r="Q51" s="177"/>
      <c r="R51" s="177"/>
      <c r="S51" s="177"/>
      <c r="T51" s="177"/>
      <c r="U51" s="177"/>
      <c r="V51" s="503" t="s">
        <v>402</v>
      </c>
      <c r="W51" s="504"/>
      <c r="X51" s="504"/>
      <c r="Y51" s="504"/>
      <c r="Z51" s="504"/>
    </row>
    <row r="52" spans="1:28" s="4" customFormat="1" ht="19.5" customHeight="1">
      <c r="B52" s="3"/>
      <c r="C52" s="4" t="s">
        <v>83</v>
      </c>
      <c r="E52" s="43"/>
      <c r="F52" s="43"/>
      <c r="G52" s="43"/>
      <c r="H52" s="43"/>
      <c r="I52" s="43"/>
      <c r="J52" s="43"/>
      <c r="K52" s="43"/>
      <c r="M52" s="3"/>
      <c r="N52" s="25" t="s">
        <v>84</v>
      </c>
      <c r="O52" s="3"/>
      <c r="Q52" s="43"/>
      <c r="R52" s="43"/>
      <c r="S52" s="43"/>
      <c r="V52" s="499" t="s">
        <v>142</v>
      </c>
      <c r="W52" s="499"/>
      <c r="X52" s="499"/>
      <c r="Y52" s="499"/>
      <c r="Z52" s="499"/>
    </row>
    <row r="53" spans="1:28" ht="20.100000000000001" customHeight="1">
      <c r="B53" s="35"/>
      <c r="C53" s="35"/>
      <c r="D53" s="35"/>
      <c r="E53" s="35"/>
      <c r="F53" s="35"/>
      <c r="G53" s="35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35"/>
      <c r="U53" s="35"/>
      <c r="AB53" s="1">
        <v>1</v>
      </c>
    </row>
    <row r="54" spans="1:28" ht="20.100000000000001" customHeight="1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</row>
    <row r="55" spans="1:28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</row>
    <row r="56" spans="1:28">
      <c r="B56" s="36"/>
    </row>
    <row r="59" spans="1:28" ht="19.5">
      <c r="B59" s="37"/>
    </row>
    <row r="60" spans="1:28" ht="19.5">
      <c r="B60" s="37"/>
    </row>
    <row r="61" spans="1:28" ht="19.5">
      <c r="B61" s="37"/>
    </row>
    <row r="62" spans="1:28" ht="19.5">
      <c r="B62" s="37"/>
    </row>
    <row r="63" spans="1:28" ht="19.5">
      <c r="B63" s="37"/>
    </row>
    <row r="64" spans="1:28" ht="19.5">
      <c r="B64" s="37"/>
    </row>
    <row r="65" spans="2:2" ht="19.5">
      <c r="B65" s="37"/>
    </row>
  </sheetData>
  <sheetProtection formatCells="0" formatColumns="0" formatRows="0" insertColumns="0" insertRows="0" insertHyperlinks="0" deleteColumns="0" deleteRows="0" sort="0" autoFilter="0" pivotTables="0"/>
  <customSheetViews>
    <customSheetView guid="{1E3D5FB9-014E-4051-8AD5-DB0A17D05797}" scale="70" showPageBreaks="1" printArea="1" view="pageBreakPreview" topLeftCell="A14">
      <selection activeCell="N33" sqref="N33"/>
      <pageMargins left="1.1811023622047245" right="0.39370078740157483" top="0.78740157480314965" bottom="0.78740157480314965" header="0.27559055118110237" footer="0.31496062992125984"/>
      <pageSetup paperSize="9" scale="35" orientation="landscape" verticalDpi="1200" r:id="rId1"/>
      <headerFooter alignWithMargins="0"/>
    </customSheetView>
    <customSheetView guid="{43DCEB14-ADF8-4168-9283-6542A71D3CF7}" scale="70" showPageBreaks="1" printArea="1" view="pageBreakPreview" topLeftCell="A49">
      <selection activeCell="N33" sqref="N33"/>
      <pageMargins left="1.1811023622047245" right="0.39370078740157483" top="0.78740157480314965" bottom="0.78740157480314965" header="0.27559055118110237" footer="0.31496062992125984"/>
      <pageSetup paperSize="9" scale="35" orientation="landscape" verticalDpi="1200" r:id="rId2"/>
      <headerFooter alignWithMargins="0"/>
    </customSheetView>
  </customSheetViews>
  <mergeCells count="236">
    <mergeCell ref="V52:Z52"/>
    <mergeCell ref="B51:F51"/>
    <mergeCell ref="L51:P51"/>
    <mergeCell ref="V51:Z51"/>
    <mergeCell ref="S26:V26"/>
    <mergeCell ref="W25:Z25"/>
    <mergeCell ref="O26:R26"/>
    <mergeCell ref="K26:N26"/>
    <mergeCell ref="K25:N25"/>
    <mergeCell ref="O25:R25"/>
    <mergeCell ref="Z47:AE47"/>
    <mergeCell ref="A47:D47"/>
    <mergeCell ref="C46:D46"/>
    <mergeCell ref="E46:F46"/>
    <mergeCell ref="M46:N46"/>
    <mergeCell ref="Z46:AE46"/>
    <mergeCell ref="Q47:R47"/>
    <mergeCell ref="K47:L47"/>
    <mergeCell ref="S47:T47"/>
    <mergeCell ref="U47:Y47"/>
    <mergeCell ref="O40:P40"/>
    <mergeCell ref="O41:P41"/>
    <mergeCell ref="G42:H42"/>
    <mergeCell ref="I42:J42"/>
    <mergeCell ref="AB1:AE1"/>
    <mergeCell ref="Q46:R46"/>
    <mergeCell ref="S42:T42"/>
    <mergeCell ref="U42:Y42"/>
    <mergeCell ref="S44:T44"/>
    <mergeCell ref="U44:Y44"/>
    <mergeCell ref="S40:T40"/>
    <mergeCell ref="A21:U21"/>
    <mergeCell ref="O46:P46"/>
    <mergeCell ref="S46:T46"/>
    <mergeCell ref="U46:Y46"/>
    <mergeCell ref="Z43:AE43"/>
    <mergeCell ref="S43:T43"/>
    <mergeCell ref="U43:Y43"/>
    <mergeCell ref="S45:T45"/>
    <mergeCell ref="U45:Y45"/>
    <mergeCell ref="Z44:AE44"/>
    <mergeCell ref="M41:N41"/>
    <mergeCell ref="M40:N40"/>
    <mergeCell ref="M37:N38"/>
    <mergeCell ref="S38:T38"/>
    <mergeCell ref="M39:N39"/>
    <mergeCell ref="Q41:R41"/>
    <mergeCell ref="Q40:R40"/>
    <mergeCell ref="U36:Y38"/>
    <mergeCell ref="K36:T36"/>
    <mergeCell ref="W26:Z26"/>
    <mergeCell ref="S25:V25"/>
    <mergeCell ref="B25:F27"/>
    <mergeCell ref="A31:F31"/>
    <mergeCell ref="A25:A27"/>
    <mergeCell ref="B28:F28"/>
    <mergeCell ref="B36:B38"/>
    <mergeCell ref="C36:D38"/>
    <mergeCell ref="E36:F38"/>
    <mergeCell ref="B30:F30"/>
    <mergeCell ref="A32:F32"/>
    <mergeCell ref="A36:A38"/>
    <mergeCell ref="O37:T37"/>
    <mergeCell ref="Q38:R38"/>
    <mergeCell ref="B29:F29"/>
    <mergeCell ref="G25:J25"/>
    <mergeCell ref="Z36:AE38"/>
    <mergeCell ref="AB20:AC20"/>
    <mergeCell ref="AD20:AE20"/>
    <mergeCell ref="Z20:AA20"/>
    <mergeCell ref="AB21:AC21"/>
    <mergeCell ref="AD21:AE21"/>
    <mergeCell ref="C19:F19"/>
    <mergeCell ref="G19:P19"/>
    <mergeCell ref="Q19:U19"/>
    <mergeCell ref="V19:W19"/>
    <mergeCell ref="X19:Y19"/>
    <mergeCell ref="V20:W20"/>
    <mergeCell ref="X21:Y21"/>
    <mergeCell ref="V21:W21"/>
    <mergeCell ref="Z21:AA21"/>
    <mergeCell ref="C20:F20"/>
    <mergeCell ref="G20:P20"/>
    <mergeCell ref="Q20:U20"/>
    <mergeCell ref="X20:Y20"/>
    <mergeCell ref="AB18:AC18"/>
    <mergeCell ref="AD18:AE18"/>
    <mergeCell ref="X18:Y18"/>
    <mergeCell ref="V18:W18"/>
    <mergeCell ref="Q18:U18"/>
    <mergeCell ref="C18:F18"/>
    <mergeCell ref="Z18:AA18"/>
    <mergeCell ref="AB19:AC19"/>
    <mergeCell ref="AD19:AE19"/>
    <mergeCell ref="Z19:AA19"/>
    <mergeCell ref="AC6:AE6"/>
    <mergeCell ref="Q6:S6"/>
    <mergeCell ref="AC10:AE10"/>
    <mergeCell ref="AC11:AE11"/>
    <mergeCell ref="AD17:AE17"/>
    <mergeCell ref="X16:AE16"/>
    <mergeCell ref="A11:L11"/>
    <mergeCell ref="M11:P11"/>
    <mergeCell ref="Q11:S11"/>
    <mergeCell ref="C9:F9"/>
    <mergeCell ref="G9:L9"/>
    <mergeCell ref="M9:P9"/>
    <mergeCell ref="Q9:S9"/>
    <mergeCell ref="C10:F10"/>
    <mergeCell ref="G10:L10"/>
    <mergeCell ref="M10:P10"/>
    <mergeCell ref="A15:A17"/>
    <mergeCell ref="B15:B17"/>
    <mergeCell ref="C15:F17"/>
    <mergeCell ref="G15:P17"/>
    <mergeCell ref="V15:AE15"/>
    <mergeCell ref="V16:W17"/>
    <mergeCell ref="A4:A5"/>
    <mergeCell ref="B4:B5"/>
    <mergeCell ref="C4:F5"/>
    <mergeCell ref="G4:L5"/>
    <mergeCell ref="Z7:AB7"/>
    <mergeCell ref="AC8:AE8"/>
    <mergeCell ref="Z8:AB8"/>
    <mergeCell ref="AC7:AE7"/>
    <mergeCell ref="T7:V7"/>
    <mergeCell ref="W7:Y7"/>
    <mergeCell ref="M4:P5"/>
    <mergeCell ref="C8:F8"/>
    <mergeCell ref="C7:F7"/>
    <mergeCell ref="G7:L7"/>
    <mergeCell ref="G6:L6"/>
    <mergeCell ref="M7:P7"/>
    <mergeCell ref="M6:P6"/>
    <mergeCell ref="M8:P8"/>
    <mergeCell ref="C6:F6"/>
    <mergeCell ref="G8:L8"/>
    <mergeCell ref="Q4:AE4"/>
    <mergeCell ref="T5:V5"/>
    <mergeCell ref="W5:Y5"/>
    <mergeCell ref="Z5:AB5"/>
    <mergeCell ref="Q5:S5"/>
    <mergeCell ref="AC5:AE5"/>
    <mergeCell ref="AC9:AE9"/>
    <mergeCell ref="T9:V9"/>
    <mergeCell ref="W9:Y9"/>
    <mergeCell ref="Z17:AA17"/>
    <mergeCell ref="AB17:AC17"/>
    <mergeCell ref="Z11:AB11"/>
    <mergeCell ref="Z10:AB10"/>
    <mergeCell ref="Z9:AB9"/>
    <mergeCell ref="X17:Y17"/>
    <mergeCell ref="W8:Y8"/>
    <mergeCell ref="T8:V8"/>
    <mergeCell ref="T11:V11"/>
    <mergeCell ref="Q7:S7"/>
    <mergeCell ref="W10:Y10"/>
    <mergeCell ref="W11:Y11"/>
    <mergeCell ref="Q10:S10"/>
    <mergeCell ref="Q8:S8"/>
    <mergeCell ref="Q15:U17"/>
    <mergeCell ref="T10:V10"/>
    <mergeCell ref="Z6:AB6"/>
    <mergeCell ref="W6:Y6"/>
    <mergeCell ref="T6:V6"/>
    <mergeCell ref="K41:L41"/>
    <mergeCell ref="G39:H39"/>
    <mergeCell ref="G26:J26"/>
    <mergeCell ref="I41:J41"/>
    <mergeCell ref="I40:J40"/>
    <mergeCell ref="O38:P38"/>
    <mergeCell ref="I36:J38"/>
    <mergeCell ref="K37:L38"/>
    <mergeCell ref="G18:P18"/>
    <mergeCell ref="G36:H38"/>
    <mergeCell ref="C45:D45"/>
    <mergeCell ref="G45:H45"/>
    <mergeCell ref="Q44:R44"/>
    <mergeCell ref="K45:L45"/>
    <mergeCell ref="K44:L44"/>
    <mergeCell ref="M45:N45"/>
    <mergeCell ref="O45:P45"/>
    <mergeCell ref="Q45:R45"/>
    <mergeCell ref="C44:D44"/>
    <mergeCell ref="M44:N44"/>
    <mergeCell ref="E44:F44"/>
    <mergeCell ref="G44:H44"/>
    <mergeCell ref="I44:J44"/>
    <mergeCell ref="E47:F47"/>
    <mergeCell ref="G47:H47"/>
    <mergeCell ref="I46:J46"/>
    <mergeCell ref="E45:F45"/>
    <mergeCell ref="Z41:AE41"/>
    <mergeCell ref="U39:Y39"/>
    <mergeCell ref="U40:Y40"/>
    <mergeCell ref="U41:Y41"/>
    <mergeCell ref="M47:N47"/>
    <mergeCell ref="G46:H46"/>
    <mergeCell ref="K46:L46"/>
    <mergeCell ref="O47:P47"/>
    <mergeCell ref="I47:J47"/>
    <mergeCell ref="S39:T39"/>
    <mergeCell ref="Q43:R43"/>
    <mergeCell ref="Z42:AE42"/>
    <mergeCell ref="I45:J45"/>
    <mergeCell ref="K43:L43"/>
    <mergeCell ref="K42:L42"/>
    <mergeCell ref="O44:P44"/>
    <mergeCell ref="Q42:R42"/>
    <mergeCell ref="Z45:AE45"/>
    <mergeCell ref="Z39:AE39"/>
    <mergeCell ref="Z40:AE40"/>
    <mergeCell ref="G43:H43"/>
    <mergeCell ref="I43:J43"/>
    <mergeCell ref="Q39:R39"/>
    <mergeCell ref="S41:T41"/>
    <mergeCell ref="M43:N43"/>
    <mergeCell ref="O43:P43"/>
    <mergeCell ref="M42:N42"/>
    <mergeCell ref="C43:D43"/>
    <mergeCell ref="E43:F43"/>
    <mergeCell ref="E41:F41"/>
    <mergeCell ref="C39:D39"/>
    <mergeCell ref="E39:F39"/>
    <mergeCell ref="C41:D41"/>
    <mergeCell ref="C40:D40"/>
    <mergeCell ref="E40:F40"/>
    <mergeCell ref="C42:D42"/>
    <mergeCell ref="E42:F42"/>
    <mergeCell ref="O39:P39"/>
    <mergeCell ref="G40:H40"/>
    <mergeCell ref="I39:J39"/>
    <mergeCell ref="K39:L39"/>
    <mergeCell ref="K40:L40"/>
    <mergeCell ref="G41:H41"/>
    <mergeCell ref="O42:P42"/>
  </mergeCells>
  <phoneticPr fontId="3" type="noConversion"/>
  <pageMargins left="1.1811023622047245" right="0.39370078740157483" top="0.78740157480314965" bottom="0.78740157480314965" header="0.27559055118110237" footer="0.31496062992125984"/>
  <pageSetup paperSize="9" scale="35" orientation="landscape" verticalDpi="12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13</vt:i4>
      </vt:variant>
    </vt:vector>
  </HeadingPairs>
  <TitlesOfParts>
    <vt:vector size="22" baseType="lpstr"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штатка</vt:lpstr>
      <vt:lpstr>6.2. Інша інфо_2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'I. Фін результат'!Область_печати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UserNEW</cp:lastModifiedBy>
  <cp:lastPrinted>2019-01-31T08:56:51Z</cp:lastPrinted>
  <dcterms:created xsi:type="dcterms:W3CDTF">2003-03-13T16:00:22Z</dcterms:created>
  <dcterms:modified xsi:type="dcterms:W3CDTF">2019-01-31T08:57:56Z</dcterms:modified>
</cp:coreProperties>
</file>